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652湖州项目\"/>
    </mc:Choice>
  </mc:AlternateContent>
  <bookViews>
    <workbookView xWindow="480" yWindow="240" windowWidth="12120" windowHeight="7596" tabRatio="899" firstSheet="14"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8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商业" sheetId="81" r:id="rId23"/>
    <sheet name="收益法-仓储" sheetId="15" r:id="rId24"/>
    <sheet name="收益法 (元)" sheetId="67" state="hidden" r:id="rId25"/>
    <sheet name="收益法（汇总）" sheetId="70" state="hidden" r:id="rId26"/>
    <sheet name="酒店收入计算" sheetId="66" state="hidden" r:id="rId27"/>
    <sheet name="比较法-高层" sheetId="80" r:id="rId28"/>
    <sheet name="比较法-洋房" sheetId="79" r:id="rId29"/>
    <sheet name="比较法-排屋" sheetId="21"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8" r:id="rId49"/>
    <sheet name="工程进度" sheetId="82"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7" hidden="1">'比较法-高层'!$A$1:$L$49</definedName>
    <definedName name="_xlnm._FilterDatabase" localSheetId="32" hidden="1">'比较法-工业'!$A$1:$L$43</definedName>
    <definedName name="_xlnm._FilterDatabase" localSheetId="29" hidden="1">'比较法-排屋'!$A$1:$L$49</definedName>
    <definedName name="_xlnm._FilterDatabase" localSheetId="30" hidden="1">'比较法-商业'!$A$1:$L$49</definedName>
    <definedName name="_xlnm._FilterDatabase" localSheetId="28" hidden="1">'比较法-洋房'!$A$1:$L$49</definedName>
    <definedName name="_xlnm._FilterDatabase" localSheetId="11" hidden="1">抵押物清单!$B$1:$G$1623</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'收益法-仓储'!$A$1:$AK$69</definedName>
    <definedName name="_xlnm.Print_Area" localSheetId="22">'收益法-商业'!$A$1:$AK$69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'比较法-高层'!$B$88:$M$88</definedName>
    <definedName name="住宅朝向" localSheetId="28">'比较法-洋房'!$B$88:$M$88</definedName>
    <definedName name="住宅朝向">'比较法-排屋'!$B$88:$M$88</definedName>
    <definedName name="住宅房型" localSheetId="27">'比较法-高层'!$B$118:$M$118</definedName>
    <definedName name="住宅房型" localSheetId="28">'比较法-洋房'!$B$118:$M$118</definedName>
    <definedName name="住宅房型">'比较法-排屋'!$B$118:$M$118</definedName>
    <definedName name="住宅公共部分装修" localSheetId="27">'比较法-高层'!$B$109:$M$109</definedName>
    <definedName name="住宅公共部分装修" localSheetId="28">'比较法-洋房'!$B$109:$M$109</definedName>
    <definedName name="住宅公共部分装修">'比较法-排屋'!$B$109:$M$109</definedName>
    <definedName name="住宅基础设施水平" localSheetId="27">'比较法-高层'!$B$116:$M$116</definedName>
    <definedName name="住宅基础设施水平" localSheetId="28">'比较法-洋房'!$B$116:$M$116</definedName>
    <definedName name="住宅基础设施水平">'比较法-排屋'!$B$116:$M$116</definedName>
    <definedName name="住宅建筑结构" localSheetId="27">'比较法-高层'!$B$105:$M$105</definedName>
    <definedName name="住宅建筑结构" localSheetId="28">'比较法-洋房'!$B$105:$M$105</definedName>
    <definedName name="住宅建筑结构">'比较法-排屋'!$B$105:$M$105</definedName>
    <definedName name="住宅建筑类型" localSheetId="27">'比较法-高层'!$B$100:$M$100</definedName>
    <definedName name="住宅建筑类型" localSheetId="28">'比较法-洋房'!$B$100:$M$100</definedName>
    <definedName name="住宅建筑类型">'比较法-排屋'!$B$100:$M$100</definedName>
    <definedName name="住宅建筑品质" localSheetId="27">'比较法-高层'!$B$107:$M$107</definedName>
    <definedName name="住宅建筑品质" localSheetId="28">'比较法-洋房'!$B$107:$M$107</definedName>
    <definedName name="住宅建筑品质">'比较法-排屋'!$B$107:$M$107</definedName>
    <definedName name="住宅交易情况" localSheetId="27">'比较法-高层'!$A$61:$M$61</definedName>
    <definedName name="住宅交易情况" localSheetId="28">'比较法-洋房'!$A$61:$M$61</definedName>
    <definedName name="住宅交易情况">'比较法-排屋'!$A$61:$M$61</definedName>
    <definedName name="住宅楼层" localSheetId="27">'比较法-高层'!$B$86:$M$86</definedName>
    <definedName name="住宅楼层" localSheetId="28">'比较法-洋房'!$B$86:$M$86</definedName>
    <definedName name="住宅楼层">'比较法-排屋'!$B$86:$M$86</definedName>
    <definedName name="住宅内部装修" localSheetId="27">'比较法-高层'!$B$122:$M$122</definedName>
    <definedName name="住宅内部装修" localSheetId="28">'比较法-洋房'!$B$122:$M$122</definedName>
    <definedName name="住宅内部装修">'比较法-排屋'!$B$122:$M$122</definedName>
    <definedName name="住宅物业管理" localSheetId="27">'比较法-高层'!$B$114:$M$114</definedName>
    <definedName name="住宅物业管理" localSheetId="28">'比较法-洋房'!$B$114:$M$114</definedName>
    <definedName name="住宅物业管理">'比较法-排屋'!$B$114:$M$114</definedName>
    <definedName name="住宅用途" localSheetId="27">'比较法-高层'!$B$63:$M$63</definedName>
    <definedName name="住宅用途" localSheetId="28">'比较法-洋房'!$B$63:$M$63</definedName>
    <definedName name="住宅用途">'比较法-排屋'!$B$63:$M$63</definedName>
    <definedName name="住宅主力户型面积" localSheetId="27">'比较法-高层'!$B$120:$M$120</definedName>
    <definedName name="住宅主力户型面积" localSheetId="28">'比较法-洋房'!$B$120:$M$120</definedName>
    <definedName name="住宅主力户型面积">'比较法-排屋'!$B$120:$M$120</definedName>
    <definedName name="注册房地产估价师">估价师及机构信息!$A$3:$A$24</definedName>
  </definedNames>
  <calcPr calcId="162913"/>
</workbook>
</file>

<file path=xl/calcChain.xml><?xml version="1.0" encoding="utf-8"?>
<calcChain xmlns="http://schemas.openxmlformats.org/spreadsheetml/2006/main">
  <c r="G5" i="35" l="1"/>
  <c r="K11" i="21"/>
  <c r="C5" i="39"/>
  <c r="Q13" i="3"/>
  <c r="E1622" i="83"/>
  <c r="U13" i="3" s="1"/>
  <c r="E1621" i="83"/>
  <c r="S13" i="3" s="1"/>
  <c r="E1620" i="83"/>
  <c r="E1619" i="83"/>
  <c r="M13" i="3" s="1"/>
  <c r="E1618" i="83"/>
  <c r="K13" i="3" s="1"/>
  <c r="E1617" i="83"/>
  <c r="O13" i="3" l="1"/>
  <c r="E1623" i="83"/>
  <c r="I13" i="3"/>
  <c r="D104" i="21" l="1"/>
  <c r="E104" i="21"/>
  <c r="F104" i="21"/>
  <c r="G104" i="21"/>
  <c r="H104" i="21"/>
  <c r="I104" i="21"/>
  <c r="D104" i="80"/>
  <c r="E104" i="80"/>
  <c r="F104" i="80"/>
  <c r="G104" i="80"/>
  <c r="H104" i="80"/>
  <c r="I104" i="80"/>
  <c r="D104" i="79"/>
  <c r="E104" i="79"/>
  <c r="F104" i="79"/>
  <c r="G104" i="79"/>
  <c r="H104" i="79"/>
  <c r="I104" i="79"/>
  <c r="A6" i="1"/>
  <c r="M5" i="3"/>
  <c r="A7" i="1"/>
  <c r="A8" i="1"/>
  <c r="A9" i="1"/>
  <c r="O5" i="3"/>
  <c r="F22" i="6" s="1"/>
  <c r="Q5" i="3"/>
  <c r="G22" i="6" s="1"/>
  <c r="A10" i="1"/>
  <c r="S5" i="3"/>
  <c r="G23" i="6" s="1"/>
  <c r="A11" i="1"/>
  <c r="U5" i="3"/>
  <c r="G24" i="6" s="1"/>
  <c r="E24" i="6" s="1"/>
  <c r="L9" i="1"/>
  <c r="L10" i="1"/>
  <c r="L11" i="1"/>
  <c r="A12" i="1"/>
  <c r="K12" i="1"/>
  <c r="M12" i="1" s="1"/>
  <c r="A13" i="1"/>
  <c r="K13" i="1"/>
  <c r="M13"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s="1"/>
  <c r="G1" i="81"/>
  <c r="D3" i="4"/>
  <c r="C1" i="73"/>
  <c r="L1" i="73"/>
  <c r="B43" i="1"/>
  <c r="B41" i="1"/>
  <c r="F32" i="81"/>
  <c r="B2" i="1"/>
  <c r="C42" i="1"/>
  <c r="F33" i="81"/>
  <c r="AY3" i="3"/>
  <c r="AY6" i="3" s="1"/>
  <c r="D3" i="6" s="1"/>
  <c r="L19" i="9" s="1"/>
  <c r="BE13" i="3"/>
  <c r="BF13" i="3"/>
  <c r="BG13" i="3"/>
  <c r="BH13" i="3"/>
  <c r="BI13" i="3"/>
  <c r="BJ13" i="3"/>
  <c r="BK13" i="3"/>
  <c r="BM13" i="3"/>
  <c r="BN13" i="3"/>
  <c r="BO13" i="3"/>
  <c r="BP13" i="3"/>
  <c r="BL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E25" i="6"/>
  <c r="E26" i="6"/>
  <c r="L22" i="6"/>
  <c r="B52" i="1"/>
  <c r="F34" i="81"/>
  <c r="F15" i="81"/>
  <c r="F17" i="81"/>
  <c r="F18" i="81"/>
  <c r="F20" i="81"/>
  <c r="J1" i="73"/>
  <c r="B22" i="1"/>
  <c r="E1" i="73"/>
  <c r="F23" i="81"/>
  <c r="F21" i="81"/>
  <c r="F28" i="81"/>
  <c r="C28" i="81"/>
  <c r="E15" i="4"/>
  <c r="F9" i="1"/>
  <c r="M47" i="81"/>
  <c r="J50" i="81"/>
  <c r="J51" i="81"/>
  <c r="G1" i="15"/>
  <c r="F32" i="15"/>
  <c r="F33" i="15"/>
  <c r="L23" i="6"/>
  <c r="F34" i="15"/>
  <c r="F15" i="15"/>
  <c r="F17" i="15"/>
  <c r="F18" i="15"/>
  <c r="F20" i="15"/>
  <c r="F23" i="15"/>
  <c r="F21" i="15"/>
  <c r="F28" i="15"/>
  <c r="C28" i="15"/>
  <c r="H15" i="4"/>
  <c r="F10" i="1"/>
  <c r="M47" i="15"/>
  <c r="J50" i="15"/>
  <c r="J51" i="15"/>
  <c r="D9" i="1"/>
  <c r="K59" i="81"/>
  <c r="P74" i="81"/>
  <c r="Q72" i="81"/>
  <c r="F60" i="81"/>
  <c r="F61" i="81"/>
  <c r="F62" i="81"/>
  <c r="P61" i="81"/>
  <c r="Q59" i="81"/>
  <c r="F59" i="81"/>
  <c r="Q58" i="81"/>
  <c r="Q51" i="81"/>
  <c r="D46" i="81"/>
  <c r="F31" i="81"/>
  <c r="AG9" i="1"/>
  <c r="M18" i="81"/>
  <c r="M19" i="81"/>
  <c r="M20" i="81"/>
  <c r="D24" i="81"/>
  <c r="D23" i="81"/>
  <c r="D22" i="81"/>
  <c r="M17" i="8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H8" i="12" s="1"/>
  <c r="G6" i="35"/>
  <c r="I6" i="35"/>
  <c r="E6" i="35"/>
  <c r="E5" i="35"/>
  <c r="C6" i="35"/>
  <c r="C5" i="35"/>
  <c r="C33" i="80"/>
  <c r="F33" i="80" s="1"/>
  <c r="F39" i="80"/>
  <c r="AA39" i="80"/>
  <c r="D115" i="80"/>
  <c r="F38" i="80"/>
  <c r="AA38" i="80"/>
  <c r="D69" i="80"/>
  <c r="E69" i="80"/>
  <c r="F69" i="80"/>
  <c r="C11" i="39"/>
  <c r="C11" i="80"/>
  <c r="F11" i="80"/>
  <c r="AA11" i="80"/>
  <c r="D123" i="80"/>
  <c r="F42" i="80"/>
  <c r="AA42" i="80"/>
  <c r="R47" i="80"/>
  <c r="C7" i="80"/>
  <c r="C58" i="80"/>
  <c r="D58" i="80"/>
  <c r="E58" i="80"/>
  <c r="F58" i="80"/>
  <c r="G58" i="80"/>
  <c r="H58" i="80"/>
  <c r="I58" i="80"/>
  <c r="J58" i="80"/>
  <c r="K58" i="80"/>
  <c r="L58" i="80"/>
  <c r="M58" i="80"/>
  <c r="N58" i="80"/>
  <c r="O58" i="80"/>
  <c r="F7" i="80"/>
  <c r="AA7" i="80"/>
  <c r="F8" i="80"/>
  <c r="AA8" i="80"/>
  <c r="C63" i="80"/>
  <c r="F9" i="80"/>
  <c r="AA9" i="80"/>
  <c r="F10" i="80"/>
  <c r="AA10" i="80"/>
  <c r="B70" i="80"/>
  <c r="F12" i="80"/>
  <c r="AA12" i="80"/>
  <c r="B72" i="80"/>
  <c r="F13" i="80"/>
  <c r="AA13" i="80"/>
  <c r="B74" i="80"/>
  <c r="F14" i="80"/>
  <c r="AA14" i="80"/>
  <c r="D77" i="80"/>
  <c r="F15" i="80"/>
  <c r="AA15" i="80"/>
  <c r="D79" i="80"/>
  <c r="E79" i="80"/>
  <c r="F17" i="80"/>
  <c r="AA17" i="80"/>
  <c r="D81" i="80"/>
  <c r="E81" i="80"/>
  <c r="F19" i="80"/>
  <c r="AA19" i="80"/>
  <c r="D83" i="80"/>
  <c r="F21" i="80"/>
  <c r="AA21" i="80"/>
  <c r="D85" i="80"/>
  <c r="E85" i="80"/>
  <c r="F23" i="80"/>
  <c r="AA23" i="80"/>
  <c r="F25" i="80"/>
  <c r="AA25" i="80"/>
  <c r="F26" i="80"/>
  <c r="AA26" i="80"/>
  <c r="B90" i="80"/>
  <c r="F27" i="80"/>
  <c r="AA27" i="80"/>
  <c r="B92" i="80"/>
  <c r="F28" i="80"/>
  <c r="AA28" i="80"/>
  <c r="B94" i="80"/>
  <c r="F29" i="80"/>
  <c r="AA29" i="80"/>
  <c r="B96" i="80"/>
  <c r="F30" i="80"/>
  <c r="AA30" i="80"/>
  <c r="B98" i="80"/>
  <c r="F31" i="80"/>
  <c r="AA31" i="80"/>
  <c r="D101" i="80"/>
  <c r="E101" i="80"/>
  <c r="F32" i="80"/>
  <c r="AA32" i="80"/>
  <c r="F34" i="80"/>
  <c r="AA34" i="80"/>
  <c r="D108" i="80"/>
  <c r="F35" i="80"/>
  <c r="AA35" i="80"/>
  <c r="F36" i="80"/>
  <c r="AA36" i="80"/>
  <c r="D113" i="80"/>
  <c r="E113" i="80"/>
  <c r="F113" i="80"/>
  <c r="G113" i="80"/>
  <c r="F37" i="80"/>
  <c r="AA37" i="80"/>
  <c r="F40" i="80"/>
  <c r="AA40" i="80"/>
  <c r="F41" i="80"/>
  <c r="AA41" i="80"/>
  <c r="D125" i="80"/>
  <c r="F43" i="80"/>
  <c r="AA43" i="80"/>
  <c r="B126" i="80"/>
  <c r="F44" i="80"/>
  <c r="AA44" i="80"/>
  <c r="B128" i="80"/>
  <c r="F45" i="80"/>
  <c r="AA45" i="80"/>
  <c r="B130" i="80"/>
  <c r="F46" i="80"/>
  <c r="AA46" i="80"/>
  <c r="H33" i="80"/>
  <c r="AB33" i="80"/>
  <c r="H39" i="80"/>
  <c r="AB39" i="80"/>
  <c r="H38" i="80"/>
  <c r="AB38" i="80"/>
  <c r="H11" i="80"/>
  <c r="AB11" i="80"/>
  <c r="H42" i="80"/>
  <c r="AB42" i="80"/>
  <c r="T47" i="80"/>
  <c r="H7" i="80"/>
  <c r="AB7" i="80"/>
  <c r="H8" i="80"/>
  <c r="AB8" i="80"/>
  <c r="H9" i="80"/>
  <c r="AB9" i="80"/>
  <c r="H10" i="80"/>
  <c r="AB10"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4" i="80"/>
  <c r="AB34" i="80"/>
  <c r="H35" i="80"/>
  <c r="AB35" i="80"/>
  <c r="H36" i="80"/>
  <c r="AB36" i="80"/>
  <c r="H37" i="80"/>
  <c r="AB37" i="80"/>
  <c r="H40" i="80"/>
  <c r="AB40" i="80"/>
  <c r="H41" i="80"/>
  <c r="AB41" i="80"/>
  <c r="H43" i="80"/>
  <c r="AB43" i="80"/>
  <c r="H44" i="80"/>
  <c r="AB44" i="80"/>
  <c r="H45" i="80"/>
  <c r="AB45" i="80"/>
  <c r="H46" i="80"/>
  <c r="AB46" i="80"/>
  <c r="T48" i="80"/>
  <c r="I33" i="80"/>
  <c r="J33" i="80"/>
  <c r="AC33" i="80" s="1"/>
  <c r="V48" i="80" s="1"/>
  <c r="I48" i="80" s="1"/>
  <c r="J39" i="80"/>
  <c r="AC39" i="80"/>
  <c r="J38" i="80"/>
  <c r="AC38" i="80"/>
  <c r="J11" i="80"/>
  <c r="AC11" i="80"/>
  <c r="J42" i="80"/>
  <c r="AC42" i="80"/>
  <c r="V47" i="80"/>
  <c r="J7" i="80"/>
  <c r="AC7" i="80"/>
  <c r="J8" i="80"/>
  <c r="AC8" i="80"/>
  <c r="J9" i="80"/>
  <c r="AC9" i="80"/>
  <c r="J10" i="80"/>
  <c r="AC10"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J34" i="80"/>
  <c r="AC34" i="80"/>
  <c r="J35" i="80"/>
  <c r="AC35" i="80"/>
  <c r="J36" i="80"/>
  <c r="AC36" i="80"/>
  <c r="J37" i="80"/>
  <c r="AC37" i="80"/>
  <c r="J40" i="80"/>
  <c r="AC40" i="80"/>
  <c r="J41" i="80"/>
  <c r="AC41" i="80"/>
  <c r="J43" i="80"/>
  <c r="AC43" i="80"/>
  <c r="J44" i="80"/>
  <c r="AC44" i="80"/>
  <c r="J45" i="80"/>
  <c r="AC45" i="80"/>
  <c r="J46" i="80"/>
  <c r="AC46" i="80"/>
  <c r="C33" i="79"/>
  <c r="F33" i="79"/>
  <c r="AA33" i="79" s="1"/>
  <c r="R48" i="79" s="1"/>
  <c r="F39" i="79"/>
  <c r="AA39" i="79"/>
  <c r="D108" i="79"/>
  <c r="F35" i="79"/>
  <c r="AA35" i="79"/>
  <c r="D69" i="79"/>
  <c r="E69" i="79"/>
  <c r="F69" i="79"/>
  <c r="C11" i="79"/>
  <c r="F11" i="79"/>
  <c r="AA11" i="79"/>
  <c r="D115" i="79"/>
  <c r="F38" i="79"/>
  <c r="AA38" i="79"/>
  <c r="D123" i="79"/>
  <c r="F42" i="79"/>
  <c r="AA42" i="79"/>
  <c r="R47" i="79"/>
  <c r="C7" i="79"/>
  <c r="C58" i="79"/>
  <c r="D58" i="79"/>
  <c r="E58" i="79"/>
  <c r="F58" i="79"/>
  <c r="G58" i="79"/>
  <c r="H58" i="79"/>
  <c r="I58" i="79"/>
  <c r="J58" i="79"/>
  <c r="K58" i="79"/>
  <c r="L58" i="79"/>
  <c r="M58" i="79"/>
  <c r="N58" i="79"/>
  <c r="O58" i="79"/>
  <c r="F7" i="79"/>
  <c r="AA7" i="79"/>
  <c r="F8" i="79"/>
  <c r="AA8" i="79"/>
  <c r="C63" i="79"/>
  <c r="F9" i="79"/>
  <c r="AA9" i="79"/>
  <c r="F10" i="79"/>
  <c r="AA10" i="79"/>
  <c r="B70" i="79"/>
  <c r="F12" i="79"/>
  <c r="AA12" i="79"/>
  <c r="B72" i="79"/>
  <c r="F13" i="79"/>
  <c r="AA13" i="79"/>
  <c r="B74" i="79"/>
  <c r="F14" i="79"/>
  <c r="AA14" i="79"/>
  <c r="D77" i="79"/>
  <c r="F15" i="79"/>
  <c r="AA15" i="79"/>
  <c r="D79" i="79"/>
  <c r="E79" i="79"/>
  <c r="F17" i="79"/>
  <c r="AA17" i="79"/>
  <c r="D81" i="79"/>
  <c r="E81" i="79"/>
  <c r="F19" i="79"/>
  <c r="AA19" i="79"/>
  <c r="D83" i="79"/>
  <c r="F21" i="79"/>
  <c r="AA21" i="79"/>
  <c r="D85" i="79"/>
  <c r="E85" i="79"/>
  <c r="F23" i="79"/>
  <c r="AA23" i="79"/>
  <c r="F25" i="79"/>
  <c r="AA25" i="79"/>
  <c r="F26" i="79"/>
  <c r="AA26" i="79"/>
  <c r="B90" i="79"/>
  <c r="F27" i="79"/>
  <c r="AA27" i="79"/>
  <c r="B92" i="79"/>
  <c r="F28" i="79"/>
  <c r="AA28" i="79"/>
  <c r="B94" i="79"/>
  <c r="F29" i="79"/>
  <c r="AA29" i="79"/>
  <c r="B96" i="79"/>
  <c r="F30" i="79"/>
  <c r="AA30" i="79"/>
  <c r="B98" i="79"/>
  <c r="F31" i="79"/>
  <c r="AA31" i="79"/>
  <c r="D101" i="79"/>
  <c r="F32" i="79"/>
  <c r="AA32" i="79"/>
  <c r="F34" i="79"/>
  <c r="AA34" i="79"/>
  <c r="F36" i="79"/>
  <c r="AA36" i="79"/>
  <c r="D113" i="79"/>
  <c r="E113" i="79"/>
  <c r="F113" i="79"/>
  <c r="G113" i="79"/>
  <c r="F37" i="79"/>
  <c r="AA37" i="79"/>
  <c r="F40" i="79"/>
  <c r="AA40" i="79"/>
  <c r="F41" i="79"/>
  <c r="AA41" i="79"/>
  <c r="D125" i="79"/>
  <c r="F43" i="79"/>
  <c r="AA43" i="79"/>
  <c r="B126" i="79"/>
  <c r="F44" i="79"/>
  <c r="AA44" i="79"/>
  <c r="B128" i="79"/>
  <c r="F45" i="79"/>
  <c r="AA45" i="79"/>
  <c r="B130" i="79"/>
  <c r="F46" i="79"/>
  <c r="AA46" i="79"/>
  <c r="H33" i="79"/>
  <c r="AB33" i="79"/>
  <c r="H39" i="79"/>
  <c r="AB39" i="79"/>
  <c r="H35" i="79"/>
  <c r="AB35" i="79"/>
  <c r="H11" i="79"/>
  <c r="AB11" i="79"/>
  <c r="H38" i="79"/>
  <c r="AB38" i="79"/>
  <c r="H42" i="79"/>
  <c r="AB42" i="79"/>
  <c r="T47" i="79"/>
  <c r="H7" i="79"/>
  <c r="AB7" i="79"/>
  <c r="H8" i="79"/>
  <c r="AB8" i="79"/>
  <c r="H9" i="79"/>
  <c r="AB9" i="79"/>
  <c r="H10" i="79"/>
  <c r="AB10"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4" i="79"/>
  <c r="AB34" i="79"/>
  <c r="H36" i="79"/>
  <c r="AB36" i="79"/>
  <c r="H37" i="79"/>
  <c r="AB37" i="79"/>
  <c r="H40" i="79"/>
  <c r="AB40" i="79"/>
  <c r="H41" i="79"/>
  <c r="AB41" i="79"/>
  <c r="H43" i="79"/>
  <c r="AB43" i="79"/>
  <c r="H44" i="79"/>
  <c r="AB44" i="79"/>
  <c r="H45" i="79"/>
  <c r="AB45" i="79"/>
  <c r="H46" i="79"/>
  <c r="AB46" i="79"/>
  <c r="T48" i="79"/>
  <c r="J33" i="79"/>
  <c r="AC33" i="79"/>
  <c r="J39" i="79"/>
  <c r="AC39" i="79"/>
  <c r="J35" i="79"/>
  <c r="AC35" i="79"/>
  <c r="J11" i="79"/>
  <c r="AC11" i="79"/>
  <c r="J38" i="79"/>
  <c r="AC38" i="79"/>
  <c r="J42" i="79"/>
  <c r="AC42" i="79"/>
  <c r="V47" i="79"/>
  <c r="J7" i="79"/>
  <c r="AC7" i="79"/>
  <c r="J8" i="79"/>
  <c r="AC8" i="79"/>
  <c r="J9" i="79"/>
  <c r="AC9" i="79"/>
  <c r="J10" i="79"/>
  <c r="AC10"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J34" i="79"/>
  <c r="AC34" i="79"/>
  <c r="J36" i="79"/>
  <c r="AC36" i="79"/>
  <c r="J37" i="79"/>
  <c r="AC37" i="79"/>
  <c r="J40" i="79"/>
  <c r="AC40" i="79"/>
  <c r="J41" i="79"/>
  <c r="AC41" i="79"/>
  <c r="J43" i="79"/>
  <c r="AC43" i="79"/>
  <c r="J44" i="79"/>
  <c r="AC44" i="79"/>
  <c r="J45" i="79"/>
  <c r="AC45" i="79"/>
  <c r="J46" i="79"/>
  <c r="AC46" i="79"/>
  <c r="V48" i="79"/>
  <c r="V47" i="21"/>
  <c r="C33" i="21"/>
  <c r="J33" i="21"/>
  <c r="AC33" i="21" s="1"/>
  <c r="J32" i="21"/>
  <c r="AC32" i="21"/>
  <c r="J39" i="21"/>
  <c r="AC39" i="21"/>
  <c r="C7" i="21"/>
  <c r="C58" i="21"/>
  <c r="D58" i="21"/>
  <c r="E58" i="21"/>
  <c r="F58" i="21"/>
  <c r="G58" i="21"/>
  <c r="H58" i="21"/>
  <c r="I58" i="21"/>
  <c r="J58" i="21"/>
  <c r="K58" i="21"/>
  <c r="L58" i="21"/>
  <c r="M58" i="21"/>
  <c r="N58" i="21"/>
  <c r="O58" i="21"/>
  <c r="J7" i="21"/>
  <c r="AC7" i="21"/>
  <c r="J8" i="21"/>
  <c r="AC8" i="21"/>
  <c r="C63" i="21"/>
  <c r="J9" i="21"/>
  <c r="AC9" i="21"/>
  <c r="J10" i="21"/>
  <c r="AC10" i="21"/>
  <c r="D69" i="21"/>
  <c r="C11" i="21"/>
  <c r="E69" i="21"/>
  <c r="J11" i="21"/>
  <c r="AC11" i="21" s="1"/>
  <c r="B70" i="21"/>
  <c r="J12" i="21"/>
  <c r="AC12" i="21"/>
  <c r="B72" i="21"/>
  <c r="J13" i="21"/>
  <c r="AC13" i="21"/>
  <c r="B74" i="21"/>
  <c r="J14" i="21"/>
  <c r="AC14" i="21"/>
  <c r="D77" i="21"/>
  <c r="J15" i="21"/>
  <c r="AC15" i="21"/>
  <c r="D79" i="21"/>
  <c r="E79" i="21"/>
  <c r="J17" i="21"/>
  <c r="AC17" i="21"/>
  <c r="D81" i="21"/>
  <c r="E81" i="21"/>
  <c r="J19" i="21"/>
  <c r="AC19" i="21"/>
  <c r="D83"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4" i="21"/>
  <c r="AC34" i="21"/>
  <c r="D108" i="21"/>
  <c r="J35" i="21"/>
  <c r="AC35" i="21"/>
  <c r="J36" i="21"/>
  <c r="AC36" i="21"/>
  <c r="D113" i="21"/>
  <c r="E113" i="21"/>
  <c r="F113" i="21"/>
  <c r="G113" i="21"/>
  <c r="J37" i="21"/>
  <c r="AC37" i="21"/>
  <c r="D115" i="21"/>
  <c r="J38" i="21"/>
  <c r="AC38" i="21"/>
  <c r="J40" i="21"/>
  <c r="AC40" i="21"/>
  <c r="J41" i="21"/>
  <c r="AC41" i="21"/>
  <c r="D123" i="21"/>
  <c r="E123" i="21"/>
  <c r="F123" i="21"/>
  <c r="J42" i="21"/>
  <c r="AC42" i="21"/>
  <c r="D125" i="21"/>
  <c r="J43" i="21"/>
  <c r="AC43" i="21"/>
  <c r="B126" i="21"/>
  <c r="J44" i="21"/>
  <c r="AC44" i="21"/>
  <c r="B128" i="21"/>
  <c r="J45" i="21"/>
  <c r="AC45" i="21"/>
  <c r="B130" i="21"/>
  <c r="J46" i="21"/>
  <c r="AC46" i="21"/>
  <c r="F33" i="21"/>
  <c r="AA33" i="21"/>
  <c r="F32" i="21"/>
  <c r="AA32" i="21"/>
  <c r="F39" i="21"/>
  <c r="AA39" i="21"/>
  <c r="R47" i="21"/>
  <c r="F7" i="21"/>
  <c r="AA7" i="21"/>
  <c r="F8" i="21"/>
  <c r="AA8" i="21"/>
  <c r="F9" i="21"/>
  <c r="AA9" i="21"/>
  <c r="F10" i="21"/>
  <c r="AA10" i="21"/>
  <c r="F69" i="21"/>
  <c r="F11" i="21" s="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4" i="21"/>
  <c r="AA34" i="21"/>
  <c r="F35" i="21"/>
  <c r="AA35" i="21"/>
  <c r="F36" i="21"/>
  <c r="AA36" i="21"/>
  <c r="F37" i="21"/>
  <c r="AA37" i="21"/>
  <c r="F38" i="21"/>
  <c r="AA38" i="21"/>
  <c r="F40" i="21"/>
  <c r="AA40" i="21"/>
  <c r="F41" i="21"/>
  <c r="AA41" i="21"/>
  <c r="F42" i="21"/>
  <c r="AA42" i="21"/>
  <c r="F43" i="21"/>
  <c r="AA43" i="21"/>
  <c r="F44" i="21"/>
  <c r="AA44" i="21"/>
  <c r="F45" i="21"/>
  <c r="AA45" i="21"/>
  <c r="F46" i="21"/>
  <c r="AA46" i="21"/>
  <c r="H33" i="21"/>
  <c r="AB33" i="21"/>
  <c r="H32" i="21"/>
  <c r="AB32" i="21"/>
  <c r="H39" i="21"/>
  <c r="AB39" i="21"/>
  <c r="T47" i="21"/>
  <c r="H7" i="21"/>
  <c r="AB7" i="21"/>
  <c r="H8" i="21"/>
  <c r="AB8" i="21"/>
  <c r="H9" i="21"/>
  <c r="AB9" i="21"/>
  <c r="H10" i="21"/>
  <c r="AB10" i="21"/>
  <c r="H11" i="21"/>
  <c r="AB11" i="21"/>
  <c r="T48" i="21" s="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40" i="21"/>
  <c r="AB40" i="21"/>
  <c r="H41" i="21"/>
  <c r="AB41" i="21"/>
  <c r="H42" i="21"/>
  <c r="AB42" i="21"/>
  <c r="H43" i="21"/>
  <c r="AB43" i="21"/>
  <c r="H44" i="21"/>
  <c r="AB44" i="21"/>
  <c r="H45" i="21"/>
  <c r="AB45" i="21"/>
  <c r="H46" i="21"/>
  <c r="AB46" i="21"/>
  <c r="J140" i="80"/>
  <c r="C145" i="80"/>
  <c r="K139" i="80"/>
  <c r="K145" i="80"/>
  <c r="K144" i="80"/>
  <c r="K143" i="80"/>
  <c r="J142" i="80"/>
  <c r="K141" i="80"/>
  <c r="E125" i="80"/>
  <c r="F125" i="80"/>
  <c r="G125"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F101"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F85" i="80"/>
  <c r="G85" i="80"/>
  <c r="E83" i="80"/>
  <c r="F83" i="80"/>
  <c r="G83" i="80"/>
  <c r="F81" i="80"/>
  <c r="G81" i="80"/>
  <c r="F79" i="80"/>
  <c r="G79" i="80"/>
  <c r="E77" i="80"/>
  <c r="F77" i="80"/>
  <c r="G77"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G48" i="80"/>
  <c r="G52" i="80"/>
  <c r="H52" i="80" s="1"/>
  <c r="P49" i="80"/>
  <c r="P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J140" i="79"/>
  <c r="C145" i="79"/>
  <c r="K139" i="79"/>
  <c r="K145" i="79"/>
  <c r="K144" i="79"/>
  <c r="K143" i="79"/>
  <c r="J142" i="79"/>
  <c r="K141" i="79"/>
  <c r="E125" i="79"/>
  <c r="F125" i="79"/>
  <c r="G125"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E115" i="79"/>
  <c r="F115" i="79"/>
  <c r="G115" i="79"/>
  <c r="H115" i="79"/>
  <c r="I115" i="79"/>
  <c r="J115" i="79"/>
  <c r="K115" i="79"/>
  <c r="L115" i="79"/>
  <c r="M115" i="79"/>
  <c r="H113" i="79"/>
  <c r="H111" i="79"/>
  <c r="G111" i="79"/>
  <c r="F111" i="79"/>
  <c r="E111" i="79"/>
  <c r="D111" i="79"/>
  <c r="C111" i="79"/>
  <c r="D110" i="79"/>
  <c r="E110" i="79"/>
  <c r="F110" i="79"/>
  <c r="G110" i="79"/>
  <c r="H110" i="79"/>
  <c r="I110" i="79"/>
  <c r="J110" i="79"/>
  <c r="K110" i="79"/>
  <c r="L110" i="79"/>
  <c r="M110"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E83" i="79"/>
  <c r="F83" i="79"/>
  <c r="G83" i="79"/>
  <c r="F81" i="79"/>
  <c r="G81" i="79"/>
  <c r="F79" i="79"/>
  <c r="G79" i="79"/>
  <c r="E77" i="79"/>
  <c r="F77" i="79"/>
  <c r="G77" i="79"/>
  <c r="G69" i="79"/>
  <c r="H69" i="79"/>
  <c r="I69" i="79"/>
  <c r="J69" i="79"/>
  <c r="K69" i="79"/>
  <c r="L69" i="79"/>
  <c r="M69" i="79"/>
  <c r="M67" i="79"/>
  <c r="L67" i="79"/>
  <c r="K67" i="79"/>
  <c r="J67" i="79"/>
  <c r="I67" i="79"/>
  <c r="H67" i="79"/>
  <c r="G67" i="79"/>
  <c r="F67" i="79"/>
  <c r="E67" i="79"/>
  <c r="D67" i="79"/>
  <c r="C67" i="79"/>
  <c r="D66" i="79"/>
  <c r="E66" i="79"/>
  <c r="F66" i="79"/>
  <c r="G66" i="79"/>
  <c r="H66" i="79"/>
  <c r="I66" i="79"/>
  <c r="I54" i="79"/>
  <c r="J54" i="79"/>
  <c r="G54" i="79"/>
  <c r="H54" i="79"/>
  <c r="E54" i="79"/>
  <c r="F54" i="79"/>
  <c r="I48" i="79"/>
  <c r="G48" i="79"/>
  <c r="G53" i="79"/>
  <c r="H53" i="79" s="1"/>
  <c r="I52" i="79"/>
  <c r="J52" i="79" s="1"/>
  <c r="G52" i="79"/>
  <c r="H52" i="79" s="1"/>
  <c r="P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81" i="39"/>
  <c r="F11" i="39"/>
  <c r="AA11" i="39"/>
  <c r="B82" i="39"/>
  <c r="F12" i="39"/>
  <c r="AA12" i="39"/>
  <c r="B84" i="39"/>
  <c r="F13" i="39"/>
  <c r="AA13" i="39"/>
  <c r="B86" i="39"/>
  <c r="F14" i="39"/>
  <c r="AA14" i="39"/>
  <c r="D89" i="39"/>
  <c r="E89" i="39"/>
  <c r="F15" i="39"/>
  <c r="AA15" i="39"/>
  <c r="D91" i="39"/>
  <c r="E91" i="39"/>
  <c r="F17" i="39"/>
  <c r="AA17" i="39"/>
  <c r="F19" i="39"/>
  <c r="AA19" i="39"/>
  <c r="D95" i="39"/>
  <c r="E95" i="39"/>
  <c r="F21" i="39"/>
  <c r="AA21" i="39"/>
  <c r="D97" i="39"/>
  <c r="F23" i="39"/>
  <c r="AA23" i="39"/>
  <c r="D99" i="39"/>
  <c r="E99" i="39"/>
  <c r="F25" i="39"/>
  <c r="AA25" i="39"/>
  <c r="D101" i="39"/>
  <c r="E101" i="39"/>
  <c r="F27" i="39"/>
  <c r="AA27" i="39"/>
  <c r="D103" i="39"/>
  <c r="F29" i="39"/>
  <c r="AA29" i="39"/>
  <c r="B104" i="39"/>
  <c r="F31" i="39"/>
  <c r="AA31" i="39"/>
  <c r="F32" i="39"/>
  <c r="AA32" i="39"/>
  <c r="F34" i="39"/>
  <c r="AA34" i="39"/>
  <c r="B110" i="39"/>
  <c r="F35" i="39"/>
  <c r="AA35" i="39"/>
  <c r="B112" i="39"/>
  <c r="F36" i="39"/>
  <c r="AA36" i="39"/>
  <c r="B114" i="39"/>
  <c r="F37" i="39"/>
  <c r="AA37" i="39"/>
  <c r="E38" i="39"/>
  <c r="D118" i="39"/>
  <c r="E118" i="39"/>
  <c r="F118" i="39"/>
  <c r="G118" i="39"/>
  <c r="C38" i="39"/>
  <c r="F38" i="39"/>
  <c r="AA38" i="39" s="1"/>
  <c r="D120" i="39"/>
  <c r="F39" i="39"/>
  <c r="AA39" i="39"/>
  <c r="D122" i="39"/>
  <c r="F40" i="39"/>
  <c r="AA40" i="39"/>
  <c r="D124" i="39"/>
  <c r="E124" i="39" s="1"/>
  <c r="F124" i="39" s="1"/>
  <c r="G124" i="39" s="1"/>
  <c r="D126" i="39"/>
  <c r="F42" i="39"/>
  <c r="AA42" i="39"/>
  <c r="B127" i="39"/>
  <c r="F43" i="39"/>
  <c r="AA43" i="39"/>
  <c r="B129" i="39"/>
  <c r="F44" i="39"/>
  <c r="AA44" i="39"/>
  <c r="B131" i="39"/>
  <c r="F45" i="39"/>
  <c r="AA45" i="39"/>
  <c r="I46" i="39"/>
  <c r="G46" i="39"/>
  <c r="H118" i="39"/>
  <c r="I38" i="39"/>
  <c r="G38" i="39"/>
  <c r="C10" i="39"/>
  <c r="I7" i="39"/>
  <c r="G7" i="39"/>
  <c r="I6" i="39"/>
  <c r="G6" i="39"/>
  <c r="E6" i="39"/>
  <c r="I5" i="39"/>
  <c r="G5" i="39"/>
  <c r="E5" i="39"/>
  <c r="BE5" i="3"/>
  <c r="BB10" i="3"/>
  <c r="BC10" i="3"/>
  <c r="BD10" i="3"/>
  <c r="BE10" i="3"/>
  <c r="BF10" i="3"/>
  <c r="BG10" i="3"/>
  <c r="BH10" i="3"/>
  <c r="BI10" i="3"/>
  <c r="BJ10" i="3"/>
  <c r="BK10" i="3"/>
  <c r="BF5" i="3"/>
  <c r="BG5" i="3"/>
  <c r="BH5" i="3"/>
  <c r="BI5" i="3"/>
  <c r="BJ5" i="3"/>
  <c r="BK5" i="3"/>
  <c r="AK52" i="78"/>
  <c r="AS52" i="78"/>
  <c r="AS51" i="78"/>
  <c r="AS50" i="78"/>
  <c r="AS49" i="78"/>
  <c r="AS48" i="78"/>
  <c r="AS47" i="78"/>
  <c r="AS46" i="78"/>
  <c r="AS45" i="78"/>
  <c r="AS44" i="78"/>
  <c r="AS43" i="78"/>
  <c r="AS42" i="78"/>
  <c r="AS41" i="78"/>
  <c r="AS40" i="78"/>
  <c r="AS39" i="78"/>
  <c r="AS38" i="78"/>
  <c r="AS37" i="78"/>
  <c r="AS36" i="78"/>
  <c r="AS35" i="78"/>
  <c r="AS34" i="78"/>
  <c r="AS33" i="78"/>
  <c r="AS32" i="78"/>
  <c r="AS31" i="78"/>
  <c r="AS30" i="78"/>
  <c r="AS29" i="78"/>
  <c r="AS28" i="78"/>
  <c r="AS27" i="78"/>
  <c r="AS26" i="78"/>
  <c r="AS25" i="78"/>
  <c r="AS24" i="78"/>
  <c r="AS23" i="78"/>
  <c r="AS22" i="78"/>
  <c r="AS21" i="78"/>
  <c r="AS20" i="78"/>
  <c r="AS19" i="78"/>
  <c r="AS18" i="78"/>
  <c r="AS17" i="78"/>
  <c r="AS16" i="78"/>
  <c r="AS15" i="78"/>
  <c r="AS14" i="78"/>
  <c r="AS13" i="78"/>
  <c r="AS12" i="78"/>
  <c r="AS11" i="78"/>
  <c r="AS10" i="78"/>
  <c r="AS9" i="78"/>
  <c r="AS8" i="78"/>
  <c r="AS7" i="78"/>
  <c r="AS6" i="78"/>
  <c r="AS5" i="78"/>
  <c r="AS4" i="78"/>
  <c r="AS3" i="78"/>
  <c r="AS2" i="78"/>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C11" i="4"/>
  <c r="B7" i="4"/>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F1" i="67" s="1"/>
  <c r="AD5" i="3"/>
  <c r="AH5" i="3"/>
  <c r="AL5" i="3"/>
  <c r="AP5" i="3"/>
  <c r="C18" i="43"/>
  <c r="F33" i="43"/>
  <c r="C33" i="43"/>
  <c r="G33" i="43"/>
  <c r="H33" i="43"/>
  <c r="I33" i="43"/>
  <c r="E33" i="43"/>
  <c r="C99" i="43"/>
  <c r="C108" i="43"/>
  <c r="D99" i="43"/>
  <c r="D108" i="43"/>
  <c r="F113" i="43"/>
  <c r="H113" i="43"/>
  <c r="D1" i="43"/>
  <c r="C10" i="43"/>
  <c r="C11" i="43"/>
  <c r="E8" i="43"/>
  <c r="E9" i="43"/>
  <c r="E10" i="43"/>
  <c r="E11" i="43"/>
  <c r="C9" i="43"/>
  <c r="C7" i="43"/>
  <c r="C15" i="43"/>
  <c r="D15" i="43"/>
  <c r="E15" i="43"/>
  <c r="F15" i="43"/>
  <c r="C12" i="43"/>
  <c r="C100"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9" i="1"/>
  <c r="AP10" i="1"/>
  <c r="AP11" i="1"/>
  <c r="AP12" i="1"/>
  <c r="AP13" i="1"/>
  <c r="L21" i="6"/>
  <c r="L24" i="6"/>
  <c r="L25" i="6"/>
  <c r="L26" i="6"/>
  <c r="P27" i="6"/>
  <c r="A7" i="70"/>
  <c r="A8" i="70"/>
  <c r="E8" i="70"/>
  <c r="A9" i="70"/>
  <c r="A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E68" i="35"/>
  <c r="C18" i="35"/>
  <c r="Q21" i="37"/>
  <c r="Z21" i="37"/>
  <c r="D77" i="37"/>
  <c r="E77" i="37"/>
  <c r="C21" i="37"/>
  <c r="Q21" i="34"/>
  <c r="Z21" i="34"/>
  <c r="D84" i="34"/>
  <c r="E84" i="34"/>
  <c r="F21" i="34"/>
  <c r="AA21" i="34"/>
  <c r="C21" i="34"/>
  <c r="Q21" i="33"/>
  <c r="Z21" i="33"/>
  <c r="D83" i="33"/>
  <c r="E83" i="33"/>
  <c r="C21" i="33"/>
  <c r="C21" i="21"/>
  <c r="Q21" i="21"/>
  <c r="Z21" i="21"/>
  <c r="G20" i="20"/>
  <c r="B86" i="43"/>
  <c r="C22" i="20"/>
  <c r="D10" i="1"/>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s="1"/>
  <c r="A13" i="5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15" i="4"/>
  <c r="F8" i="1"/>
  <c r="G15" i="4"/>
  <c r="F11" i="1"/>
  <c r="F12" i="1"/>
  <c r="F13" i="1"/>
  <c r="D6"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13" i="53"/>
  <c r="B29" i="72"/>
  <c r="R35" i="4"/>
  <c r="Q35" i="4"/>
  <c r="P35" i="4"/>
  <c r="O35" i="4"/>
  <c r="N35" i="4"/>
  <c r="M35" i="4"/>
  <c r="L35" i="4"/>
  <c r="K34" i="4"/>
  <c r="T34" i="4" s="1"/>
  <c r="G13" i="1"/>
  <c r="G11" i="1"/>
  <c r="I15" i="4"/>
  <c r="F7" i="1"/>
  <c r="G7" i="1"/>
  <c r="F19" i="4"/>
  <c r="F2" i="52"/>
  <c r="B50" i="72"/>
  <c r="D2" i="52"/>
  <c r="B46" i="72"/>
  <c r="B8" i="53"/>
  <c r="B23" i="72"/>
  <c r="L4" i="9"/>
  <c r="B17" i="72"/>
  <c r="B15" i="72"/>
  <c r="A3" i="51"/>
  <c r="C8" i="11"/>
  <c r="C5" i="11" s="1"/>
  <c r="B2" i="49"/>
  <c r="B16" i="49" s="1"/>
  <c r="B40" i="48"/>
  <c r="B3" i="72" s="1"/>
  <c r="I2" i="43"/>
  <c r="N1" i="43"/>
  <c r="F35" i="4"/>
  <c r="J55" i="39"/>
  <c r="H34" i="43"/>
  <c r="H35" i="43"/>
  <c r="H36" i="43"/>
  <c r="H37" i="43"/>
  <c r="H38" i="43"/>
  <c r="H39" i="43"/>
  <c r="A7" i="43"/>
  <c r="F61" i="15"/>
  <c r="M19" i="15"/>
  <c r="D78" i="9"/>
  <c r="D24" i="15"/>
  <c r="AT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I7" i="12"/>
  <c r="J7" i="12"/>
  <c r="K7" i="12"/>
  <c r="H111" i="21"/>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E120" i="39"/>
  <c r="F120" i="39"/>
  <c r="G120" i="39"/>
  <c r="H120" i="39"/>
  <c r="I120" i="39"/>
  <c r="J120" i="39"/>
  <c r="K120" i="39"/>
  <c r="L120" i="39"/>
  <c r="M120" i="39"/>
  <c r="J37" i="39"/>
  <c r="D109"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F95" i="39"/>
  <c r="D93" i="39"/>
  <c r="E93" i="39"/>
  <c r="F93" i="39"/>
  <c r="G93" i="39"/>
  <c r="F91" i="39"/>
  <c r="G91"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F66" i="35"/>
  <c r="G66"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s="1"/>
  <c r="I69" i="21" s="1"/>
  <c r="J69" i="21" s="1"/>
  <c r="K69" i="21" s="1"/>
  <c r="L69" i="21" s="1"/>
  <c r="M69" i="21" s="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T5" i="3"/>
  <c r="V5" i="3"/>
  <c r="W5" i="3"/>
  <c r="X5" i="3"/>
  <c r="Y5" i="3"/>
  <c r="Z5" i="3"/>
  <c r="AA5" i="3"/>
  <c r="AB5" i="3"/>
  <c r="F5" i="3"/>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S40" i="21"/>
  <c r="U34" i="21"/>
  <c r="S34" i="21"/>
  <c r="C25" i="39"/>
  <c r="C27" i="39"/>
  <c r="C21" i="39"/>
  <c r="H11" i="39"/>
  <c r="S40" i="39"/>
  <c r="C15" i="39"/>
  <c r="H32" i="33"/>
  <c r="AB32" i="33"/>
  <c r="U11" i="21"/>
  <c r="H37" i="40"/>
  <c r="U37" i="40"/>
  <c r="H36" i="40"/>
  <c r="AB36" i="40"/>
  <c r="F35" i="40"/>
  <c r="AA35" i="40"/>
  <c r="H23" i="40"/>
  <c r="AB23" i="40"/>
  <c r="H17" i="40"/>
  <c r="U17" i="40"/>
  <c r="J15" i="40"/>
  <c r="W15" i="40"/>
  <c r="J11" i="40"/>
  <c r="W11" i="40"/>
  <c r="AB8" i="39"/>
  <c r="AB12" i="33"/>
  <c r="AC12" i="34"/>
  <c r="AA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W31" i="34"/>
  <c r="AC13" i="36"/>
  <c r="W13" i="36"/>
  <c r="S11" i="36"/>
  <c r="W11" i="36"/>
  <c r="W11" i="35"/>
  <c r="AB46" i="34"/>
  <c r="AC30" i="34"/>
  <c r="AA14" i="34"/>
  <c r="S45" i="33"/>
  <c r="AB45" i="33"/>
  <c r="AB31" i="33"/>
  <c r="U31" i="33"/>
  <c r="W29" i="33"/>
  <c r="U13" i="33"/>
  <c r="S44" i="34"/>
  <c r="S15"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W27" i="39"/>
  <c r="AB34" i="39"/>
  <c r="U40" i="39"/>
  <c r="S42" i="39"/>
  <c r="W14" i="39"/>
  <c r="W9" i="39"/>
  <c r="W8" i="39"/>
  <c r="J19" i="40"/>
  <c r="AC19" i="40"/>
  <c r="J50" i="40"/>
  <c r="B54" i="72"/>
  <c r="H103" i="9"/>
  <c r="D8" i="53" s="1"/>
  <c r="B16" i="53"/>
  <c r="B33" i="72"/>
  <c r="C7" i="37"/>
  <c r="C7" i="34"/>
  <c r="C7" i="36"/>
  <c r="W35" i="40"/>
  <c r="A118" i="9"/>
  <c r="J11" i="39"/>
  <c r="W11" i="39"/>
  <c r="A12" i="52"/>
  <c r="B56" i="72"/>
  <c r="S11" i="39"/>
  <c r="G4" i="4"/>
  <c r="I4" i="4"/>
  <c r="K5" i="4"/>
  <c r="B47" i="48"/>
  <c r="A2" i="9"/>
  <c r="N2" i="43"/>
  <c r="F59" i="43"/>
  <c r="BO5" i="3"/>
  <c r="BM5" i="3"/>
  <c r="F29" i="6"/>
  <c r="AC5" i="3"/>
  <c r="BP5" i="3"/>
  <c r="BN5" i="3"/>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B10" i="1"/>
  <c r="E10" i="1"/>
  <c r="D1" i="66"/>
  <c r="E10" i="66"/>
  <c r="S13" i="1"/>
  <c r="AR13" i="1" s="1"/>
  <c r="R13"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G30" i="6"/>
  <c r="J56" i="9"/>
  <c r="J57" i="9"/>
  <c r="A24" i="51"/>
  <c r="B18" i="72"/>
  <c r="U29" i="34"/>
  <c r="E32" i="6"/>
  <c r="L19" i="6"/>
  <c r="G1" i="68"/>
  <c r="K1" i="12"/>
  <c r="F30" i="6"/>
  <c r="E19" i="69"/>
  <c r="E19" i="68"/>
  <c r="E19" i="11"/>
  <c r="G41" i="69"/>
  <c r="G22" i="69"/>
  <c r="G41" i="68"/>
  <c r="G22" i="68"/>
  <c r="G27" i="12"/>
  <c r="G26" i="12"/>
  <c r="G41" i="11"/>
  <c r="G22" i="11"/>
  <c r="G25" i="12"/>
  <c r="E81" i="43"/>
  <c r="B79" i="43"/>
  <c r="E48" i="43"/>
  <c r="B46" i="43"/>
  <c r="E70" i="43"/>
  <c r="B68" i="43"/>
  <c r="F100" i="43"/>
  <c r="G6" i="1"/>
  <c r="H85" i="43"/>
  <c r="H81" i="43"/>
  <c r="H84" i="43"/>
  <c r="H88" i="43"/>
  <c r="H53" i="43"/>
  <c r="H54" i="43"/>
  <c r="H78" i="43"/>
  <c r="H70" i="43"/>
  <c r="H71" i="43"/>
  <c r="M7" i="43"/>
  <c r="N6" i="43"/>
  <c r="M2" i="43"/>
  <c r="M10" i="43"/>
  <c r="N3" i="43"/>
  <c r="N11" i="43"/>
  <c r="M9" i="43"/>
  <c r="N12" i="43"/>
  <c r="N5" i="43"/>
  <c r="M5" i="43"/>
  <c r="M12" i="43"/>
  <c r="M4" i="43"/>
  <c r="B19" i="53"/>
  <c r="B37" i="72"/>
  <c r="C7" i="33"/>
  <c r="C58" i="33"/>
  <c r="D58" i="33"/>
  <c r="E58" i="33"/>
  <c r="F58" i="33"/>
  <c r="G58" i="33"/>
  <c r="H58" i="33"/>
  <c r="I58" i="33"/>
  <c r="J58" i="33"/>
  <c r="K58" i="33"/>
  <c r="L58" i="33"/>
  <c r="M58" i="33"/>
  <c r="N58" i="33"/>
  <c r="O58" i="33"/>
  <c r="C7" i="40"/>
  <c r="C63" i="40"/>
  <c r="M47" i="9"/>
  <c r="C46" i="36"/>
  <c r="D46" i="36"/>
  <c r="E46" i="36"/>
  <c r="C59" i="34"/>
  <c r="D59" i="34"/>
  <c r="C52" i="37"/>
  <c r="D52" i="37"/>
  <c r="A4" i="51"/>
  <c r="B6" i="72" s="1"/>
  <c r="C94" i="9"/>
  <c r="C92" i="9"/>
  <c r="H62" i="43"/>
  <c r="H66" i="43"/>
  <c r="H61" i="43"/>
  <c r="H65" i="43"/>
  <c r="H60" i="43"/>
  <c r="H64" i="43"/>
  <c r="H59" i="43"/>
  <c r="H63" i="43"/>
  <c r="H67" i="43"/>
  <c r="H55" i="43"/>
  <c r="H51" i="43"/>
  <c r="H56" i="43"/>
  <c r="H76" i="43"/>
  <c r="H72" i="43"/>
  <c r="H77" i="43"/>
  <c r="L20" i="6"/>
  <c r="B6" i="1"/>
  <c r="E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c r="F30" i="69"/>
  <c r="C48" i="69"/>
  <c r="F60" i="15"/>
  <c r="M18" i="15"/>
  <c r="E30" i="6"/>
  <c r="K15" i="1"/>
  <c r="C48" i="68"/>
  <c r="C77" i="9"/>
  <c r="C74" i="9"/>
  <c r="C30" i="69"/>
  <c r="E7" i="70"/>
  <c r="C24" i="12"/>
  <c r="AA39" i="40"/>
  <c r="S39" i="40"/>
  <c r="S12" i="33"/>
  <c r="AA12" i="33"/>
  <c r="D68" i="9"/>
  <c r="F54" i="9"/>
  <c r="J32" i="39"/>
  <c r="H107" i="39"/>
  <c r="I107" i="39"/>
  <c r="J107" i="39"/>
  <c r="K107" i="39"/>
  <c r="L107" i="39"/>
  <c r="M107" i="39"/>
  <c r="H32" i="39"/>
  <c r="S32" i="39"/>
  <c r="AB21" i="39"/>
  <c r="U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BL5" i="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9" i="34"/>
  <c r="F59" i="34"/>
  <c r="C65" i="40"/>
  <c r="D63" i="40"/>
  <c r="W33" i="21"/>
  <c r="S33" i="21"/>
  <c r="W32" i="21"/>
  <c r="U9" i="21"/>
  <c r="S32" i="21"/>
  <c r="W9" i="21"/>
  <c r="U32" i="21"/>
  <c r="S10" i="21"/>
  <c r="F31" i="15"/>
  <c r="M17" i="15"/>
  <c r="F59" i="67"/>
  <c r="F59" i="15"/>
  <c r="F31" i="67"/>
  <c r="M17" i="67"/>
  <c r="C30" i="11"/>
  <c r="E6" i="70"/>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7" i="36"/>
  <c r="S7" i="36"/>
  <c r="H7" i="37"/>
  <c r="U7" i="37"/>
  <c r="I38" i="43"/>
  <c r="T11" i="43"/>
  <c r="V11" i="43"/>
  <c r="T16" i="43"/>
  <c r="V16" i="43"/>
  <c r="T14" i="43"/>
  <c r="V14" i="43"/>
  <c r="T12" i="43"/>
  <c r="V12" i="43"/>
  <c r="T9" i="43"/>
  <c r="V9" i="43"/>
  <c r="T8" i="43"/>
  <c r="V8" i="43"/>
  <c r="T15" i="43"/>
  <c r="V15" i="43"/>
  <c r="T13" i="43"/>
  <c r="V13" i="43"/>
  <c r="T10" i="43"/>
  <c r="V10" i="43"/>
  <c r="E39" i="43"/>
  <c r="I37" i="43"/>
  <c r="F7" i="37"/>
  <c r="J7" i="36"/>
  <c r="H7" i="36"/>
  <c r="U7" i="36"/>
  <c r="J7" i="37"/>
  <c r="G59" i="34"/>
  <c r="H59" i="34"/>
  <c r="I59" i="34"/>
  <c r="J59" i="34"/>
  <c r="K59" i="34"/>
  <c r="L59" i="34"/>
  <c r="M59" i="34"/>
  <c r="N59" i="34"/>
  <c r="O59" i="34"/>
  <c r="E63" i="40"/>
  <c r="D65" i="40"/>
  <c r="J7" i="34"/>
  <c r="I39" i="43"/>
  <c r="Q52" i="67"/>
  <c r="E37" i="43"/>
  <c r="AA7" i="36"/>
  <c r="R36" i="36"/>
  <c r="E36" i="36"/>
  <c r="E40" i="36"/>
  <c r="F40" i="36"/>
  <c r="AC11" i="37"/>
  <c r="W11" i="37"/>
  <c r="AB7" i="37"/>
  <c r="T42" i="37"/>
  <c r="G42" i="37"/>
  <c r="G46" i="37"/>
  <c r="H46" i="37"/>
  <c r="W11" i="34"/>
  <c r="AC11" i="34"/>
  <c r="AB7" i="36"/>
  <c r="T36" i="36"/>
  <c r="E38" i="43"/>
  <c r="I35" i="43"/>
  <c r="E35" i="43"/>
  <c r="I36" i="43"/>
  <c r="I34" i="43"/>
  <c r="E34" i="43"/>
  <c r="F7" i="34"/>
  <c r="S7" i="34"/>
  <c r="G38" i="35"/>
  <c r="G42" i="35"/>
  <c r="H42" i="35"/>
  <c r="U7" i="35"/>
  <c r="S7" i="37"/>
  <c r="AA7" i="37"/>
  <c r="R42" i="37"/>
  <c r="S7" i="21"/>
  <c r="S7" i="35"/>
  <c r="W7" i="36"/>
  <c r="AC7" i="36"/>
  <c r="V36" i="36"/>
  <c r="I36" i="36"/>
  <c r="I41" i="36"/>
  <c r="J41" i="36"/>
  <c r="I38" i="35"/>
  <c r="W7" i="35"/>
  <c r="H7" i="34"/>
  <c r="U7" i="34"/>
  <c r="W7" i="37"/>
  <c r="AC7" i="37"/>
  <c r="V42" i="37"/>
  <c r="I42" i="37"/>
  <c r="W7" i="34"/>
  <c r="AC7" i="34"/>
  <c r="V49" i="34"/>
  <c r="I49" i="34"/>
  <c r="I53" i="34"/>
  <c r="J53" i="34"/>
  <c r="AA7" i="34"/>
  <c r="R49" i="34"/>
  <c r="F63" i="40"/>
  <c r="E65" i="40"/>
  <c r="G36" i="36"/>
  <c r="R37" i="36"/>
  <c r="AB7" i="34"/>
  <c r="T49" i="34"/>
  <c r="G49" i="34"/>
  <c r="G53" i="34"/>
  <c r="H53" i="34"/>
  <c r="W7" i="21"/>
  <c r="U7" i="21"/>
  <c r="I40" i="36"/>
  <c r="J40" i="36"/>
  <c r="R43" i="37"/>
  <c r="E42" i="37"/>
  <c r="I47" i="37"/>
  <c r="J47" i="37"/>
  <c r="G43" i="35"/>
  <c r="H43" i="35"/>
  <c r="I42" i="35"/>
  <c r="J42" i="35"/>
  <c r="E38" i="35"/>
  <c r="I43" i="35"/>
  <c r="J43" i="35"/>
  <c r="G47" i="37"/>
  <c r="H47" i="37"/>
  <c r="I46" i="37"/>
  <c r="J46" i="37"/>
  <c r="G63" i="40"/>
  <c r="F65" i="40"/>
  <c r="R50" i="34"/>
  <c r="E49" i="34"/>
  <c r="G54" i="34"/>
  <c r="H54" i="34"/>
  <c r="C37" i="36"/>
  <c r="C36" i="36"/>
  <c r="G40" i="36"/>
  <c r="H40" i="36"/>
  <c r="E41" i="36"/>
  <c r="F41" i="36"/>
  <c r="G41" i="36"/>
  <c r="H41" i="36"/>
  <c r="C19" i="68"/>
  <c r="E47" i="37"/>
  <c r="F47" i="37"/>
  <c r="E46" i="37"/>
  <c r="F46" i="37"/>
  <c r="C43" i="37"/>
  <c r="C42" i="37"/>
  <c r="C38" i="35"/>
  <c r="E43" i="35"/>
  <c r="F43" i="35"/>
  <c r="E42" i="35"/>
  <c r="F42" i="35"/>
  <c r="E54" i="34"/>
  <c r="F54" i="34"/>
  <c r="I54" i="34"/>
  <c r="J54" i="34"/>
  <c r="E53" i="34"/>
  <c r="F53" i="34"/>
  <c r="C49" i="34"/>
  <c r="C50" i="34"/>
  <c r="H63" i="40"/>
  <c r="G65" i="40"/>
  <c r="I63" i="40"/>
  <c r="H65" i="40"/>
  <c r="J63" i="40"/>
  <c r="I65" i="40"/>
  <c r="K63" i="40"/>
  <c r="J65" i="40"/>
  <c r="L63" i="40"/>
  <c r="K65" i="40"/>
  <c r="M63" i="40"/>
  <c r="L65" i="40"/>
  <c r="N63" i="40"/>
  <c r="M65" i="40"/>
  <c r="O63" i="40"/>
  <c r="O65" i="40"/>
  <c r="N65" i="40"/>
  <c r="F7" i="40"/>
  <c r="H7" i="40"/>
  <c r="J7" i="40"/>
  <c r="W7" i="40"/>
  <c r="AC7" i="40"/>
  <c r="V42" i="40"/>
  <c r="I42" i="40" s="1"/>
  <c r="AB7" i="40"/>
  <c r="T42" i="40"/>
  <c r="G42" i="40" s="1"/>
  <c r="U7" i="40"/>
  <c r="AA7" i="40"/>
  <c r="R42" i="40"/>
  <c r="R43" i="40" s="1"/>
  <c r="C43" i="40" s="1"/>
  <c r="B53" i="40" s="1"/>
  <c r="F53" i="40" s="1"/>
  <c r="S7" i="40"/>
  <c r="AE7" i="1"/>
  <c r="AE8" i="1"/>
  <c r="AE6" i="1"/>
  <c r="AG6" i="1"/>
  <c r="H109" i="9"/>
  <c r="H110" i="9"/>
  <c r="D18" i="53" s="1"/>
  <c r="B35" i="72" s="1"/>
  <c r="D124" i="9"/>
  <c r="D16" i="53"/>
  <c r="B34" i="72" s="1"/>
  <c r="D10" i="52"/>
  <c r="H14" i="74"/>
  <c r="D17" i="53"/>
  <c r="B36" i="72" s="1"/>
  <c r="D125" i="9"/>
  <c r="D11" i="52" s="1"/>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D59" i="9"/>
  <c r="M55" i="9"/>
  <c r="P21" i="43"/>
  <c r="P22" i="43"/>
  <c r="P24" i="43"/>
  <c r="B66" i="40"/>
  <c r="P25" i="43"/>
  <c r="F13" i="81"/>
  <c r="F16" i="15"/>
  <c r="M6" i="15"/>
  <c r="M26" i="81"/>
  <c r="B11" i="76"/>
  <c r="C76" i="15"/>
  <c r="F7" i="67"/>
  <c r="F40" i="81"/>
  <c r="B12" i="76"/>
  <c r="M22" i="67"/>
  <c r="L47" i="81"/>
  <c r="F8" i="67"/>
  <c r="AO8" i="1"/>
  <c r="E2" i="68"/>
  <c r="B8" i="76"/>
  <c r="F13" i="67"/>
  <c r="M8" i="81"/>
  <c r="F26" i="67"/>
  <c r="D4" i="73"/>
  <c r="M26" i="15"/>
  <c r="F8" i="81"/>
  <c r="F6" i="15"/>
  <c r="E7" i="76"/>
  <c r="M22" i="15"/>
  <c r="F6" i="81"/>
  <c r="M6" i="67"/>
  <c r="F16" i="81"/>
  <c r="B10" i="76"/>
  <c r="E2" i="69"/>
  <c r="F9" i="81"/>
  <c r="F26" i="81"/>
  <c r="F38" i="81"/>
  <c r="F8" i="15"/>
  <c r="F40" i="15"/>
  <c r="F36" i="81"/>
  <c r="F9" i="15"/>
  <c r="M9" i="81"/>
  <c r="M9" i="15"/>
  <c r="M22" i="81"/>
  <c r="D2" i="79"/>
  <c r="E13" i="76"/>
  <c r="B7" i="76"/>
  <c r="D7" i="73"/>
  <c r="AO12" i="1"/>
  <c r="M26" i="67"/>
  <c r="F43" i="67"/>
  <c r="F40" i="67"/>
  <c r="F42" i="67"/>
  <c r="F42" i="15"/>
  <c r="E8" i="76"/>
  <c r="F3" i="73"/>
  <c r="J15" i="15"/>
  <c r="F9" i="67"/>
  <c r="F38" i="15"/>
  <c r="E10" i="76"/>
  <c r="AO13" i="1"/>
  <c r="M9" i="67"/>
  <c r="M27" i="67"/>
  <c r="D2" i="36"/>
  <c r="AO7" i="1"/>
  <c r="D2" i="37"/>
  <c r="F37" i="81"/>
  <c r="L48" i="15"/>
  <c r="E11" i="76"/>
  <c r="F7" i="73"/>
  <c r="C76" i="67"/>
  <c r="J15" i="67"/>
  <c r="F35" i="67"/>
  <c r="M28" i="81"/>
  <c r="B9" i="76"/>
  <c r="F36" i="67"/>
  <c r="F26" i="15"/>
  <c r="M28" i="15"/>
  <c r="M27" i="15"/>
  <c r="D2" i="34"/>
  <c r="M6" i="81"/>
  <c r="J15" i="81"/>
  <c r="B13" i="76"/>
  <c r="L47" i="15"/>
  <c r="L48" i="67"/>
  <c r="M8" i="67"/>
  <c r="F13" i="15"/>
  <c r="M24" i="15"/>
  <c r="M23" i="67"/>
  <c r="M8" i="15"/>
  <c r="M24" i="67"/>
  <c r="M21" i="67"/>
  <c r="D2" i="35"/>
  <c r="AO6" i="1"/>
  <c r="D6" i="73"/>
  <c r="L48" i="81"/>
  <c r="C76" i="81"/>
  <c r="F42" i="81"/>
  <c r="F37" i="15"/>
  <c r="M23" i="81"/>
  <c r="E9" i="76"/>
  <c r="F5" i="73"/>
  <c r="F6" i="67"/>
  <c r="L47" i="67"/>
  <c r="M29" i="67"/>
  <c r="M27" i="81"/>
  <c r="M23" i="15"/>
  <c r="F4" i="73"/>
  <c r="D3" i="73"/>
  <c r="F37" i="67"/>
  <c r="D2" i="33"/>
  <c r="D5" i="73"/>
  <c r="F36" i="15"/>
  <c r="M24" i="81"/>
  <c r="AO11" i="1"/>
  <c r="M28" i="67"/>
  <c r="E12" i="76"/>
  <c r="F41" i="67"/>
  <c r="F20" i="31"/>
  <c r="F6" i="73"/>
  <c r="F38" i="67"/>
  <c r="D2" i="80"/>
  <c r="F16" i="67"/>
  <c r="D2" i="21"/>
  <c r="F41" i="39" l="1"/>
  <c r="AA41" i="39" s="1"/>
  <c r="H124" i="39"/>
  <c r="I124" i="39" s="1"/>
  <c r="J124" i="39" s="1"/>
  <c r="K124" i="39" s="1"/>
  <c r="L124" i="39" s="1"/>
  <c r="M124" i="39" s="1"/>
  <c r="J41" i="39"/>
  <c r="H41" i="39"/>
  <c r="D9" i="53"/>
  <c r="B25" i="72" s="1"/>
  <c r="B24" i="72"/>
  <c r="E42" i="40"/>
  <c r="E46" i="40" s="1"/>
  <c r="F46" i="40" s="1"/>
  <c r="S41" i="39"/>
  <c r="T35" i="4"/>
  <c r="A19" i="51" s="1"/>
  <c r="B14" i="72" s="1"/>
  <c r="G48" i="21"/>
  <c r="G52" i="21" s="1"/>
  <c r="H52" i="21" s="1"/>
  <c r="AA11" i="21"/>
  <c r="R48" i="21" s="1"/>
  <c r="E48" i="21" s="1"/>
  <c r="E52" i="21" s="1"/>
  <c r="F52" i="21" s="1"/>
  <c r="S11" i="21"/>
  <c r="W11" i="21"/>
  <c r="V48" i="21"/>
  <c r="I48" i="21" s="1"/>
  <c r="I53" i="21" s="1"/>
  <c r="J53" i="21" s="1"/>
  <c r="R49" i="79"/>
  <c r="E48" i="79"/>
  <c r="G53" i="80"/>
  <c r="H53" i="80" s="1"/>
  <c r="I52" i="80"/>
  <c r="J52" i="80" s="1"/>
  <c r="AA33" i="80"/>
  <c r="R48" i="80" s="1"/>
  <c r="S33" i="80"/>
  <c r="E53" i="21"/>
  <c r="F53" i="21" s="1"/>
  <c r="K11" i="1"/>
  <c r="M11" i="1" s="1"/>
  <c r="O11" i="1" s="1"/>
  <c r="P11" i="1" s="1"/>
  <c r="H7" i="12"/>
  <c r="D3" i="35"/>
  <c r="B3" i="35" s="1"/>
  <c r="H6" i="12" s="1"/>
  <c r="G27" i="6"/>
  <c r="G31" i="6" s="1"/>
  <c r="E23" i="6"/>
  <c r="E22" i="6"/>
  <c r="F7" i="12" s="1"/>
  <c r="E61" i="40"/>
  <c r="F61" i="40" s="1"/>
  <c r="B2" i="40" s="1"/>
  <c r="K9" i="1"/>
  <c r="B60" i="40"/>
  <c r="C18" i="4"/>
  <c r="C4" i="52" s="1"/>
  <c r="B45" i="72" s="1"/>
  <c r="B55" i="40"/>
  <c r="F55" i="40" s="1"/>
  <c r="AQ12" i="1"/>
  <c r="L27" i="6"/>
  <c r="C42" i="40"/>
  <c r="T12" i="1"/>
  <c r="T13" i="1"/>
  <c r="AQ13" i="1"/>
  <c r="G46" i="40"/>
  <c r="H46" i="40" s="1"/>
  <c r="E47" i="40"/>
  <c r="F47" i="40" s="1"/>
  <c r="I5" i="3"/>
  <c r="H13" i="3"/>
  <c r="K5" i="3"/>
  <c r="BC13" i="3"/>
  <c r="BC5" i="3" s="1"/>
  <c r="F19" i="6"/>
  <c r="E19" i="6" s="1"/>
  <c r="O14" i="1"/>
  <c r="P14" i="1" s="1"/>
  <c r="O12" i="1"/>
  <c r="P12" i="1" s="1"/>
  <c r="G47" i="40"/>
  <c r="H47" i="40" s="1"/>
  <c r="B10" i="49"/>
  <c r="A4" i="52"/>
  <c r="B41" i="72" s="1"/>
  <c r="I47" i="40"/>
  <c r="J47" i="40" s="1"/>
  <c r="I46" i="40"/>
  <c r="J46" i="40" s="1"/>
  <c r="B57" i="40"/>
  <c r="B58" i="40"/>
  <c r="B59" i="40"/>
  <c r="B52" i="40"/>
  <c r="F52" i="40" s="1"/>
  <c r="B56" i="40"/>
  <c r="B51" i="40"/>
  <c r="B54" i="40"/>
  <c r="F54" i="40" s="1"/>
  <c r="M19" i="9"/>
  <c r="C118" i="9" s="1"/>
  <c r="C14" i="74" s="1"/>
  <c r="B2" i="74" s="1"/>
  <c r="D7" i="74" s="1"/>
  <c r="O13" i="1"/>
  <c r="P13" i="1" s="1"/>
  <c r="D3" i="21"/>
  <c r="K6" i="1"/>
  <c r="C7" i="12"/>
  <c r="BD13" i="3"/>
  <c r="BD5" i="3" s="1"/>
  <c r="BB13" i="3"/>
  <c r="E9" i="49"/>
  <c r="B11" i="49"/>
  <c r="E4" i="4" s="1"/>
  <c r="B5" i="62" s="1"/>
  <c r="B73" i="72" s="1"/>
  <c r="E4" i="49"/>
  <c r="E16" i="49"/>
  <c r="E7" i="49"/>
  <c r="B6" i="49"/>
  <c r="E21" i="49"/>
  <c r="B9" i="49"/>
  <c r="E6" i="49"/>
  <c r="B6" i="70"/>
  <c r="B7" i="70"/>
  <c r="B20" i="31"/>
  <c r="B2" i="36"/>
  <c r="B3" i="36" s="1"/>
  <c r="B8" i="70"/>
  <c r="J20" i="67"/>
  <c r="F65" i="67"/>
  <c r="F51" i="67"/>
  <c r="B13" i="70"/>
  <c r="E20" i="43"/>
  <c r="L58" i="81"/>
  <c r="N59" i="81"/>
  <c r="F66" i="15"/>
  <c r="C27" i="15"/>
  <c r="I1" i="73"/>
  <c r="B39" i="1" s="1"/>
  <c r="F69" i="67"/>
  <c r="F64" i="67"/>
  <c r="C27" i="67"/>
  <c r="F68" i="81"/>
  <c r="F63" i="67"/>
  <c r="C62" i="67" s="1"/>
  <c r="C34" i="67"/>
  <c r="F70" i="67"/>
  <c r="F68" i="67"/>
  <c r="F66" i="67"/>
  <c r="L59" i="67"/>
  <c r="N59" i="67"/>
  <c r="L58" i="67"/>
  <c r="F71" i="67"/>
  <c r="L56" i="67"/>
  <c r="I54" i="67"/>
  <c r="J57" i="67"/>
  <c r="J55" i="67" s="1"/>
  <c r="J58" i="67" s="1"/>
  <c r="Q50" i="67" s="1"/>
  <c r="F50" i="67"/>
  <c r="M7" i="67"/>
  <c r="J6" i="67" s="1"/>
  <c r="C6" i="67"/>
  <c r="Q71" i="67"/>
  <c r="B12" i="70"/>
  <c r="N59" i="15"/>
  <c r="L58" i="15"/>
  <c r="Q71" i="15"/>
  <c r="B11" i="70"/>
  <c r="J60" i="15"/>
  <c r="Q48" i="15" s="1"/>
  <c r="L57" i="15"/>
  <c r="L60" i="15"/>
  <c r="J59" i="15"/>
  <c r="L56" i="15"/>
  <c r="J57" i="15"/>
  <c r="J55" i="15" s="1"/>
  <c r="J58" i="15" s="1"/>
  <c r="Q50" i="15" s="1"/>
  <c r="I54" i="15"/>
  <c r="F65" i="15"/>
  <c r="F64" i="15"/>
  <c r="Q71" i="81"/>
  <c r="F68" i="15"/>
  <c r="F51" i="15"/>
  <c r="J60" i="81"/>
  <c r="Q48" i="81" s="1"/>
  <c r="L60" i="81"/>
  <c r="J59" i="81"/>
  <c r="L57" i="81"/>
  <c r="I54" i="81"/>
  <c r="J57" i="81"/>
  <c r="J55" i="81" s="1"/>
  <c r="J58" i="81" s="1"/>
  <c r="Q50" i="81" s="1"/>
  <c r="L56" i="81"/>
  <c r="F66" i="81"/>
  <c r="F65" i="81"/>
  <c r="F64" i="81"/>
  <c r="C27" i="81"/>
  <c r="K1" i="73"/>
  <c r="F51" i="81"/>
  <c r="B23" i="49"/>
  <c r="B22" i="49"/>
  <c r="B7" i="49"/>
  <c r="C4" i="4" s="1"/>
  <c r="B14" i="49"/>
  <c r="E22" i="49"/>
  <c r="B5" i="49"/>
  <c r="B13" i="49"/>
  <c r="E8" i="49"/>
  <c r="E10" i="49"/>
  <c r="E5" i="49"/>
  <c r="B4" i="49"/>
  <c r="B8" i="49"/>
  <c r="E11" i="49"/>
  <c r="M29" i="81"/>
  <c r="F43" i="81"/>
  <c r="C16" i="67"/>
  <c r="C14" i="67"/>
  <c r="F7" i="81"/>
  <c r="C17" i="67"/>
  <c r="G1" i="73"/>
  <c r="U41" i="39" l="1"/>
  <c r="AB41" i="39"/>
  <c r="W41" i="39"/>
  <c r="AC41" i="39"/>
  <c r="G53" i="21"/>
  <c r="H53" i="21" s="1"/>
  <c r="I52" i="21"/>
  <c r="J52" i="21" s="1"/>
  <c r="R49" i="21"/>
  <c r="E53" i="79"/>
  <c r="F53" i="79" s="1"/>
  <c r="E52" i="79"/>
  <c r="F52" i="79" s="1"/>
  <c r="I53" i="79"/>
  <c r="J53" i="79" s="1"/>
  <c r="E48" i="80"/>
  <c r="R49" i="80"/>
  <c r="C48" i="79"/>
  <c r="C49" i="79"/>
  <c r="B3" i="79" s="1"/>
  <c r="D6" i="12" s="1"/>
  <c r="K10" i="1"/>
  <c r="G7" i="12"/>
  <c r="F71" i="81"/>
  <c r="C6" i="81"/>
  <c r="F50" i="81"/>
  <c r="C49" i="81" s="1"/>
  <c r="M7" i="81"/>
  <c r="J6" i="81" s="1"/>
  <c r="M9" i="1"/>
  <c r="I4" i="6"/>
  <c r="G3" i="43" s="1"/>
  <c r="B113" i="43" s="1"/>
  <c r="F21" i="6"/>
  <c r="E21" i="6" s="1"/>
  <c r="K8" i="1" s="1"/>
  <c r="G13" i="3"/>
  <c r="H5" i="3"/>
  <c r="F20" i="6"/>
  <c r="E20" i="6" s="1"/>
  <c r="L46" i="15"/>
  <c r="L46" i="81"/>
  <c r="BA13" i="3"/>
  <c r="BB5" i="3"/>
  <c r="M6" i="1"/>
  <c r="AP6" i="1"/>
  <c r="E7" i="12"/>
  <c r="C18" i="67"/>
  <c r="C15" i="67"/>
  <c r="B40" i="1"/>
  <c r="Q57" i="15"/>
  <c r="Q66" i="15"/>
  <c r="Q73" i="15"/>
  <c r="Q60" i="15"/>
  <c r="Q60" i="67"/>
  <c r="Q73" i="67"/>
  <c r="Q74" i="67"/>
  <c r="Q61" i="67"/>
  <c r="Q73" i="81"/>
  <c r="Q60" i="81"/>
  <c r="B4" i="62"/>
  <c r="B71" i="72" s="1"/>
  <c r="K4" i="4"/>
  <c r="B46" i="48" s="1"/>
  <c r="B4" i="72" s="1"/>
  <c r="Q66" i="81"/>
  <c r="Q57" i="81"/>
  <c r="F11" i="81"/>
  <c r="C53" i="81" s="1"/>
  <c r="F11" i="15"/>
  <c r="C53" i="15" s="1"/>
  <c r="F11" i="67"/>
  <c r="M11" i="15"/>
  <c r="M11" i="81"/>
  <c r="M11" i="67"/>
  <c r="J10" i="67" s="1"/>
  <c r="J5" i="67" s="1"/>
  <c r="O17" i="43"/>
  <c r="M17" i="43"/>
  <c r="P17" i="43"/>
  <c r="N17" i="43"/>
  <c r="C49" i="67"/>
  <c r="M29" i="15"/>
  <c r="C16" i="81"/>
  <c r="F43" i="15"/>
  <c r="F7" i="15"/>
  <c r="Z7" i="43" l="1"/>
  <c r="M101" i="43"/>
  <c r="M104" i="43" s="1"/>
  <c r="S7" i="43"/>
  <c r="T7" i="43" s="1"/>
  <c r="V7" i="43" s="1"/>
  <c r="H101" i="43"/>
  <c r="H106" i="43" s="1"/>
  <c r="N101" i="43"/>
  <c r="N105" i="43" s="1"/>
  <c r="AC11" i="43"/>
  <c r="AC13" i="43" s="1"/>
  <c r="AF11" i="43"/>
  <c r="AF13" i="43" s="1"/>
  <c r="S6" i="43"/>
  <c r="T6" i="43" s="1"/>
  <c r="V6" i="43" s="1"/>
  <c r="C23" i="43"/>
  <c r="C21" i="43" s="1"/>
  <c r="G22" i="43"/>
  <c r="C48" i="21"/>
  <c r="C49" i="21"/>
  <c r="J10" i="81"/>
  <c r="J5" i="81" s="1"/>
  <c r="J26" i="81" s="1"/>
  <c r="Y11" i="43"/>
  <c r="Y13" i="43" s="1"/>
  <c r="AG11" i="43"/>
  <c r="AG13" i="43" s="1"/>
  <c r="AB11" i="43"/>
  <c r="AB13" i="43" s="1"/>
  <c r="AJ11" i="43"/>
  <c r="AJ13" i="43" s="1"/>
  <c r="J22" i="43"/>
  <c r="E101" i="43"/>
  <c r="E107" i="43" s="1"/>
  <c r="F22" i="43"/>
  <c r="J101" i="43"/>
  <c r="J104" i="43" s="1"/>
  <c r="K101" i="43"/>
  <c r="K107" i="43" s="1"/>
  <c r="C101" i="43"/>
  <c r="C105" i="43" s="1"/>
  <c r="D3" i="80"/>
  <c r="E53" i="80"/>
  <c r="F53" i="80" s="1"/>
  <c r="E52" i="80"/>
  <c r="F52" i="80" s="1"/>
  <c r="I53" i="80"/>
  <c r="J53" i="80" s="1"/>
  <c r="B2" i="80"/>
  <c r="E8" i="12" s="1"/>
  <c r="C49" i="80"/>
  <c r="B3" i="80" s="1"/>
  <c r="E6" i="12" s="1"/>
  <c r="C48" i="80"/>
  <c r="M7" i="15"/>
  <c r="J6" i="15" s="1"/>
  <c r="J10" i="15" s="1"/>
  <c r="J5" i="15" s="1"/>
  <c r="F50" i="15"/>
  <c r="C49" i="15" s="1"/>
  <c r="C48" i="15" s="1"/>
  <c r="C6" i="15"/>
  <c r="C10" i="15" s="1"/>
  <c r="C5" i="15" s="1"/>
  <c r="C32" i="15" s="1"/>
  <c r="F71" i="15"/>
  <c r="M10" i="1"/>
  <c r="S4" i="43"/>
  <c r="T4" i="43" s="1"/>
  <c r="V4" i="43" s="1"/>
  <c r="AA11" i="43"/>
  <c r="AA13" i="43" s="1"/>
  <c r="AE11" i="43"/>
  <c r="AE13" i="43" s="1"/>
  <c r="AI11" i="43"/>
  <c r="AI13" i="43" s="1"/>
  <c r="Z11" i="43"/>
  <c r="Z13" i="43" s="1"/>
  <c r="AD11" i="43"/>
  <c r="AD13" i="43" s="1"/>
  <c r="AH11" i="43"/>
  <c r="AH13" i="43" s="1"/>
  <c r="S2" i="43"/>
  <c r="T2" i="43" s="1"/>
  <c r="V2" i="43" s="1"/>
  <c r="H22" i="43"/>
  <c r="S3" i="43"/>
  <c r="T3" i="43" s="1"/>
  <c r="V3" i="43" s="1"/>
  <c r="S5" i="43"/>
  <c r="T5" i="43" s="1"/>
  <c r="V5" i="43" s="1"/>
  <c r="I101" i="43"/>
  <c r="I109" i="43" s="1"/>
  <c r="L101" i="43"/>
  <c r="L102" i="43" s="1"/>
  <c r="E22" i="43"/>
  <c r="N104" i="46"/>
  <c r="G101" i="43"/>
  <c r="G105" i="43" s="1"/>
  <c r="F101" i="43"/>
  <c r="F102" i="43" s="1"/>
  <c r="D101" i="43"/>
  <c r="D103" i="43" s="1"/>
  <c r="O9" i="1"/>
  <c r="P9" i="1" s="1"/>
  <c r="K7" i="1"/>
  <c r="H16" i="1" s="1"/>
  <c r="D3" i="79"/>
  <c r="B2" i="79" s="1"/>
  <c r="D8" i="12" s="1"/>
  <c r="D7" i="12"/>
  <c r="G5" i="3"/>
  <c r="B3" i="3" s="1"/>
  <c r="E13" i="3" s="1"/>
  <c r="C34" i="69"/>
  <c r="C35" i="69" s="1"/>
  <c r="C48" i="81"/>
  <c r="C66" i="81" s="1"/>
  <c r="O6" i="1"/>
  <c r="P6" i="1" s="1"/>
  <c r="AZ13" i="3"/>
  <c r="BA5" i="3"/>
  <c r="I103" i="43"/>
  <c r="M8" i="1"/>
  <c r="AP8" i="1"/>
  <c r="E12" i="6"/>
  <c r="E8" i="6"/>
  <c r="E15" i="6"/>
  <c r="E13" i="6"/>
  <c r="E11" i="6"/>
  <c r="E14" i="6"/>
  <c r="E5" i="6"/>
  <c r="E10" i="6"/>
  <c r="H104" i="43"/>
  <c r="E105" i="43"/>
  <c r="E109" i="43"/>
  <c r="M109" i="43"/>
  <c r="C29" i="43"/>
  <c r="J102" i="43"/>
  <c r="N102" i="43"/>
  <c r="N107" i="43"/>
  <c r="N103" i="43"/>
  <c r="N104" i="43"/>
  <c r="K104" i="43"/>
  <c r="C107" i="43"/>
  <c r="C109" i="43"/>
  <c r="D105" i="43"/>
  <c r="D116" i="43"/>
  <c r="E116" i="43" s="1"/>
  <c r="F116" i="43" s="1"/>
  <c r="G116" i="43" s="1"/>
  <c r="H116" i="43" s="1"/>
  <c r="D118" i="43"/>
  <c r="E118" i="43" s="1"/>
  <c r="F118" i="43" s="1"/>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I117" i="43"/>
  <c r="J117" i="43" s="1"/>
  <c r="K117" i="43" s="1"/>
  <c r="L117" i="43" s="1"/>
  <c r="M117" i="43" s="1"/>
  <c r="I116" i="43"/>
  <c r="J116" i="43" s="1"/>
  <c r="K116" i="43" s="1"/>
  <c r="L116" i="43" s="1"/>
  <c r="M116" i="43" s="1"/>
  <c r="C19" i="67"/>
  <c r="C20" i="67" s="1"/>
  <c r="C26" i="67" s="1"/>
  <c r="F24" i="15"/>
  <c r="C24" i="15" s="1"/>
  <c r="F22" i="11"/>
  <c r="F22" i="69"/>
  <c r="F24" i="81"/>
  <c r="C24" i="81" s="1"/>
  <c r="F24" i="67"/>
  <c r="C24" i="67" s="1"/>
  <c r="F25" i="12"/>
  <c r="F22" i="68"/>
  <c r="C53" i="67"/>
  <c r="C48" i="67" s="1"/>
  <c r="C10" i="67"/>
  <c r="C5" i="67" s="1"/>
  <c r="J18" i="67"/>
  <c r="J24" i="67"/>
  <c r="J26" i="67"/>
  <c r="J29" i="67" s="1"/>
  <c r="C10" i="81"/>
  <c r="C5" i="81" s="1"/>
  <c r="C16" i="15"/>
  <c r="M106" i="43" l="1"/>
  <c r="M107" i="43"/>
  <c r="H105" i="43"/>
  <c r="K109" i="43"/>
  <c r="M103" i="43"/>
  <c r="M102" i="43"/>
  <c r="M105" i="43"/>
  <c r="H102" i="43"/>
  <c r="H107" i="43"/>
  <c r="D106" i="43"/>
  <c r="G102" i="43"/>
  <c r="C104" i="43"/>
  <c r="C103" i="43"/>
  <c r="N106" i="43"/>
  <c r="N109" i="43"/>
  <c r="J109" i="43"/>
  <c r="J105" i="43"/>
  <c r="E106" i="43"/>
  <c r="E104" i="43"/>
  <c r="I104" i="43"/>
  <c r="D22" i="43"/>
  <c r="K102" i="43"/>
  <c r="K103" i="43"/>
  <c r="H103" i="43"/>
  <c r="H109" i="43"/>
  <c r="L107" i="43"/>
  <c r="D102" i="43"/>
  <c r="G104" i="43"/>
  <c r="G103" i="43"/>
  <c r="I107" i="43"/>
  <c r="I102" i="43"/>
  <c r="F105" i="43"/>
  <c r="G16" i="1"/>
  <c r="H10" i="39" s="1"/>
  <c r="B29" i="1"/>
  <c r="C8" i="68" s="1"/>
  <c r="J18" i="81"/>
  <c r="B3" i="21"/>
  <c r="C6" i="12" s="1"/>
  <c r="B2" i="21"/>
  <c r="C8" i="12" s="1"/>
  <c r="K106" i="43"/>
  <c r="K105" i="43"/>
  <c r="L109" i="43"/>
  <c r="J24" i="81"/>
  <c r="D109" i="43"/>
  <c r="D104" i="43"/>
  <c r="D107" i="43"/>
  <c r="G109" i="43"/>
  <c r="G107" i="43"/>
  <c r="G106" i="43"/>
  <c r="C106" i="43"/>
  <c r="C102" i="43"/>
  <c r="J103" i="43"/>
  <c r="J106" i="43"/>
  <c r="J107" i="43"/>
  <c r="E103" i="43"/>
  <c r="E102" i="43"/>
  <c r="K16" i="1"/>
  <c r="I105" i="43"/>
  <c r="I106" i="43"/>
  <c r="J18" i="15"/>
  <c r="J24" i="15"/>
  <c r="J26" i="15"/>
  <c r="F103" i="43"/>
  <c r="L103" i="43"/>
  <c r="L105" i="43"/>
  <c r="F107" i="43"/>
  <c r="F104" i="43"/>
  <c r="C60" i="15"/>
  <c r="C66" i="15"/>
  <c r="F106" i="43"/>
  <c r="F109" i="43"/>
  <c r="L106" i="43"/>
  <c r="L104" i="43"/>
  <c r="O10" i="1"/>
  <c r="P10" i="1" s="1"/>
  <c r="M7" i="1"/>
  <c r="M16" i="1" s="1"/>
  <c r="AP7" i="1"/>
  <c r="C36" i="69"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114" i="3"/>
  <c r="E415" i="3"/>
  <c r="E395" i="3"/>
  <c r="E260" i="3"/>
  <c r="E550" i="3"/>
  <c r="O6" i="3"/>
  <c r="E574" i="3"/>
  <c r="E359" i="3"/>
  <c r="E285" i="3"/>
  <c r="E97" i="3"/>
  <c r="E353" i="3"/>
  <c r="E495" i="3"/>
  <c r="AN6" i="3"/>
  <c r="E586" i="3"/>
  <c r="E402" i="3"/>
  <c r="E350" i="3"/>
  <c r="E303" i="3"/>
  <c r="E301" i="3"/>
  <c r="E159" i="3"/>
  <c r="E99" i="3"/>
  <c r="E135" i="3"/>
  <c r="E290" i="3"/>
  <c r="E161" i="3"/>
  <c r="E117" i="3"/>
  <c r="E120" i="3"/>
  <c r="E45" i="3"/>
  <c r="E277" i="3"/>
  <c r="E224" i="3"/>
  <c r="E177" i="3"/>
  <c r="E193" i="3"/>
  <c r="E133"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E388" i="3"/>
  <c r="E555" i="3"/>
  <c r="E410" i="3"/>
  <c r="E337" i="3"/>
  <c r="E143" i="3"/>
  <c r="E385" i="3"/>
  <c r="E518" i="3"/>
  <c r="AI6" i="3"/>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232" i="3"/>
  <c r="E251" i="3"/>
  <c r="E370" i="3"/>
  <c r="AF6" i="3"/>
  <c r="E102" i="3"/>
  <c r="E80" i="3"/>
  <c r="E113" i="3"/>
  <c r="E158" i="3"/>
  <c r="E287" i="3"/>
  <c r="E308" i="3"/>
  <c r="E326" i="3"/>
  <c r="E22" i="3"/>
  <c r="E83" i="3"/>
  <c r="E147" i="3"/>
  <c r="E289" i="3"/>
  <c r="E340" i="3"/>
  <c r="E364" i="3"/>
  <c r="E50" i="3"/>
  <c r="E20" i="3"/>
  <c r="E62" i="3"/>
  <c r="E176" i="3"/>
  <c r="E218" i="3"/>
  <c r="E265" i="3"/>
  <c r="E365" i="3"/>
  <c r="E524" i="3"/>
  <c r="E101" i="3"/>
  <c r="M6" i="3"/>
  <c r="I6" i="3"/>
  <c r="K6" i="3"/>
  <c r="Q16" i="1"/>
  <c r="C60" i="81"/>
  <c r="C38" i="69"/>
  <c r="C30" i="43"/>
  <c r="E30" i="43" s="1"/>
  <c r="C27" i="43" s="1"/>
  <c r="E29" i="43"/>
  <c r="C26" i="43" s="1"/>
  <c r="D19" i="12"/>
  <c r="C19" i="12" s="1"/>
  <c r="D9" i="68"/>
  <c r="D9" i="11"/>
  <c r="C9" i="11" s="1"/>
  <c r="D9" i="69"/>
  <c r="C9" i="69" s="1"/>
  <c r="E61" i="39"/>
  <c r="E56" i="40"/>
  <c r="F56" i="40" s="1"/>
  <c r="E60" i="40"/>
  <c r="F60" i="40" s="1"/>
  <c r="E65" i="39"/>
  <c r="E57" i="40"/>
  <c r="F57" i="40" s="1"/>
  <c r="E62" i="39"/>
  <c r="O8" i="1"/>
  <c r="P8" i="1" s="1"/>
  <c r="E27" i="6"/>
  <c r="C115" i="43"/>
  <c r="D113" i="43"/>
  <c r="E64" i="39"/>
  <c r="E59" i="40"/>
  <c r="F59" i="40" s="1"/>
  <c r="E58" i="40"/>
  <c r="F58" i="40" s="1"/>
  <c r="E63" i="39"/>
  <c r="E56" i="39"/>
  <c r="F27" i="6"/>
  <c r="F31" i="6" s="1"/>
  <c r="E51" i="40"/>
  <c r="F51" i="40" s="1"/>
  <c r="E16" i="6"/>
  <c r="AZ5" i="3"/>
  <c r="C33" i="15"/>
  <c r="C23" i="67"/>
  <c r="C29" i="67" s="1"/>
  <c r="Q49" i="67" s="1"/>
  <c r="C38" i="15"/>
  <c r="C60" i="67"/>
  <c r="C66" i="67"/>
  <c r="C26" i="69"/>
  <c r="D22" i="69" s="1"/>
  <c r="C44" i="69"/>
  <c r="D41" i="69" s="1"/>
  <c r="C32" i="81"/>
  <c r="C33" i="81"/>
  <c r="C38" i="81"/>
  <c r="C32" i="67"/>
  <c r="C38" i="67"/>
  <c r="E6" i="76"/>
  <c r="F10" i="40" l="1"/>
  <c r="S10" i="40" s="1"/>
  <c r="J10" i="40"/>
  <c r="W10" i="40" s="1"/>
  <c r="H10" i="40"/>
  <c r="U10" i="40" s="1"/>
  <c r="J10" i="39"/>
  <c r="W10" i="39" s="1"/>
  <c r="F10" i="39"/>
  <c r="AA10" i="39" s="1"/>
  <c r="R47" i="39" s="1"/>
  <c r="AC6" i="3"/>
  <c r="F27" i="69"/>
  <c r="F27" i="11"/>
  <c r="C47" i="11" s="1"/>
  <c r="D45" i="11" s="1"/>
  <c r="F27" i="68"/>
  <c r="C47" i="68" s="1"/>
  <c r="D45" i="68" s="1"/>
  <c r="F28" i="12"/>
  <c r="H6" i="3"/>
  <c r="O7" i="1"/>
  <c r="O16" i="1" s="1"/>
  <c r="E66" i="39"/>
  <c r="E2" i="76"/>
  <c r="E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88" i="3"/>
  <c r="AY72" i="3"/>
  <c r="AY29" i="3"/>
  <c r="AY181" i="3"/>
  <c r="AY161" i="3"/>
  <c r="AY121" i="3"/>
  <c r="AY275" i="3"/>
  <c r="AY258" i="3"/>
  <c r="AY215" i="3"/>
  <c r="AY370" i="3"/>
  <c r="AY341" i="3"/>
  <c r="AY309" i="3"/>
  <c r="AY324" i="3"/>
  <c r="AY483" i="3"/>
  <c r="AY480" i="3"/>
  <c r="AY449" i="3"/>
  <c r="AY438"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C6" i="3"/>
  <c r="AY511" i="3"/>
  <c r="AY504" i="3"/>
  <c r="AY586" i="3"/>
  <c r="AY49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528" i="3"/>
  <c r="AY576" i="3"/>
  <c r="AY102" i="3"/>
  <c r="AY39" i="3"/>
  <c r="AY22" i="3"/>
  <c r="AY195" i="3"/>
  <c r="AY175" i="3"/>
  <c r="AY136" i="3"/>
  <c r="AY288" i="3"/>
  <c r="AY272" i="3"/>
  <c r="AY208" i="3"/>
  <c r="AY375" i="3"/>
  <c r="AY339" i="3"/>
  <c r="AY322" i="3"/>
  <c r="AY474" i="3"/>
  <c r="AY432" i="3"/>
  <c r="AY413" i="3"/>
  <c r="AY15" i="3"/>
  <c r="AY583"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D6" i="3"/>
  <c r="BB6" i="3"/>
  <c r="BA6" i="3"/>
  <c r="AC10" i="40"/>
  <c r="AA10" i="40"/>
  <c r="C9" i="68"/>
  <c r="B2" i="43"/>
  <c r="AY13" i="3"/>
  <c r="N16" i="1"/>
  <c r="B21" i="1" s="1"/>
  <c r="L16" i="1"/>
  <c r="K22" i="6"/>
  <c r="K23" i="6"/>
  <c r="K24" i="6"/>
  <c r="K26" i="6"/>
  <c r="M26" i="6" s="1"/>
  <c r="I26" i="6" s="1"/>
  <c r="K25" i="6"/>
  <c r="M25" i="6" s="1"/>
  <c r="I25" i="6" s="1"/>
  <c r="K20" i="6"/>
  <c r="E31" i="6"/>
  <c r="K19" i="6"/>
  <c r="K21" i="6"/>
  <c r="AB10" i="39"/>
  <c r="T47" i="39" s="1"/>
  <c r="G47" i="39" s="1"/>
  <c r="U10" i="39"/>
  <c r="C57" i="67"/>
  <c r="C64" i="67" s="1"/>
  <c r="J59" i="67"/>
  <c r="J60" i="67" s="1"/>
  <c r="L46" i="67" s="1"/>
  <c r="C36" i="67"/>
  <c r="J14" i="67"/>
  <c r="J22" i="67" s="1"/>
  <c r="C33" i="67"/>
  <c r="C31" i="67" s="1"/>
  <c r="J19" i="67"/>
  <c r="J17" i="67" s="1"/>
  <c r="C13" i="67"/>
  <c r="C75" i="67" s="1"/>
  <c r="B6" i="76"/>
  <c r="AC10" i="39" l="1"/>
  <c r="V47" i="39" s="1"/>
  <c r="I47" i="39" s="1"/>
  <c r="I51" i="39" s="1"/>
  <c r="J51" i="39" s="1"/>
  <c r="S10" i="39"/>
  <c r="AB10" i="40"/>
  <c r="E6" i="3"/>
  <c r="P7" i="1"/>
  <c r="P16" i="1" s="1"/>
  <c r="C11" i="12" s="1"/>
  <c r="C15" i="12" s="1"/>
  <c r="Q48" i="67"/>
  <c r="C13" i="12"/>
  <c r="C47" i="69"/>
  <c r="D45" i="69" s="1"/>
  <c r="C29" i="69"/>
  <c r="D27" i="69" s="1"/>
  <c r="B2" i="76"/>
  <c r="B3" i="76" s="1"/>
  <c r="G52" i="39"/>
  <c r="H52" i="39" s="1"/>
  <c r="G51" i="39"/>
  <c r="H51" i="39" s="1"/>
  <c r="R48" i="39"/>
  <c r="E47" i="39"/>
  <c r="S26" i="6"/>
  <c r="H26" i="6"/>
  <c r="S8" i="1"/>
  <c r="M21" i="6"/>
  <c r="I21" i="6" s="1"/>
  <c r="S25" i="6"/>
  <c r="H25" i="6"/>
  <c r="M24" i="6"/>
  <c r="I24" i="6" s="1"/>
  <c r="S11" i="1"/>
  <c r="M22" i="6"/>
  <c r="I22" i="6" s="1"/>
  <c r="S9" i="1"/>
  <c r="B24" i="1"/>
  <c r="B23" i="1"/>
  <c r="C29" i="68"/>
  <c r="D27" i="68" s="1"/>
  <c r="C29" i="11"/>
  <c r="D27" i="11" s="1"/>
  <c r="C24" i="68"/>
  <c r="C44" i="11"/>
  <c r="D41" i="11" s="1"/>
  <c r="C44" i="68"/>
  <c r="D41" i="68" s="1"/>
  <c r="B3" i="43"/>
  <c r="M18" i="9"/>
  <c r="B118" i="9" s="1"/>
  <c r="B14" i="74" s="1"/>
  <c r="B1" i="74" s="1"/>
  <c r="C7" i="74" s="1"/>
  <c r="D3" i="34"/>
  <c r="B2" i="34" s="1"/>
  <c r="B3" i="34" s="1"/>
  <c r="E6" i="6"/>
  <c r="C17" i="4"/>
  <c r="L18" i="9"/>
  <c r="D3" i="37"/>
  <c r="B2" i="37" s="1"/>
  <c r="B3" i="37" s="1"/>
  <c r="D37" i="11"/>
  <c r="D25" i="6"/>
  <c r="R25" i="6" s="1"/>
  <c r="D28" i="6"/>
  <c r="D3" i="33"/>
  <c r="B2" i="33" s="1"/>
  <c r="B3" i="33" s="1"/>
  <c r="D19" i="11"/>
  <c r="C19" i="11" s="1"/>
  <c r="D14" i="12"/>
  <c r="D26" i="6"/>
  <c r="D9" i="6"/>
  <c r="D20" i="6"/>
  <c r="D29" i="6"/>
  <c r="D19" i="6"/>
  <c r="B3" i="40"/>
  <c r="D23" i="6"/>
  <c r="D22" i="6"/>
  <c r="D24" i="6"/>
  <c r="D21" i="6"/>
  <c r="D5" i="6"/>
  <c r="D15" i="6"/>
  <c r="D14" i="6"/>
  <c r="D8" i="6"/>
  <c r="D11" i="6"/>
  <c r="D12" i="6"/>
  <c r="D10" i="6"/>
  <c r="D13" i="6"/>
  <c r="C12" i="12"/>
  <c r="S6" i="1"/>
  <c r="M19" i="6"/>
  <c r="K27" i="6"/>
  <c r="S7" i="1"/>
  <c r="M20" i="6"/>
  <c r="I20" i="6" s="1"/>
  <c r="M23" i="6"/>
  <c r="I23" i="6" s="1"/>
  <c r="S10" i="1"/>
  <c r="C61" i="67"/>
  <c r="C59" i="67" s="1"/>
  <c r="J13" i="67"/>
  <c r="J23" i="67" s="1"/>
  <c r="J16" i="67" s="1"/>
  <c r="J25" i="67" s="1"/>
  <c r="Q70" i="67"/>
  <c r="C37" i="67"/>
  <c r="C30" i="67" s="1"/>
  <c r="C39" i="67" s="1"/>
  <c r="C40" i="67" s="1"/>
  <c r="C56" i="67"/>
  <c r="C65" i="67" s="1"/>
  <c r="C17" i="81"/>
  <c r="C17" i="15"/>
  <c r="I52" i="39" l="1"/>
  <c r="J52" i="39" s="1"/>
  <c r="R26" i="6"/>
  <c r="S23" i="6"/>
  <c r="H23" i="6"/>
  <c r="T7" i="1"/>
  <c r="AQ7" i="1"/>
  <c r="AR7" i="1"/>
  <c r="I19" i="6"/>
  <c r="M27" i="6"/>
  <c r="R23" i="6"/>
  <c r="R10" i="1" s="1"/>
  <c r="D17" i="12"/>
  <c r="C17" i="12" s="1"/>
  <c r="B4" i="52"/>
  <c r="B43" i="72" s="1"/>
  <c r="A10" i="51"/>
  <c r="B9" i="72" s="1"/>
  <c r="A7" i="51"/>
  <c r="B7" i="72" s="1"/>
  <c r="C26" i="11"/>
  <c r="D22" i="11" s="1"/>
  <c r="C23" i="11"/>
  <c r="C26" i="68"/>
  <c r="D22" i="68" s="1"/>
  <c r="T9" i="1"/>
  <c r="E9" i="70"/>
  <c r="AR9" i="1"/>
  <c r="AQ9" i="1"/>
  <c r="AQ11" i="1"/>
  <c r="T11" i="1"/>
  <c r="AR11" i="1"/>
  <c r="AR8" i="1"/>
  <c r="T8" i="1"/>
  <c r="AQ8" i="1"/>
  <c r="C47" i="39"/>
  <c r="C48" i="39"/>
  <c r="C58" i="67"/>
  <c r="C67" i="67" s="1"/>
  <c r="C68" i="67" s="1"/>
  <c r="C71" i="67" s="1"/>
  <c r="E10" i="70"/>
  <c r="T10" i="1"/>
  <c r="AQ10" i="1"/>
  <c r="AR10" i="1"/>
  <c r="H20" i="6"/>
  <c r="S20" i="6"/>
  <c r="AQ6" i="1"/>
  <c r="AR6" i="1"/>
  <c r="S16" i="1"/>
  <c r="T6" i="1"/>
  <c r="D16" i="6"/>
  <c r="D27" i="6"/>
  <c r="R20" i="6"/>
  <c r="R7" i="1" s="1"/>
  <c r="C20" i="11"/>
  <c r="C25" i="11" s="1"/>
  <c r="C24" i="11"/>
  <c r="D30" i="6"/>
  <c r="D10" i="11"/>
  <c r="C10" i="11" s="1"/>
  <c r="D20" i="12"/>
  <c r="C20" i="12" s="1"/>
  <c r="C18" i="12" s="1"/>
  <c r="D6" i="6"/>
  <c r="D10" i="69"/>
  <c r="D10" i="68"/>
  <c r="F50" i="68"/>
  <c r="F50" i="69"/>
  <c r="F34" i="68"/>
  <c r="F34" i="11"/>
  <c r="C37" i="11" s="1"/>
  <c r="F11" i="12"/>
  <c r="C14" i="12" s="1"/>
  <c r="C16" i="12" s="1"/>
  <c r="F50" i="11"/>
  <c r="M59" i="67"/>
  <c r="M59" i="15"/>
  <c r="L59" i="15" s="1"/>
  <c r="M59" i="81"/>
  <c r="L59" i="81" s="1"/>
  <c r="J53" i="15"/>
  <c r="J53" i="81"/>
  <c r="C29" i="12"/>
  <c r="D28" i="12" s="1"/>
  <c r="C26" i="12"/>
  <c r="D25" i="12" s="1"/>
  <c r="S22" i="6"/>
  <c r="H22" i="6"/>
  <c r="R22" i="6" s="1"/>
  <c r="R9" i="1" s="1"/>
  <c r="S24" i="6"/>
  <c r="H24" i="6"/>
  <c r="R24" i="6" s="1"/>
  <c r="R11" i="1" s="1"/>
  <c r="H21" i="6"/>
  <c r="R21" i="6" s="1"/>
  <c r="R8" i="1" s="1"/>
  <c r="S21" i="6"/>
  <c r="E52" i="39"/>
  <c r="F52" i="39" s="1"/>
  <c r="E51" i="39"/>
  <c r="F51" i="39" s="1"/>
  <c r="Q69" i="67"/>
  <c r="Q68" i="67" s="1"/>
  <c r="C80" i="67"/>
  <c r="C79" i="67" s="1"/>
  <c r="Q65" i="67"/>
  <c r="Q56" i="67"/>
  <c r="Q47" i="67"/>
  <c r="Q53" i="67" s="1"/>
  <c r="D2" i="67"/>
  <c r="C43" i="67"/>
  <c r="C83" i="67"/>
  <c r="C82" i="67" s="1"/>
  <c r="M21" i="15"/>
  <c r="C14" i="15"/>
  <c r="L51" i="67"/>
  <c r="F35" i="81"/>
  <c r="F35" i="15"/>
  <c r="C14" i="81"/>
  <c r="M21" i="81"/>
  <c r="T16" i="1" l="1"/>
  <c r="C21" i="12"/>
  <c r="C22" i="12" s="1"/>
  <c r="C45" i="67"/>
  <c r="C46" i="67" s="1"/>
  <c r="C28" i="11"/>
  <c r="C27" i="11" s="1"/>
  <c r="E2" i="70"/>
  <c r="F63" i="81"/>
  <c r="C62" i="81" s="1"/>
  <c r="C34" i="81"/>
  <c r="C31" i="81" s="1"/>
  <c r="J20" i="81"/>
  <c r="Q67" i="67"/>
  <c r="L57" i="67"/>
  <c r="L60" i="67" s="1"/>
  <c r="Q57" i="67" s="1"/>
  <c r="Q62" i="67" s="1"/>
  <c r="C15" i="81"/>
  <c r="C18" i="81"/>
  <c r="C15" i="15"/>
  <c r="C18" i="15"/>
  <c r="F63" i="15"/>
  <c r="C62" i="15" s="1"/>
  <c r="C34" i="15"/>
  <c r="C31" i="15" s="1"/>
  <c r="J20" i="15"/>
  <c r="Q74" i="15"/>
  <c r="Q61" i="15"/>
  <c r="C10" i="68"/>
  <c r="D19" i="68"/>
  <c r="D37" i="68" s="1"/>
  <c r="C37" i="68" s="1"/>
  <c r="Q52" i="81"/>
  <c r="F1" i="81"/>
  <c r="Q61" i="81"/>
  <c r="Q74" i="81"/>
  <c r="C36" i="68"/>
  <c r="C34" i="68"/>
  <c r="D19" i="69"/>
  <c r="C10" i="69"/>
  <c r="C8" i="69" s="1"/>
  <c r="C5" i="69" s="1"/>
  <c r="C22" i="11"/>
  <c r="C31" i="11" s="1"/>
  <c r="S19" i="6"/>
  <c r="S27" i="6" s="1"/>
  <c r="I27" i="6"/>
  <c r="H19" i="6"/>
  <c r="Q52" i="15"/>
  <c r="F1" i="15"/>
  <c r="C34" i="11"/>
  <c r="C36" i="11"/>
  <c r="D31" i="6"/>
  <c r="B56" i="39"/>
  <c r="F56" i="39" s="1"/>
  <c r="B57" i="39"/>
  <c r="F57" i="39" s="1"/>
  <c r="B58" i="39"/>
  <c r="F58" i="39" s="1"/>
  <c r="B59" i="39"/>
  <c r="F59" i="39" s="1"/>
  <c r="B60" i="39"/>
  <c r="F60" i="39" s="1"/>
  <c r="B61" i="39"/>
  <c r="F61" i="39" s="1"/>
  <c r="B62" i="39"/>
  <c r="F62" i="39" s="1"/>
  <c r="B63" i="39"/>
  <c r="F63" i="39" s="1"/>
  <c r="B64" i="39"/>
  <c r="F64" i="39" s="1"/>
  <c r="B65" i="39"/>
  <c r="F65" i="39" s="1"/>
  <c r="B3" i="67"/>
  <c r="B2" i="67"/>
  <c r="AE9" i="1"/>
  <c r="AE10" i="1"/>
  <c r="C19" i="15" l="1"/>
  <c r="C20" i="15" s="1"/>
  <c r="C26" i="15" s="1"/>
  <c r="Q66" i="67"/>
  <c r="Q75" i="67" s="1"/>
  <c r="C19" i="81"/>
  <c r="C20" i="81" s="1"/>
  <c r="C26" i="81" s="1"/>
  <c r="F66" i="39"/>
  <c r="B2" i="39" s="1"/>
  <c r="H27" i="6"/>
  <c r="R19" i="6"/>
  <c r="C23" i="69"/>
  <c r="C35" i="68"/>
  <c r="C38" i="68"/>
  <c r="I6" i="6"/>
  <c r="I5" i="6"/>
  <c r="C38" i="11"/>
  <c r="C35" i="11"/>
  <c r="D37" i="69"/>
  <c r="C37" i="69" s="1"/>
  <c r="C33" i="69" s="1"/>
  <c r="C19" i="69"/>
  <c r="C24" i="69" s="1"/>
  <c r="F41" i="81"/>
  <c r="F41" i="15"/>
  <c r="C33" i="11" l="1"/>
  <c r="C42" i="11" s="1"/>
  <c r="C23" i="15"/>
  <c r="C29" i="15" s="1"/>
  <c r="J14" i="15" s="1"/>
  <c r="C33" i="68"/>
  <c r="C42" i="68" s="1"/>
  <c r="C23" i="81"/>
  <c r="C29" i="81" s="1"/>
  <c r="J19" i="81" s="1"/>
  <c r="J17" i="81" s="1"/>
  <c r="F69" i="81"/>
  <c r="J29" i="81"/>
  <c r="F69" i="15"/>
  <c r="J29" i="15"/>
  <c r="C39" i="11"/>
  <c r="C43" i="11" s="1"/>
  <c r="R27" i="6"/>
  <c r="R6" i="1"/>
  <c r="R16" i="1" s="1"/>
  <c r="C6" i="68"/>
  <c r="B3" i="39"/>
  <c r="C39" i="69"/>
  <c r="C42" i="69"/>
  <c r="C20" i="69"/>
  <c r="C39" i="68" l="1"/>
  <c r="C43" i="68" s="1"/>
  <c r="C41" i="68" s="1"/>
  <c r="C13" i="15"/>
  <c r="C56" i="15" s="1"/>
  <c r="C65" i="15" s="1"/>
  <c r="C57" i="15"/>
  <c r="C64" i="15" s="1"/>
  <c r="J19" i="15"/>
  <c r="J17" i="15" s="1"/>
  <c r="Q49" i="15"/>
  <c r="C36" i="15"/>
  <c r="C13" i="81"/>
  <c r="C37" i="81" s="1"/>
  <c r="J14" i="81"/>
  <c r="J13" i="81" s="1"/>
  <c r="J23" i="81" s="1"/>
  <c r="C36" i="81"/>
  <c r="Q49" i="81"/>
  <c r="C57" i="81"/>
  <c r="C61" i="81" s="1"/>
  <c r="C59" i="81" s="1"/>
  <c r="C41" i="11"/>
  <c r="C46" i="11"/>
  <c r="C45" i="11" s="1"/>
  <c r="C28" i="69"/>
  <c r="C27" i="69" s="1"/>
  <c r="C25" i="69"/>
  <c r="C22" i="69" s="1"/>
  <c r="J22" i="15"/>
  <c r="J13" i="15"/>
  <c r="J23" i="15" s="1"/>
  <c r="C46" i="69"/>
  <c r="C45" i="69" s="1"/>
  <c r="C43" i="69"/>
  <c r="C41" i="69" s="1"/>
  <c r="C37" i="15"/>
  <c r="C7" i="68"/>
  <c r="C5" i="68" s="1"/>
  <c r="C46" i="68" l="1"/>
  <c r="C45" i="68" s="1"/>
  <c r="C49" i="68" s="1"/>
  <c r="C51" i="68" s="1"/>
  <c r="C49" i="11"/>
  <c r="C51" i="11" s="1"/>
  <c r="C52" i="11" s="1"/>
  <c r="B2" i="11" s="1"/>
  <c r="B3" i="11" s="1"/>
  <c r="Q70" i="15"/>
  <c r="C75" i="15"/>
  <c r="C61" i="15"/>
  <c r="C59" i="15" s="1"/>
  <c r="C58" i="15" s="1"/>
  <c r="C67" i="15" s="1"/>
  <c r="C68" i="15" s="1"/>
  <c r="C30" i="15"/>
  <c r="C39" i="15" s="1"/>
  <c r="C80" i="15" s="1"/>
  <c r="C79" i="15" s="1"/>
  <c r="C56" i="81"/>
  <c r="C65" i="81" s="1"/>
  <c r="Q70" i="81"/>
  <c r="J22" i="81"/>
  <c r="J16" i="81" s="1"/>
  <c r="J25" i="81" s="1"/>
  <c r="C64" i="81"/>
  <c r="C30" i="81"/>
  <c r="C39" i="81" s="1"/>
  <c r="Q69" i="81" s="1"/>
  <c r="J16" i="15"/>
  <c r="J25" i="15" s="1"/>
  <c r="C75" i="81"/>
  <c r="C49" i="69"/>
  <c r="C51" i="69" s="1"/>
  <c r="C20" i="68"/>
  <c r="C25" i="68" s="1"/>
  <c r="C23" i="68"/>
  <c r="C31" i="69"/>
  <c r="Q69" i="15"/>
  <c r="L51" i="81"/>
  <c r="L51" i="15"/>
  <c r="C28" i="68" l="1"/>
  <c r="C27" i="68" s="1"/>
  <c r="Q68" i="15"/>
  <c r="Q68" i="81"/>
  <c r="C52" i="69"/>
  <c r="B2" i="69" s="1"/>
  <c r="B3" i="69" s="1"/>
  <c r="C40" i="15"/>
  <c r="Q56" i="15" s="1"/>
  <c r="Q62" i="15" s="1"/>
  <c r="C22" i="68"/>
  <c r="C80" i="81"/>
  <c r="C79" i="81" s="1"/>
  <c r="C58" i="81"/>
  <c r="C67" i="81" s="1"/>
  <c r="C68" i="81" s="1"/>
  <c r="C71" i="81" s="1"/>
  <c r="C40" i="81"/>
  <c r="Q67" i="15"/>
  <c r="Q67" i="81"/>
  <c r="C71" i="15"/>
  <c r="C56" i="11"/>
  <c r="C57" i="11" s="1"/>
  <c r="C43" i="15" l="1"/>
  <c r="C57" i="69"/>
  <c r="C56" i="69" s="1"/>
  <c r="C31" i="68"/>
  <c r="C52" i="68" s="1"/>
  <c r="B2" i="68" s="1"/>
  <c r="Q47" i="15"/>
  <c r="Q53" i="15" s="1"/>
  <c r="C46" i="15"/>
  <c r="B2" i="15"/>
  <c r="B3" i="15" s="1"/>
  <c r="G6" i="12" s="1"/>
  <c r="C83" i="15"/>
  <c r="C82" i="15" s="1"/>
  <c r="Q65" i="15"/>
  <c r="Q75" i="15" s="1"/>
  <c r="C46" i="81"/>
  <c r="Q47" i="81"/>
  <c r="Q53" i="81" s="1"/>
  <c r="C43" i="81"/>
  <c r="B2" i="81"/>
  <c r="B3" i="81" s="1"/>
  <c r="F6" i="12" s="1"/>
  <c r="C83" i="81"/>
  <c r="C82" i="81" s="1"/>
  <c r="Q65" i="81"/>
  <c r="Q75" i="81" s="1"/>
  <c r="Q56" i="81"/>
  <c r="Q62" i="81" s="1"/>
  <c r="G8" i="12"/>
  <c r="C19" i="9"/>
  <c r="AO10" i="1"/>
  <c r="AO9" i="1"/>
  <c r="C57" i="68" l="1"/>
  <c r="C56" i="68" s="1"/>
  <c r="C102" i="9"/>
  <c r="C21" i="9"/>
  <c r="B3" i="68"/>
  <c r="B10" i="70"/>
  <c r="F8" i="12"/>
  <c r="B9" i="70"/>
  <c r="B2" i="70" s="1"/>
  <c r="B3" i="70" s="1"/>
  <c r="C4" i="12"/>
  <c r="D35" i="9"/>
  <c r="D34" i="9"/>
  <c r="C20" i="9"/>
  <c r="C103" i="9" l="1"/>
  <c r="C31" i="12"/>
  <c r="C23" i="12"/>
  <c r="C27" i="12" l="1"/>
  <c r="C25" i="12" s="1"/>
  <c r="C30" i="12"/>
  <c r="C28" i="12" s="1"/>
  <c r="C32" i="12" l="1"/>
  <c r="B2" i="12" s="1"/>
  <c r="B3" i="12" s="1"/>
  <c r="D19" i="9"/>
  <c r="D20" i="9"/>
  <c r="D21" i="9" l="1"/>
  <c r="D22" i="9"/>
  <c r="G19" i="9"/>
  <c r="C32" i="9" s="1"/>
  <c r="D102" i="9"/>
  <c r="D103" i="9"/>
  <c r="G20" i="9"/>
  <c r="G21" i="9" l="1"/>
  <c r="C35" i="9"/>
  <c r="F118" i="9" s="1"/>
  <c r="H118" i="9"/>
  <c r="I118" i="9" l="1"/>
  <c r="C104" i="9"/>
  <c r="H119" i="9"/>
  <c r="H5" i="52" s="1"/>
  <c r="H101" i="9"/>
  <c r="H4" i="52"/>
  <c r="D14" i="74"/>
  <c r="F4" i="52"/>
  <c r="B51" i="72" s="1"/>
  <c r="F119" i="9"/>
  <c r="F5" i="52" s="1"/>
  <c r="B53" i="72" s="1"/>
  <c r="G118" i="9"/>
  <c r="G4" i="52" s="1"/>
  <c r="B52" i="72" s="1"/>
  <c r="C34" i="9"/>
  <c r="D118" i="9" s="1"/>
  <c r="E118" i="9" l="1"/>
  <c r="E4" i="52" s="1"/>
  <c r="B48" i="72" s="1"/>
  <c r="H102" i="9"/>
  <c r="D7" i="53" s="1"/>
  <c r="B21" i="72" s="1"/>
  <c r="C105" i="9"/>
  <c r="I4" i="52"/>
  <c r="D119" i="9"/>
  <c r="D5" i="52" s="1"/>
  <c r="B49" i="72" s="1"/>
  <c r="D4" i="52"/>
  <c r="B47" i="72" s="1"/>
  <c r="F14" i="74"/>
  <c r="E14" i="74"/>
  <c r="B5" i="74"/>
  <c r="H107" i="9"/>
  <c r="M48" i="9"/>
  <c r="D5" i="53"/>
  <c r="D45" i="9"/>
  <c r="D55" i="9" l="1"/>
  <c r="M53" i="9" s="1"/>
  <c r="C85" i="9"/>
  <c r="D52" i="9"/>
  <c r="C78" i="9"/>
  <c r="C73" i="9" s="1"/>
  <c r="C93" i="9"/>
  <c r="C86" i="9" s="1"/>
  <c r="C72" i="9"/>
  <c r="C79" i="9" s="1"/>
  <c r="D53" i="9"/>
  <c r="C64" i="9"/>
  <c r="C63" i="9" s="1"/>
  <c r="C67" i="9" s="1"/>
  <c r="C68" i="9" s="1"/>
  <c r="D54" i="9" s="1"/>
  <c r="D5" i="74"/>
  <c r="C5" i="74"/>
  <c r="D6" i="53"/>
  <c r="B22" i="72" s="1"/>
  <c r="B20" i="72"/>
  <c r="H108" i="9"/>
  <c r="D15" i="53" s="1"/>
  <c r="B31" i="72" s="1"/>
  <c r="D122" i="9"/>
  <c r="D13" i="53"/>
  <c r="M49" i="9"/>
  <c r="B30" i="72" l="1"/>
  <c r="D14" i="53"/>
  <c r="B32" i="72" s="1"/>
  <c r="L65" i="9"/>
  <c r="M65" i="9" s="1"/>
  <c r="L64" i="9"/>
  <c r="M64" i="9" s="1"/>
  <c r="L68" i="9"/>
  <c r="M68" i="9" s="1"/>
  <c r="L63" i="9"/>
  <c r="M63" i="9" s="1"/>
  <c r="L67" i="9"/>
  <c r="M67" i="9" s="1"/>
  <c r="L66" i="9"/>
  <c r="M66" i="9" s="1"/>
  <c r="G14" i="74"/>
  <c r="B6" i="74" s="1"/>
  <c r="D123" i="9"/>
  <c r="D9" i="52" s="1"/>
  <c r="D8" i="52"/>
  <c r="C80" i="9"/>
  <c r="E80" i="9" s="1"/>
  <c r="E81" i="9" s="1"/>
  <c r="C95" i="9"/>
  <c r="C96" i="9" l="1"/>
  <c r="E96" i="9" s="1"/>
  <c r="E97" i="9" s="1"/>
  <c r="C81" i="9"/>
  <c r="C6" i="74"/>
  <c r="D6" i="74"/>
  <c r="M69" i="9"/>
  <c r="N69" i="9" s="1"/>
  <c r="C97" i="9" l="1"/>
  <c r="D58" i="9" s="1"/>
  <c r="D56" i="9" s="1"/>
  <c r="M54" i="9" s="1"/>
  <c r="N57" i="9" s="1"/>
  <c r="N58" i="9" l="1"/>
  <c r="P57" i="9"/>
  <c r="N59" i="9"/>
  <c r="N61" i="9" l="1"/>
  <c r="H112" i="9" s="1"/>
  <c r="D21" i="53" s="1"/>
  <c r="B39" i="72" s="1"/>
  <c r="N60" i="9"/>
  <c r="H111" i="9"/>
  <c r="D126" i="9" l="1"/>
  <c r="D19" i="53"/>
  <c r="D127" i="9" l="1"/>
  <c r="D13" i="52" s="1"/>
  <c r="D12" i="52"/>
  <c r="I14" i="74"/>
  <c r="B8" i="74" s="1"/>
  <c r="B38" i="72"/>
  <c r="D20" i="53"/>
  <c r="B40" i="72"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<sst xmlns="http://schemas.openxmlformats.org/spreadsheetml/2006/main" count="16511" uniqueCount="4571">
  <si>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</si>
  <si>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</si>
  <si>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</si>
  <si>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</si>
  <si>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</si>
  <si>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</si>
  <si>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</si>
  <si>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</si>
  <si>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</si>
  <si>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</si>
  <si>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</si>
  <si>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</si>
  <si>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</si>
  <si>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</si>
  <si>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</si>
  <si>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</si>
  <si>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</si>
  <si>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</si>
  <si>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</si>
  <si>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</si>
  <si>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</si>
  <si>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</si>
  <si>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</si>
  <si>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</si>
  <si>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</si>
  <si>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</si>
  <si>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</si>
  <si>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</si>
  <si>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</si>
  <si>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</si>
  <si>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</si>
  <si>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</si>
  <si>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</si>
  <si>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</si>
  <si>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</si>
  <si>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</si>
  <si>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</si>
  <si>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</si>
  <si>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</si>
  <si>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</si>
  <si>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</si>
  <si>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</si>
  <si>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</si>
  <si>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</si>
  <si>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</si>
  <si>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</si>
  <si>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</si>
  <si>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</si>
  <si>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</si>
  <si>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</si>
  <si>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</si>
  <si>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</si>
  <si>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</si>
  <si>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</si>
  <si>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</si>
  <si>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</si>
  <si>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</si>
  <si>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</si>
  <si>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</si>
  <si>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</si>
  <si>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</si>
  <si>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</si>
  <si>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</si>
  <si>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</si>
  <si>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</si>
  <si>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</si>
  <si>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</si>
  <si>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</si>
  <si>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</si>
  <si>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</si>
  <si>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</si>
  <si>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</si>
  <si>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</si>
  <si>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</si>
  <si>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</si>
  <si>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</si>
  <si>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</si>
  <si>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</si>
  <si>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</si>
  <si>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</si>
  <si>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</si>
  <si>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</si>
  <si>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</si>
  <si>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</si>
  <si>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</si>
  <si>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</si>
  <si>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</si>
  <si>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</si>
  <si>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</si>
  <si>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</si>
  <si>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</si>
  <si>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</si>
  <si>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</si>
  <si>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</si>
  <si>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</si>
  <si>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</si>
  <si>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</si>
  <si>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</si>
  <si>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</si>
  <si>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</si>
  <si>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</si>
  <si>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</si>
  <si>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</si>
  <si>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</si>
  <si>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</si>
  <si>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</si>
  <si>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</si>
  <si>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</si>
  <si>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</si>
  <si>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</si>
  <si>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</si>
  <si>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</si>
  <si>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</si>
  <si>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</si>
  <si>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</si>
  <si>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</si>
  <si>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</si>
  <si>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</si>
  <si>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</si>
  <si>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</si>
  <si>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</si>
  <si>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</si>
  <si>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</si>
  <si>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</si>
  <si>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</si>
  <si>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</si>
  <si>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</si>
  <si>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</si>
  <si>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</si>
  <si>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</si>
  <si>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</si>
  <si>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</si>
  <si>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</si>
  <si>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</si>
  <si>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</si>
  <si>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</si>
  <si>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</si>
  <si>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</si>
  <si>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</si>
  <si>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</si>
  <si>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</si>
  <si>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</si>
  <si>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</si>
  <si>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</si>
  <si>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</si>
  <si>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</si>
  <si>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</si>
  <si>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</si>
  <si>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</si>
  <si>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</si>
  <si>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</si>
  <si>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</si>
  <si>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</si>
  <si>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</si>
  <si>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</si>
  <si>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</si>
  <si>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</si>
  <si>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</si>
  <si>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</si>
  <si>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</si>
  <si>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</si>
  <si>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</si>
  <si>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</si>
  <si>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</si>
  <si>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</si>
  <si>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</si>
  <si>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</si>
  <si>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</si>
  <si>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</si>
  <si>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</si>
  <si>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</si>
  <si>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</si>
  <si>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</si>
  <si>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</si>
  <si>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</si>
  <si>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</si>
  <si>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</si>
  <si>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</si>
  <si>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</si>
  <si>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</si>
  <si>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</si>
  <si>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</si>
  <si>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</si>
  <si>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</si>
  <si>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</si>
  <si>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</si>
  <si>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</si>
  <si>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</si>
  <si>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</si>
  <si>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</si>
  <si>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</si>
  <si>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</si>
  <si>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</si>
  <si>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</si>
  <si>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</si>
  <si>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</si>
  <si>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</si>
  <si>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</si>
  <si>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</si>
  <si>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</si>
  <si>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</si>
  <si>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</si>
  <si>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</si>
  <si>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</si>
  <si>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</si>
  <si>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</si>
  <si>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</si>
  <si>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</si>
  <si>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</si>
  <si>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</si>
  <si>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</si>
  <si>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</si>
  <si>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</si>
  <si>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</si>
  <si>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</si>
  <si>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</si>
  <si>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</si>
  <si>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</si>
  <si>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</si>
  <si>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</si>
  <si>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</si>
  <si>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</si>
  <si>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</si>
  <si>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</si>
  <si>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</si>
  <si>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</si>
  <si>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</si>
  <si>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</si>
  <si>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</si>
  <si>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</si>
  <si>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</si>
  <si>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</si>
  <si>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</si>
  <si>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</si>
  <si>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</si>
  <si>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</si>
  <si>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</si>
  <si>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</si>
  <si>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</si>
  <si>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</si>
  <si>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</si>
  <si>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</si>
  <si>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</si>
  <si>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</si>
  <si>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</si>
  <si>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</si>
  <si>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</si>
  <si>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</si>
  <si>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</si>
  <si>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</si>
  <si>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</si>
  <si>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</si>
  <si>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</si>
  <si>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</si>
  <si>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</si>
  <si>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</si>
  <si>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</si>
  <si>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</si>
  <si>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</si>
  <si>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</si>
  <si>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</si>
  <si>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</si>
  <si>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</si>
  <si>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</si>
  <si>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</si>
  <si>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</si>
  <si>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</si>
  <si>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</si>
  <si>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</si>
  <si>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</si>
  <si>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</si>
  <si>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</si>
  <si>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</si>
  <si>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</si>
  <si>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</si>
  <si>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</si>
  <si>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</si>
  <si>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</si>
  <si>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</si>
  <si>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</si>
  <si>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</si>
  <si>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</si>
  <si>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</si>
  <si>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</si>
  <si>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</si>
  <si>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</si>
  <si>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</si>
  <si>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</si>
  <si>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</si>
  <si>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</si>
  <si>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</si>
  <si>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</si>
  <si>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</si>
  <si>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</si>
  <si>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</si>
  <si>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</si>
  <si>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</si>
  <si>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</si>
  <si>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</si>
  <si>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</si>
  <si>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</si>
  <si>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</si>
  <si>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</si>
  <si>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</si>
  <si>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</si>
  <si>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</si>
  <si>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</si>
  <si>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</si>
  <si>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</si>
  <si>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</si>
  <si>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</si>
  <si>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</si>
  <si>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</si>
  <si>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</si>
  <si>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</si>
  <si>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</si>
  <si>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</si>
  <si>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</si>
  <si>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</si>
  <si>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</si>
  <si>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</si>
  <si>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</si>
  <si>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</si>
  <si>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</si>
  <si>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</si>
  <si>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</si>
  <si>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</si>
  <si>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</si>
  <si>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</si>
  <si>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</si>
  <si>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</si>
  <si>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</si>
  <si>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</si>
  <si>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</si>
  <si>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</si>
  <si>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</si>
  <si>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</si>
  <si>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</si>
  <si>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</si>
  <si>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</si>
  <si>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</si>
  <si>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</si>
  <si>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</si>
  <si>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</si>
  <si>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</si>
  <si>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</si>
  <si>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</si>
  <si>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</si>
  <si>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</si>
  <si>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</si>
  <si>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</si>
  <si>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</si>
  <si>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</si>
  <si>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</si>
  <si>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</si>
  <si>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</si>
  <si>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</si>
  <si>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</si>
  <si>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</si>
  <si>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</si>
  <si>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</si>
  <si>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</si>
  <si>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</si>
  <si>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</si>
  <si>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</si>
  <si>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</si>
  <si>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</si>
  <si>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</si>
  <si>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</si>
  <si>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</si>
  <si>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</si>
  <si>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</si>
  <si>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</si>
  <si>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</si>
  <si>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</si>
  <si>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</si>
  <si>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</si>
  <si>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</si>
  <si>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</si>
  <si>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</si>
  <si>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</si>
  <si>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</si>
  <si>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</si>
  <si>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</si>
  <si>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</si>
  <si>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</si>
  <si>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</si>
  <si>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</si>
  <si>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</si>
  <si>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</si>
  <si>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</si>
  <si>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</si>
  <si>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</si>
  <si>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</si>
  <si>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</si>
  <si>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</si>
  <si>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</si>
  <si>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</si>
  <si>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</si>
  <si>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</si>
  <si>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</si>
  <si>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</si>
  <si>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</si>
  <si>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</si>
  <si>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</si>
  <si>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</si>
  <si>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</si>
  <si>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</si>
  <si>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</si>
  <si>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</si>
  <si>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</si>
  <si>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</si>
  <si>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</si>
  <si>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</si>
  <si>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</si>
  <si>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</si>
  <si>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</si>
  <si>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</si>
  <si>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</si>
  <si>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</si>
  <si>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</si>
  <si>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</si>
  <si>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</si>
  <si>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</si>
  <si>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</si>
  <si>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</si>
  <si>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</si>
  <si>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</si>
  <si>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</si>
  <si>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</si>
  <si>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</si>
  <si>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</si>
  <si>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</si>
  <si>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</si>
  <si>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</si>
  <si>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</si>
  <si>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</si>
  <si>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</si>
  <si>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</si>
  <si>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</si>
  <si>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</si>
  <si>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</si>
  <si>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</si>
  <si>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</si>
  <si>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</si>
  <si>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</si>
  <si>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</si>
  <si>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</si>
  <si>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</si>
  <si>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</si>
  <si>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</si>
  <si>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</si>
  <si>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</si>
  <si>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</si>
  <si>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</si>
  <si>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</si>
  <si>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</si>
  <si>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</si>
  <si>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</si>
  <si>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</si>
  <si>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</si>
  <si>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</si>
  <si>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</si>
  <si>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</si>
  <si>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</si>
  <si>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</si>
  <si>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</si>
  <si>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</si>
  <si>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</si>
  <si>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</si>
  <si>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</si>
  <si>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</si>
  <si>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</si>
  <si>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</si>
  <si>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</si>
  <si>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</si>
  <si>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</si>
  <si>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</si>
  <si>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</si>
  <si>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</si>
  <si>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</si>
  <si>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</si>
  <si>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</si>
  <si>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</si>
  <si>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</si>
  <si>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</si>
  <si>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</si>
  <si>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</si>
  <si>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</si>
  <si>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</si>
  <si>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</si>
  <si>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</si>
  <si>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</si>
  <si>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</si>
  <si>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</si>
  <si>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</si>
  <si>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</si>
  <si>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</si>
  <si>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</si>
  <si>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</si>
  <si>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</si>
  <si>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</si>
  <si>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</si>
  <si>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</si>
  <si>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</si>
  <si>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</si>
  <si>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</si>
  <si>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</si>
  <si>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</si>
  <si>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</si>
  <si>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</si>
  <si>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</si>
  <si>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</si>
  <si>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</si>
  <si>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</si>
  <si>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</si>
  <si>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</si>
  <si>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</si>
  <si>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</si>
  <si>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</si>
  <si>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</si>
  <si>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</si>
  <si>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</si>
  <si>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</si>
  <si>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</si>
  <si>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</si>
  <si>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</si>
  <si>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</si>
  <si>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</si>
  <si>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</si>
  <si>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</si>
  <si>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</si>
  <si>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</si>
  <si>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</si>
  <si>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</si>
  <si>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</si>
  <si>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</si>
  <si>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</si>
  <si>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</si>
  <si>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</si>
  <si>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</si>
  <si>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</si>
  <si>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</si>
  <si>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</si>
  <si>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</si>
  <si>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</si>
  <si>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</si>
  <si>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</si>
  <si>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</si>
  <si>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</si>
  <si>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</si>
  <si>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</si>
  <si>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</si>
  <si>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</si>
  <si>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</si>
  <si>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</si>
  <si>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</si>
  <si>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</si>
  <si>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</si>
  <si>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</si>
  <si>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</si>
  <si>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</si>
  <si>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</si>
  <si>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</si>
  <si>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</si>
  <si>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</si>
  <si>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</si>
  <si>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</si>
  <si>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</si>
  <si>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</si>
  <si>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</si>
  <si>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</si>
  <si>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</si>
  <si>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</si>
  <si>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</si>
  <si>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</si>
  <si>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</si>
  <si>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</si>
  <si>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</si>
  <si>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</si>
  <si>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</si>
  <si>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</si>
  <si>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</si>
  <si>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</si>
  <si>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</si>
  <si>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</si>
  <si>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</si>
  <si>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</si>
  <si>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</si>
  <si>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</si>
  <si>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</si>
  <si>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</si>
  <si>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</si>
  <si>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</si>
  <si>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</si>
  <si>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</si>
  <si>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</si>
  <si>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</si>
  <si>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</si>
  <si>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</si>
  <si>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</si>
  <si>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</si>
  <si>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</si>
  <si>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</si>
  <si>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</si>
  <si>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</si>
  <si>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</si>
  <si>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</si>
  <si>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</si>
  <si>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</si>
  <si>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</si>
  <si>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</si>
  <si>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</si>
  <si>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</si>
  <si>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</si>
  <si>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</si>
  <si>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</si>
  <si>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</si>
  <si>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</si>
  <si>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</si>
  <si>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</si>
  <si>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</si>
  <si>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</si>
  <si>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</si>
  <si>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</si>
  <si>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</si>
  <si>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</si>
  <si>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</si>
  <si>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</si>
  <si>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</si>
  <si>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</si>
  <si>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</si>
  <si>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</si>
  <si>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</si>
  <si>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</si>
  <si>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</si>
  <si>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</si>
  <si>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</si>
  <si>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</si>
  <si>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</si>
  <si>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</si>
  <si>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</si>
  <si>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</si>
  <si>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</si>
  <si>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</si>
  <si>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</si>
  <si>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</si>
  <si>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</si>
  <si>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</si>
  <si>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</si>
  <si>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</si>
  <si>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</si>
  <si>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</si>
  <si>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</si>
  <si>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</si>
  <si>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</si>
  <si>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</si>
  <si>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</si>
  <si>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</si>
  <si>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</si>
  <si>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</si>
  <si>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</si>
  <si>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</si>
  <si>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</si>
  <si>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</si>
  <si>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</si>
  <si>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</si>
  <si>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</si>
  <si>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</si>
  <si>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</si>
  <si>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</si>
  <si>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</si>
  <si>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</si>
  <si>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</si>
  <si>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</si>
  <si>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</si>
  <si>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</si>
  <si>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</si>
  <si>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</si>
  <si>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</si>
  <si>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</si>
  <si>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</si>
  <si>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</si>
  <si>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</si>
  <si>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</si>
  <si>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</si>
  <si>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</si>
  <si>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</si>
  <si>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</si>
  <si>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</si>
  <si>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</si>
  <si>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</si>
  <si>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</si>
  <si>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</si>
  <si>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</si>
  <si>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</si>
  <si>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</si>
  <si>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</si>
  <si>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</si>
  <si>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</si>
  <si>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</si>
  <si>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</si>
  <si>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</si>
  <si>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</si>
  <si>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</si>
  <si>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</si>
  <si>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</si>
  <si>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</si>
  <si>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</si>
  <si>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</si>
  <si>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</si>
  <si>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</si>
  <si>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</si>
  <si>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</si>
  <si>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</si>
  <si>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</si>
  <si>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</si>
  <si>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</si>
  <si>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</si>
  <si>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</si>
  <si>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</si>
  <si>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</si>
  <si>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</si>
  <si>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</si>
  <si>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</si>
  <si>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</si>
  <si>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</si>
  <si>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</si>
  <si>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</si>
  <si>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</si>
  <si>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</si>
  <si>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</si>
  <si>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</si>
  <si>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</si>
  <si>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</si>
  <si>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</si>
  <si>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</si>
  <si>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</si>
  <si>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</si>
  <si>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</si>
  <si>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</si>
  <si>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</si>
  <si>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</si>
  <si>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</si>
  <si>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</si>
  <si>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</si>
  <si>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</si>
  <si>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</si>
  <si>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</si>
  <si>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</si>
  <si>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</si>
  <si>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</si>
  <si>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</si>
  <si>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</si>
  <si>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</si>
  <si>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</si>
  <si>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</si>
  <si>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</si>
  <si>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</si>
  <si>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</si>
  <si>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</si>
  <si>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</si>
  <si>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</si>
  <si>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</si>
  <si>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</si>
  <si>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</si>
  <si>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</si>
  <si>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</si>
  <si>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</si>
  <si>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</si>
  <si>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</si>
  <si>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</si>
  <si>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</si>
  <si>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</si>
  <si>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</si>
  <si>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</si>
  <si>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</si>
  <si>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</si>
  <si>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</si>
  <si>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</si>
  <si>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</si>
  <si>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</si>
  <si>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</si>
  <si>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</si>
  <si>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</si>
  <si>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</si>
  <si>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</si>
  <si>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</si>
  <si>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</si>
  <si>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</si>
  <si>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</si>
  <si>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</si>
  <si>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</si>
  <si>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</si>
  <si>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</si>
  <si>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</si>
  <si>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</si>
  <si>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</si>
  <si>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</si>
  <si>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</si>
  <si>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</si>
  <si>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</si>
  <si>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</si>
  <si>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</si>
  <si>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</si>
  <si>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</si>
  <si>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</si>
  <si>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</si>
  <si>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</si>
  <si>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</si>
  <si>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</si>
  <si>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</si>
  <si>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</si>
  <si>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</si>
  <si>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</si>
  <si>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</si>
  <si>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</si>
  <si>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</si>
  <si>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</si>
  <si>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</si>
  <si>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</si>
  <si>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</si>
  <si>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</si>
  <si>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</si>
  <si>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</si>
  <si>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</si>
  <si>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</si>
  <si>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</si>
  <si>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</si>
  <si>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</si>
  <si>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</si>
  <si>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</si>
  <si>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</si>
  <si>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</si>
  <si>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</si>
  <si>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</si>
  <si>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</si>
  <si>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</si>
  <si>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</si>
  <si>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</si>
  <si>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</si>
  <si>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</si>
  <si>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</si>
  <si>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</si>
  <si>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</si>
  <si>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</si>
  <si>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</si>
  <si>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</si>
  <si>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</si>
  <si>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</si>
  <si>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</si>
  <si>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</si>
  <si>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</si>
  <si>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</si>
  <si>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</si>
  <si>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</si>
  <si>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</si>
  <si>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</si>
  <si>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</si>
  <si>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</si>
  <si>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</si>
  <si>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</si>
  <si>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</si>
  <si>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</si>
  <si>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</si>
  <si>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</si>
  <si>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</si>
  <si>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</si>
  <si>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</si>
  <si>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</si>
  <si>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</si>
  <si>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</si>
  <si>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</si>
  <si>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</si>
  <si>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</si>
  <si>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</si>
  <si>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</si>
  <si>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</si>
  <si>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</si>
  <si>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</si>
  <si>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</si>
  <si>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</si>
  <si>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</si>
  <si>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</si>
  <si>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</si>
  <si>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</si>
  <si>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</si>
  <si>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</si>
  <si>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</si>
  <si>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</si>
  <si>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</si>
  <si>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</si>
  <si>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</si>
  <si>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</si>
  <si>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</si>
  <si>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</si>
  <si>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</si>
  <si>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</si>
  <si>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</si>
  <si>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</si>
  <si>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</si>
  <si>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</si>
  <si>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</si>
  <si>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</si>
  <si>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</si>
  <si>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</si>
  <si>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</si>
  <si>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</si>
  <si>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</si>
  <si>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</si>
  <si>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</si>
  <si>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</si>
  <si>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</si>
  <si>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</si>
  <si>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</si>
  <si>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</si>
  <si>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</si>
  <si>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</si>
  <si>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</si>
  <si>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</si>
  <si>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</si>
  <si>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</si>
  <si>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</si>
  <si>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</si>
  <si>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</si>
  <si>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</si>
  <si>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</si>
  <si>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</si>
  <si>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</si>
  <si>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</si>
  <si>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</si>
  <si>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</si>
  <si>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</si>
  <si>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</si>
  <si>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</si>
  <si>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</si>
  <si>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</si>
  <si>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</si>
  <si>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</si>
  <si>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</si>
  <si>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</si>
  <si>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</si>
  <si>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</si>
  <si>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</si>
  <si>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</si>
  <si>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</si>
  <si>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</si>
  <si>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</si>
  <si>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</si>
  <si>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</si>
  <si>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</si>
  <si>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</si>
  <si>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</si>
  <si>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</si>
  <si>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</si>
  <si>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</si>
  <si>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</si>
  <si>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</si>
  <si>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</si>
  <si>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</si>
  <si>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</si>
  <si>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</si>
  <si>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</si>
  <si>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</si>
  <si>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</si>
  <si>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</si>
  <si>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</si>
  <si>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</si>
  <si>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</si>
  <si>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</si>
  <si>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</si>
  <si>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</si>
  <si>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</si>
  <si>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</si>
  <si>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</si>
  <si>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</si>
  <si>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</si>
  <si>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</si>
  <si>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</si>
  <si>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</si>
  <si>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</si>
  <si>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</si>
  <si>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</si>
  <si>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</si>
  <si>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</si>
  <si>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</si>
  <si>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</si>
  <si>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</si>
  <si>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</si>
  <si>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</si>
  <si>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</si>
  <si>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</si>
  <si>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</si>
  <si>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</si>
  <si>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</si>
  <si>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</si>
  <si>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</si>
  <si>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</si>
  <si>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</si>
  <si>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</si>
  <si>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</si>
  <si>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</si>
  <si>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</si>
  <si>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</si>
  <si>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</si>
  <si>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</si>
  <si>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</si>
  <si>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</si>
  <si>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</si>
  <si>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</si>
  <si>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</si>
  <si>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</si>
  <si>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</si>
  <si>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</si>
  <si>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</si>
  <si>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</si>
  <si>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</si>
  <si>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</si>
  <si>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</si>
  <si>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</si>
  <si>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</si>
  <si>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</si>
  <si>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</si>
  <si>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</si>
  <si>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</si>
  <si>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</si>
  <si>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</si>
  <si>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</si>
  <si>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</si>
  <si>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</si>
  <si>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</si>
  <si>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</si>
  <si>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</si>
  <si>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</si>
  <si>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</si>
  <si>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</si>
  <si>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</si>
  <si>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</si>
  <si>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</si>
  <si>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</si>
  <si>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</si>
  <si>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</si>
  <si>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</si>
  <si>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</si>
  <si>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</si>
  <si>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</si>
  <si>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</si>
  <si>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</si>
  <si>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</si>
  <si>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</si>
  <si>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</si>
  <si>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</si>
  <si>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</si>
  <si>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</si>
  <si>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</si>
  <si>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</si>
  <si>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</si>
  <si>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</si>
  <si>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</si>
  <si>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</si>
  <si>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</si>
  <si>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</si>
  <si>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</si>
  <si>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</si>
  <si>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</si>
  <si>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</si>
  <si>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</si>
  <si>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</si>
  <si>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</si>
  <si>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</si>
  <si>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</si>
  <si>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</si>
  <si>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</si>
  <si>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</si>
  <si>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</si>
  <si>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</si>
  <si>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</si>
  <si>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</si>
  <si>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</si>
  <si>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</si>
  <si>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</si>
  <si>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</si>
  <si>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</si>
  <si>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</si>
  <si>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</si>
  <si>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</si>
  <si>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</si>
  <si>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</si>
  <si>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</si>
  <si>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</si>
  <si>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</si>
  <si>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</si>
  <si>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</si>
  <si>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</si>
  <si>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</si>
  <si>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</si>
  <si>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</si>
  <si>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</si>
  <si>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</si>
  <si>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</si>
  <si>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</si>
  <si>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</si>
  <si>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</si>
  <si>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</si>
  <si>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</si>
  <si>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</si>
  <si>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</si>
  <si>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</si>
  <si>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</si>
  <si>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</si>
  <si>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</si>
  <si>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</si>
  <si>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</si>
  <si>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</si>
  <si>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</si>
  <si>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</si>
  <si>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</si>
  <si>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</si>
  <si>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</si>
  <si>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</si>
  <si>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</si>
  <si>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</si>
  <si>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</si>
  <si>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</si>
  <si>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</si>
  <si>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</si>
  <si>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</si>
  <si>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</si>
  <si>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</si>
  <si>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</si>
  <si>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</si>
  <si>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</si>
  <si>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</si>
  <si>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</si>
  <si>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</si>
  <si>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</si>
  <si>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</si>
  <si>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</si>
  <si>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</si>
  <si>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</si>
  <si>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</si>
  <si>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</si>
  <si>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</si>
  <si>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</si>
  <si>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</si>
  <si>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</si>
  <si>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</si>
  <si>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</si>
  <si>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</si>
  <si>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</si>
  <si>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</si>
  <si>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</si>
  <si>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</si>
  <si>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</si>
  <si>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</si>
  <si>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</si>
  <si>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</si>
  <si>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</si>
  <si>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</si>
  <si>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</si>
  <si>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</si>
  <si>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</si>
  <si>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</si>
  <si>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</si>
  <si>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</si>
  <si>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</si>
  <si>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</si>
  <si>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</si>
  <si>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</si>
  <si>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</si>
  <si>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</si>
  <si>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</si>
  <si>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</si>
  <si>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</si>
  <si>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</si>
  <si>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</si>
  <si>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</si>
  <si>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</si>
  <si>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</si>
  <si>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</si>
  <si>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</si>
  <si>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</si>
  <si>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</si>
  <si>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</si>
  <si>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</si>
  <si>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</si>
  <si>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</si>
  <si>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</si>
  <si>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</si>
  <si>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</si>
  <si>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</si>
  <si>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</si>
  <si>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</si>
  <si>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</si>
  <si>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</si>
  <si>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</si>
  <si>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</si>
  <si>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</si>
  <si>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</si>
  <si>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</si>
  <si>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</si>
  <si>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</si>
  <si>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</si>
  <si>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</si>
  <si>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</si>
  <si>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</si>
  <si>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</si>
  <si>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</si>
  <si>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</si>
  <si>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</si>
  <si>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</si>
  <si>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</si>
  <si>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</si>
  <si>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</si>
  <si>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</si>
  <si>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</si>
  <si>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</si>
  <si>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</si>
  <si>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</si>
  <si>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</si>
  <si>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</si>
  <si>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</si>
  <si>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</si>
  <si>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</si>
  <si>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</si>
  <si>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</si>
  <si>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</si>
  <si>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</si>
  <si>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</si>
  <si>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</si>
  <si>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</si>
  <si>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</si>
  <si>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</si>
  <si>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</si>
  <si>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</si>
  <si>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</si>
  <si>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</si>
  <si>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</si>
  <si>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</si>
  <si>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</si>
  <si>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</si>
  <si>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</si>
  <si>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</si>
  <si>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</si>
  <si>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</si>
  <si>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</si>
  <si>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</si>
  <si>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</si>
  <si>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</si>
  <si>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</si>
  <si>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</si>
  <si>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</si>
  <si>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</si>
  <si>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</si>
  <si>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</si>
  <si>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</si>
  <si>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</si>
  <si>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</si>
  <si>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</si>
  <si>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</si>
  <si>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</si>
  <si>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</si>
  <si>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</si>
  <si>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</si>
  <si>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</si>
  <si>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</si>
  <si>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</si>
  <si>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</si>
  <si>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</si>
  <si>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</si>
  <si>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</si>
  <si>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</si>
  <si>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</si>
  <si>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</si>
  <si>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</si>
  <si>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</si>
  <si>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</si>
  <si>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</si>
  <si>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</si>
  <si>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</si>
  <si>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</si>
  <si>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</si>
  <si>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</si>
  <si>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</si>
  <si>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</si>
  <si>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</si>
  <si>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</si>
  <si>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</si>
  <si>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</si>
  <si>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</si>
  <si>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</si>
  <si>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</si>
  <si>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</si>
  <si>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</si>
  <si>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</si>
  <si>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</si>
  <si>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</si>
  <si>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</si>
  <si>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</si>
  <si>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</si>
  <si>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</si>
  <si>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</si>
  <si>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</si>
  <si>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</si>
  <si>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</si>
  <si>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</si>
  <si>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</si>
  <si>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</si>
  <si>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</si>
  <si>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</si>
  <si>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</si>
  <si>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</si>
  <si>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</si>
  <si>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</si>
  <si>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</si>
  <si>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</si>
  <si>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</si>
  <si>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</si>
  <si>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</si>
  <si>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</si>
  <si>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</si>
  <si>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</si>
  <si>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</si>
  <si>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</si>
  <si>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</si>
  <si>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</si>
  <si>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</si>
  <si>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</si>
  <si>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</si>
  <si>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</si>
  <si>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</si>
  <si>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</si>
  <si>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</si>
  <si>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</si>
  <si>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</si>
  <si>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</si>
  <si>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</si>
  <si>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</si>
  <si>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</si>
  <si>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</si>
  <si>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</si>
  <si>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</si>
  <si>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</si>
  <si>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</si>
  <si>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</si>
  <si>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</si>
  <si>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</si>
  <si>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</si>
  <si>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</si>
  <si>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</si>
  <si>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</si>
  <si>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</si>
  <si>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</si>
  <si>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</si>
  <si>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</si>
  <si>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</si>
  <si>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</si>
  <si>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</si>
  <si>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</si>
  <si>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</si>
  <si>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</si>
  <si>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</si>
  <si>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</si>
  <si>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</si>
  <si>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</si>
  <si>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</si>
  <si>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</si>
  <si>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</si>
  <si>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</si>
  <si>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</si>
  <si>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</si>
  <si>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</si>
  <si>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</si>
  <si>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</si>
  <si>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</si>
  <si>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</si>
  <si>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</si>
  <si>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</si>
  <si>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</si>
  <si>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</si>
  <si>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</si>
  <si>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</si>
  <si>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</si>
  <si>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</si>
  <si>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</si>
  <si>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</si>
  <si>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</si>
  <si>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</si>
  <si>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</si>
  <si>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</si>
  <si>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</si>
  <si>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</si>
  <si>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</si>
  <si>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</si>
  <si>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</si>
  <si>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</si>
  <si>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</si>
  <si>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</si>
  <si>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</si>
  <si>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</si>
  <si>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</si>
  <si>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</si>
  <si>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</si>
  <si>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</si>
  <si>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</si>
  <si>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</si>
  <si>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</si>
  <si>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</si>
  <si>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</si>
  <si>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</si>
  <si>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</si>
  <si>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</si>
  <si>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</si>
  <si>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</si>
  <si>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</si>
  <si>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</si>
  <si>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</si>
  <si>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</si>
  <si>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</si>
  <si>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</si>
  <si>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</si>
  <si>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</si>
  <si>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</si>
  <si>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</si>
  <si>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</si>
  <si>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</si>
  <si>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</si>
  <si>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</si>
  <si>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</si>
  <si>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</si>
  <si>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</si>
  <si>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</si>
  <si>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</si>
  <si>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</si>
  <si>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</si>
  <si>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</si>
  <si>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</si>
  <si>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</si>
  <si>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</si>
  <si>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</si>
  <si>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</si>
  <si>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</si>
  <si>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</si>
  <si>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</si>
  <si>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</si>
  <si>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</si>
  <si>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</si>
  <si>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</si>
  <si>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</si>
  <si>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</si>
  <si>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</si>
  <si>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</si>
  <si>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</si>
  <si>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</si>
  <si>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</si>
  <si>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</si>
  <si>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</si>
  <si>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</si>
  <si>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</si>
  <si>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</si>
  <si>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</si>
  <si>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</si>
  <si>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</si>
  <si>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</si>
  <si>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</si>
  <si>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</si>
  <si>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</si>
  <si>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</si>
  <si>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</si>
  <si>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</si>
  <si>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</si>
  <si>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</si>
  <si>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</si>
  <si>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</si>
  <si>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</si>
  <si>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</si>
  <si>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</si>
  <si>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</si>
  <si>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</si>
  <si>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</si>
  <si>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</si>
  <si>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</si>
  <si>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</si>
  <si>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</si>
  <si>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</si>
  <si>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</si>
  <si>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</si>
  <si>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</si>
  <si>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</si>
  <si>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</si>
  <si>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</si>
  <si>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</si>
  <si>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</si>
  <si>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</si>
  <si>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</si>
  <si>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</si>
  <si>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</si>
  <si>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</si>
  <si>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</si>
  <si>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</si>
  <si>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</si>
  <si>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</si>
  <si>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</si>
  <si>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</si>
  <si>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</si>
  <si>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</si>
  <si>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</si>
  <si>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</si>
  <si>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</si>
  <si>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</si>
  <si>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</si>
  <si>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</si>
  <si>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</si>
  <si>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</si>
  <si>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</si>
  <si>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</si>
  <si>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</si>
  <si>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</si>
  <si>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</si>
  <si>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</si>
  <si>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</si>
  <si>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</si>
  <si>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</si>
  <si>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</si>
  <si>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</si>
  <si>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</si>
  <si>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</si>
  <si>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</si>
  <si>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</si>
  <si>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</si>
  <si>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</si>
  <si>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</si>
  <si>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</si>
  <si>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</si>
  <si>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</si>
  <si>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</si>
  <si>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</si>
  <si>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</si>
  <si>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</si>
  <si>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</si>
  <si>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</si>
  <si>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</si>
  <si>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</si>
  <si>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</si>
  <si>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</si>
  <si>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</si>
  <si>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</si>
  <si>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</si>
  <si>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</si>
  <si>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</si>
  <si>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</si>
  <si>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</si>
  <si>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</si>
  <si>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</si>
  <si>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</si>
  <si>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</si>
  <si>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</si>
  <si>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</si>
  <si>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</si>
  <si>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</si>
  <si>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</si>
  <si>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</si>
  <si>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</si>
  <si>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</si>
  <si>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</si>
  <si>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</si>
  <si>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</si>
  <si>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</si>
  <si>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</si>
  <si>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</si>
  <si>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</si>
  <si>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</si>
  <si>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</si>
  <si>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</si>
  <si>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</si>
  <si>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</si>
  <si>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</si>
  <si>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</si>
  <si>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</si>
  <si>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</si>
  <si>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</si>
  <si>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</si>
  <si>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</si>
  <si>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</si>
  <si>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</si>
  <si>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</si>
  <si>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</si>
  <si>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</si>
  <si>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</si>
  <si>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</si>
  <si>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</si>
  <si>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</si>
  <si>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</si>
  <si>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</si>
  <si>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</si>
  <si>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</si>
  <si>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</si>
  <si>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</si>
  <si>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</si>
  <si>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</si>
  <si>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</si>
  <si>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</si>
  <si>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</si>
  <si>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</si>
  <si>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</si>
  <si>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</si>
  <si>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</si>
  <si>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</si>
  <si>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</si>
  <si>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</si>
  <si>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</si>
  <si>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</si>
  <si>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</si>
  <si>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</si>
  <si>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</si>
  <si>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</si>
  <si>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</si>
  <si>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</si>
  <si>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</si>
  <si>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</si>
  <si>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</si>
  <si>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</si>
  <si>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</si>
  <si>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</si>
  <si>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</si>
  <si>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</si>
  <si>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</si>
  <si>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</si>
  <si>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</si>
  <si>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</si>
  <si>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</si>
  <si>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</si>
  <si>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</si>
  <si>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</si>
  <si>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</si>
  <si>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</si>
  <si>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</si>
  <si>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</si>
  <si>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</si>
  <si>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</si>
  <si>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</si>
  <si>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</si>
  <si>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</si>
  <si>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</si>
  <si>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</si>
  <si>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</si>
  <si>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</si>
  <si>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</si>
  <si>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</si>
  <si>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</si>
  <si>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</si>
  <si>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</si>
  <si>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</si>
  <si>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</si>
  <si>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</si>
  <si>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</si>
  <si>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</si>
  <si>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</si>
  <si>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</si>
  <si>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</si>
  <si>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</si>
  <si>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</si>
  <si>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</si>
  <si>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</si>
  <si>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</si>
  <si>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</si>
  <si>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</si>
  <si>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</si>
  <si>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</si>
  <si>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</si>
  <si>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</si>
  <si>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</si>
  <si>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</si>
  <si>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</si>
  <si>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</si>
  <si>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</si>
  <si>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</si>
  <si>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</si>
  <si>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</si>
  <si>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</si>
  <si>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</si>
  <si>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</si>
  <si>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</si>
  <si>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</si>
  <si>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</si>
  <si>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</si>
  <si>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</si>
  <si>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</si>
  <si>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</si>
  <si>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</si>
  <si>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</si>
  <si>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</si>
  <si>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</si>
  <si>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</si>
  <si>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</si>
  <si>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</si>
  <si>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</si>
  <si>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</si>
  <si>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</si>
  <si>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</si>
  <si>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</si>
  <si>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</si>
  <si>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</si>
  <si>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</si>
  <si>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</si>
  <si>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</si>
  <si>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</si>
  <si>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</si>
  <si>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</si>
  <si>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</si>
  <si>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</si>
  <si>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</si>
  <si>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</si>
  <si>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</si>
  <si>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</si>
  <si>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</si>
  <si>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</si>
  <si>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</si>
  <si>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</si>
  <si>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</si>
  <si>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</si>
  <si>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</si>
  <si>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</si>
  <si>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</si>
  <si>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</si>
  <si>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</si>
  <si>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</si>
  <si>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</si>
  <si>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</si>
  <si>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</si>
  <si>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</si>
  <si>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</si>
  <si>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</si>
  <si>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</si>
  <si>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</si>
  <si>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</si>
  <si>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</si>
  <si>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</si>
  <si>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</si>
  <si>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</si>
  <si>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</si>
  <si>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</si>
  <si>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</si>
  <si>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</si>
  <si>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</si>
  <si>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</si>
  <si>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</si>
  <si>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</si>
  <si>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</si>
  <si>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</si>
  <si>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</si>
  <si>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</si>
  <si>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</si>
  <si>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</si>
  <si>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</si>
  <si>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</si>
  <si>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</si>
  <si>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</si>
  <si>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</si>
  <si>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</si>
  <si>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</si>
  <si>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</si>
  <si>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</si>
  <si>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</si>
  <si>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</si>
  <si>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</si>
  <si>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</si>
  <si>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</si>
  <si>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</si>
  <si>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</si>
  <si>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</si>
  <si>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</si>
  <si>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</si>
  <si>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</si>
  <si>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</si>
  <si>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</si>
  <si>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</si>
  <si>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</si>
  <si>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</si>
  <si>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</si>
  <si>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</si>
  <si>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</si>
  <si>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</si>
  <si>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</si>
  <si>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</si>
  <si>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</si>
  <si>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</si>
  <si>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</si>
  <si>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</si>
  <si>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</si>
  <si>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</si>
  <si>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</si>
  <si>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</si>
  <si>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</si>
  <si>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</si>
  <si>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</si>
  <si>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</si>
  <si>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</si>
  <si>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</si>
  <si>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</si>
  <si>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</si>
  <si>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</si>
  <si>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</si>
  <si>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</si>
  <si>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</si>
  <si>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</si>
  <si>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</si>
  <si>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</si>
  <si>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</si>
  <si>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</si>
  <si>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</si>
  <si>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</si>
  <si>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</si>
  <si>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</si>
  <si>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</si>
  <si>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</si>
  <si>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</si>
  <si>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</si>
  <si>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</si>
  <si>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</si>
  <si>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</si>
  <si>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</si>
  <si>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</si>
  <si>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</si>
  <si>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</si>
  <si>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</si>
  <si>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</si>
  <si>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</si>
  <si>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</si>
  <si>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</si>
  <si>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</si>
  <si>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</si>
  <si>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</si>
  <si>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</si>
  <si>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</si>
  <si>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</si>
  <si>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</si>
  <si>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</si>
  <si>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</si>
  <si>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</si>
  <si>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</si>
  <si>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</si>
  <si>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</si>
  <si>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</si>
  <si>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</si>
  <si>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</si>
  <si>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</si>
  <si>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</si>
  <si>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</si>
  <si>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</si>
  <si>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</si>
  <si>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</si>
  <si>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</si>
  <si>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</si>
  <si>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</si>
  <si>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</si>
  <si>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</si>
  <si>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</si>
  <si>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</si>
  <si>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</si>
  <si>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</si>
  <si>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</si>
  <si>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</si>
  <si>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</si>
  <si>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</si>
  <si>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</si>
  <si>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</si>
  <si>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</si>
  <si>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</si>
  <si>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</si>
  <si>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</si>
  <si>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</si>
  <si>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</si>
  <si>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</si>
  <si>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</si>
  <si>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</si>
  <si>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</si>
  <si>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</si>
  <si>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</si>
  <si>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</si>
  <si>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</si>
  <si>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</si>
  <si>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</si>
  <si>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</si>
  <si>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</si>
  <si>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</si>
  <si>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</si>
  <si>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</si>
  <si>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</si>
  <si>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</si>
  <si>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</si>
  <si>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</si>
  <si>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</si>
  <si>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</si>
  <si>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</si>
  <si>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</si>
  <si>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</si>
  <si>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</si>
  <si>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</si>
  <si>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</si>
  <si>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</si>
  <si>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</si>
  <si>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</si>
  <si>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</si>
  <si>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</si>
  <si>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</si>
  <si>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</si>
  <si>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</si>
  <si>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</si>
  <si>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</si>
  <si>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</si>
  <si>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</si>
  <si>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</si>
  <si>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</si>
  <si>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</si>
  <si>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</si>
  <si>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</si>
  <si>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</si>
  <si>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</si>
  <si>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</si>
  <si>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</si>
  <si>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</si>
  <si>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</si>
  <si>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</si>
  <si>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</si>
  <si>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</si>
  <si>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</si>
  <si>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</si>
  <si>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</si>
  <si>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</si>
  <si>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</si>
  <si>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</si>
  <si>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</si>
  <si>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</si>
  <si>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</si>
  <si>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</si>
  <si>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</si>
  <si>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</si>
  <si>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</si>
  <si>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</si>
  <si>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</si>
  <si>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</si>
  <si>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</si>
  <si>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</si>
  <si>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</si>
  <si>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</si>
  <si>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</si>
  <si>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</si>
  <si>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</si>
  <si>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</si>
  <si>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</si>
  <si>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</si>
  <si>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</si>
  <si>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</si>
  <si>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</si>
  <si>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</si>
  <si>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</si>
  <si>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</si>
  <si>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</si>
  <si>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</si>
  <si>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</si>
  <si>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</si>
  <si>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</si>
  <si>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</si>
  <si>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</si>
  <si>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</si>
  <si>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</si>
  <si>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</si>
  <si>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</si>
  <si>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</si>
  <si>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</si>
  <si>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</si>
  <si>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</si>
  <si>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</si>
  <si>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</si>
  <si>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</si>
  <si>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</si>
  <si>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</si>
  <si>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</si>
  <si>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</si>
  <si>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</si>
  <si>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</si>
  <si>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</si>
  <si>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</si>
  <si>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</si>
  <si>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</si>
  <si>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</si>
  <si>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</si>
  <si>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</si>
  <si>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</si>
  <si>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</si>
  <si>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</si>
  <si>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</si>
  <si>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</si>
  <si>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</si>
  <si>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</si>
  <si>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</si>
  <si>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</si>
  <si>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</si>
  <si>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</si>
  <si>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</si>
  <si>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</si>
  <si>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</si>
  <si>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</si>
  <si>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</si>
  <si>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</si>
  <si>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</si>
  <si>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</si>
  <si>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</si>
  <si>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</si>
  <si>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</si>
  <si>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</si>
  <si>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</si>
  <si>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</si>
  <si>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</si>
  <si>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</si>
  <si>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</si>
  <si>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</si>
  <si>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</si>
  <si>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</si>
  <si>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</si>
  <si>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</si>
  <si>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</si>
  <si>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</si>
  <si>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</si>
  <si>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</si>
  <si>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</si>
  <si>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</si>
  <si>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</si>
  <si>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</si>
  <si>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</si>
  <si>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</si>
  <si>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</si>
  <si>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</si>
  <si>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</si>
  <si>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</si>
  <si>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</si>
  <si>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</si>
  <si>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</si>
  <si>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</si>
  <si>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</si>
  <si>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</si>
  <si>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</si>
  <si>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</si>
  <si>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</si>
  <si>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</si>
  <si>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</si>
  <si>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</si>
  <si>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</si>
  <si>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</si>
  <si>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</si>
  <si>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</si>
  <si>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</si>
  <si>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</si>
  <si>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</si>
  <si>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</si>
  <si>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</si>
  <si>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</si>
  <si>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</si>
  <si>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</si>
  <si>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</si>
  <si>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</si>
  <si>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</si>
  <si>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</si>
  <si>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</si>
  <si>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</si>
  <si>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</si>
  <si>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</si>
  <si>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</si>
  <si>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</si>
  <si>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</si>
  <si>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</si>
  <si>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</si>
  <si>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</si>
  <si>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</si>
  <si>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</si>
  <si>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</si>
  <si>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</si>
  <si>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</si>
  <si>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</si>
  <si>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</si>
  <si>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</si>
  <si>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</si>
  <si>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</si>
  <si>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</si>
  <si>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</si>
  <si>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</si>
  <si>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</si>
  <si>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</si>
  <si>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</si>
  <si>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</si>
  <si>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</si>
  <si>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</si>
  <si>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</si>
  <si>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</si>
  <si>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</si>
  <si>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</si>
  <si>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</si>
  <si>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</si>
  <si>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</si>
  <si>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</si>
  <si>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</si>
  <si>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</si>
  <si>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</si>
  <si>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</si>
  <si>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</si>
  <si>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</si>
  <si>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</si>
  <si>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</si>
  <si>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</si>
  <si>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</si>
  <si>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</si>
  <si>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</si>
  <si>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</si>
  <si>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</si>
  <si>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</si>
  <si>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</si>
  <si>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</si>
  <si>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</si>
  <si>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</si>
  <si>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</si>
  <si>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</si>
  <si>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</si>
  <si>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</si>
  <si>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</si>
  <si>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</si>
  <si>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</si>
  <si>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</si>
  <si>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</si>
  <si>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</si>
  <si>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</si>
  <si>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</si>
  <si>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</si>
  <si>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</si>
  <si>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</si>
  <si>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</si>
  <si>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</si>
  <si>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</si>
  <si>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</si>
  <si>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</si>
  <si>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</si>
  <si>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</si>
  <si>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</si>
  <si>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</si>
  <si>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</si>
  <si>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</si>
  <si>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</si>
  <si>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</si>
  <si>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</si>
  <si>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</si>
  <si>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</si>
  <si>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</si>
  <si>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</si>
  <si>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</si>
  <si>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</si>
  <si>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</si>
  <si>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</si>
  <si>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</si>
  <si>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</si>
  <si>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</si>
  <si>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</si>
  <si>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</si>
  <si>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</si>
  <si>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</si>
  <si>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</si>
  <si>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</si>
  <si>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</si>
  <si>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</si>
  <si>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</si>
  <si>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</si>
  <si>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</si>
  <si>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</si>
  <si>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</si>
  <si>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</si>
  <si>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</si>
  <si>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</si>
  <si>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</si>
  <si>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</si>
  <si>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</si>
  <si>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</si>
  <si>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</si>
  <si>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</si>
  <si>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</si>
  <si>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</si>
  <si>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</si>
  <si>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</si>
  <si>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</si>
  <si>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</si>
  <si>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</si>
  <si>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</si>
  <si>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</si>
  <si>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</si>
  <si>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</si>
  <si>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</si>
  <si>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</si>
  <si>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</si>
  <si>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</si>
  <si>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</si>
  <si>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</si>
  <si>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</si>
  <si>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</si>
  <si>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</si>
  <si>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</si>
  <si>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</si>
  <si>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</si>
  <si>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</si>
  <si>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</si>
  <si>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</si>
  <si>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</si>
  <si>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</si>
  <si>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</si>
  <si>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</si>
  <si>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</si>
  <si>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</si>
  <si>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</si>
  <si>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</si>
  <si>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</si>
  <si>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</si>
  <si>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</si>
  <si>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</si>
  <si>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</si>
  <si>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</si>
  <si>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</si>
  <si>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</si>
  <si>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</si>
  <si>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</si>
  <si>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</si>
  <si>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</si>
  <si>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</si>
  <si>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</si>
  <si>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</si>
  <si>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</si>
  <si>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</si>
  <si>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</si>
  <si>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</si>
  <si>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</si>
  <si>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</si>
  <si>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</si>
  <si>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</si>
  <si>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</si>
  <si>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</si>
  <si>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</si>
  <si>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</si>
  <si>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</si>
  <si>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</si>
  <si>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</si>
  <si>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</si>
  <si>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</si>
  <si>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</si>
  <si>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</si>
  <si>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</si>
  <si>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</si>
  <si>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</si>
  <si>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</si>
  <si>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</si>
  <si>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</si>
  <si>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</si>
  <si>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</si>
  <si>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</si>
  <si>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</si>
  <si>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</si>
  <si>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</si>
  <si>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</si>
  <si>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</si>
  <si>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</si>
  <si>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</si>
  <si>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</si>
  <si>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</si>
  <si>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</si>
  <si>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</si>
  <si>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</si>
  <si>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</si>
  <si>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</si>
  <si>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</si>
  <si>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</si>
  <si>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</si>
  <si>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</si>
  <si>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</si>
  <si>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</si>
  <si>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</si>
  <si>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</si>
  <si>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</si>
  <si>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</si>
  <si>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</si>
  <si>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</si>
  <si>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</si>
  <si>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</si>
  <si>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</si>
  <si>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</si>
  <si>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</si>
  <si>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</si>
  <si>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</si>
  <si>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</si>
  <si>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</si>
  <si>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</si>
  <si>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</si>
  <si>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</si>
  <si>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</si>
  <si>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</si>
  <si>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</si>
  <si>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</si>
  <si>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</si>
  <si>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</si>
  <si>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</si>
  <si>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</si>
  <si>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</si>
  <si>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</si>
  <si>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</si>
  <si>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</si>
  <si>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</si>
  <si>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</si>
  <si>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</si>
  <si>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</si>
  <si>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</si>
  <si>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</si>
  <si>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</si>
  <si>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</si>
  <si>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</si>
  <si>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</si>
  <si>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</si>
  <si>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</si>
  <si>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</si>
  <si>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</si>
  <si>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</si>
  <si>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</si>
  <si>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</si>
  <si>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</si>
  <si>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</si>
  <si>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</si>
  <si>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</si>
  <si>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</si>
  <si>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</si>
  <si>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</si>
  <si>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</si>
  <si>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</si>
  <si>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</si>
  <si>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</si>
  <si>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</si>
  <si>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</si>
  <si>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</si>
  <si>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</si>
  <si>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</si>
  <si>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</si>
  <si>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</si>
  <si>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</si>
  <si>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</si>
  <si>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</si>
  <si>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</si>
  <si>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</si>
  <si>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</si>
  <si>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</si>
  <si>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</si>
  <si>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</si>
  <si>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</si>
  <si>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</si>
  <si>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</si>
  <si>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</si>
  <si>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</si>
  <si>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</si>
  <si>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</si>
  <si>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</si>
  <si>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</si>
  <si>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</si>
  <si>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</si>
  <si>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</si>
  <si>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</si>
  <si>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</si>
  <si>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</si>
  <si>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</si>
  <si>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</si>
  <si>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</si>
  <si>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</si>
  <si>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</si>
  <si>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</si>
  <si>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</si>
  <si>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</si>
  <si>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</si>
  <si>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</si>
  <si>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</si>
  <si>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</si>
  <si>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</si>
  <si>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</si>
  <si>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</si>
  <si>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</si>
  <si>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</si>
  <si>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</si>
  <si>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</si>
  <si>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</si>
  <si>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</si>
  <si>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</si>
  <si>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</si>
  <si>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</si>
  <si>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</si>
  <si>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</si>
  <si>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</si>
  <si>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</si>
  <si>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</si>
  <si>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</si>
  <si>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</si>
  <si>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</si>
  <si>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</si>
  <si>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</si>
  <si>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</si>
  <si>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</si>
  <si>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</si>
  <si>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</si>
  <si>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</si>
  <si>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</si>
  <si>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</si>
  <si>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</si>
  <si>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</si>
  <si>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</si>
  <si>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</si>
  <si>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</si>
  <si>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</si>
  <si>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</si>
  <si>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</si>
  <si>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</si>
  <si>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</si>
  <si>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</si>
  <si>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</si>
  <si>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</si>
  <si>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</si>
  <si>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</si>
  <si>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</si>
  <si>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</si>
  <si>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</si>
  <si>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</si>
  <si>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</si>
  <si>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</si>
  <si>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</si>
  <si>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</si>
  <si>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</si>
  <si>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</si>
  <si>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</si>
  <si>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</si>
  <si>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</si>
  <si>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</si>
  <si>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</si>
  <si>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</si>
  <si>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</si>
  <si>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</si>
  <si>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</si>
  <si>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</si>
  <si>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</si>
  <si>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</si>
  <si>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</si>
  <si>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</si>
  <si>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</si>
  <si>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</si>
  <si>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</si>
  <si>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</si>
  <si>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</si>
  <si>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</si>
  <si>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</si>
  <si>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</si>
  <si>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</si>
  <si>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</si>
  <si>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</si>
  <si>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</si>
  <si>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</si>
  <si>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</si>
  <si>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</si>
  <si>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</si>
  <si>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</si>
  <si>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</si>
  <si>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</si>
  <si>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</si>
  <si>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</si>
  <si>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</si>
  <si>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</si>
  <si>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</si>
  <si>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</si>
  <si>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</si>
  <si>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</si>
  <si>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</si>
  <si>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</si>
  <si>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</si>
  <si>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</si>
  <si>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</si>
  <si>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</si>
  <si>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</si>
  <si>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</si>
  <si>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</si>
  <si>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</si>
  <si>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</si>
  <si>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</si>
  <si>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</si>
  <si>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</si>
  <si>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</si>
  <si>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</si>
  <si>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</si>
  <si>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</si>
  <si>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</si>
  <si>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</si>
  <si>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</si>
  <si>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</si>
  <si>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</si>
  <si>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</si>
  <si>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</si>
  <si>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</si>
  <si>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</si>
  <si>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</si>
  <si>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</si>
  <si>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</si>
  <si>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</si>
  <si>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</si>
  <si>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</si>
  <si>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</si>
  <si>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</si>
  <si>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</si>
  <si>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</si>
  <si>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</si>
  <si>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</si>
  <si>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</si>
  <si>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</si>
  <si>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</si>
  <si>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</si>
  <si>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</si>
  <si>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</si>
  <si>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</si>
  <si>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</si>
  <si>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</si>
  <si>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</si>
  <si>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</si>
  <si>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</si>
  <si>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</si>
  <si>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</si>
  <si>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</si>
  <si>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</si>
  <si>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</si>
  <si>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</si>
  <si>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</si>
  <si>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</si>
  <si>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</si>
  <si>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</si>
  <si>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</si>
  <si>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</si>
  <si>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</si>
  <si>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</si>
  <si>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</si>
  <si>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</si>
  <si>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</si>
  <si>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</si>
  <si>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</si>
  <si>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</si>
  <si>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</si>
  <si>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</si>
  <si>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</si>
  <si>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</si>
  <si>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</si>
  <si>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</si>
  <si>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</si>
  <si>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</si>
  <si>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</si>
  <si>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</si>
  <si>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</si>
  <si>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</si>
  <si>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</si>
  <si>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</si>
  <si>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</si>
  <si>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</si>
  <si>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</si>
  <si>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</si>
  <si>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</si>
  <si>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</si>
  <si>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</si>
  <si>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</si>
  <si>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</si>
  <si>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</si>
  <si>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</si>
  <si>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</si>
  <si>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</si>
  <si>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</si>
  <si>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</si>
  <si>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</si>
  <si>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</si>
  <si>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</si>
  <si>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</si>
  <si>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</si>
  <si>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</si>
  <si>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</si>
  <si>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</si>
  <si>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</si>
  <si>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</si>
  <si>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</si>
  <si>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</si>
  <si>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</si>
  <si>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</si>
  <si>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</si>
  <si>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</si>
  <si>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</si>
  <si>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</si>
  <si>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</si>
  <si>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</si>
  <si>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</si>
  <si>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</si>
  <si>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</si>
  <si>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</si>
  <si>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</si>
  <si>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</si>
  <si>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</si>
  <si>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</si>
  <si>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</si>
  <si>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</si>
  <si>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</si>
  <si>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</si>
  <si>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</si>
  <si>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</si>
  <si>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</si>
  <si>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</si>
  <si>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</si>
  <si>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</si>
  <si>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</si>
  <si>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</si>
  <si>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</si>
  <si>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</si>
  <si>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</si>
  <si>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</si>
  <si>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</si>
  <si>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</si>
  <si>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</si>
  <si>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</si>
  <si>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</si>
  <si>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</si>
  <si>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</si>
  <si>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</si>
  <si>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</si>
  <si>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</si>
  <si>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</si>
  <si>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</si>
  <si>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</si>
  <si>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</si>
  <si>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</si>
  <si>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</si>
  <si>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</si>
  <si>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</si>
  <si>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</si>
  <si>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</si>
  <si>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</si>
  <si>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</si>
  <si>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</si>
  <si>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</si>
  <si>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</si>
  <si>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</si>
  <si>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</si>
  <si>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</si>
  <si>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</si>
  <si>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</si>
  <si>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</si>
  <si>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</si>
  <si>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</si>
  <si>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</si>
  <si>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</si>
  <si>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</si>
  <si>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</si>
  <si>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</si>
  <si>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</si>
  <si>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</si>
  <si>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</si>
  <si>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</si>
  <si>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</si>
  <si>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</si>
  <si>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</si>
  <si>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</si>
  <si>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</si>
  <si>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</si>
  <si>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</si>
  <si>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</si>
  <si>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</si>
  <si>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</si>
  <si>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</si>
  <si>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</si>
  <si>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</si>
  <si>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</si>
  <si>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</si>
  <si>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</si>
  <si>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</si>
  <si>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</si>
  <si>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</si>
  <si>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</si>
  <si>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</si>
  <si>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</si>
  <si>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</si>
  <si>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</si>
  <si>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</si>
  <si>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</si>
  <si>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</si>
  <si>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</si>
  <si>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</si>
  <si>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</si>
  <si>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</si>
  <si>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</si>
  <si>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</si>
  <si>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</si>
  <si>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</si>
  <si>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</si>
  <si>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</si>
  <si>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</si>
  <si>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</si>
  <si>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</si>
  <si>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</si>
  <si>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</si>
  <si>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</si>
  <si>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</si>
  <si>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</si>
  <si>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</si>
  <si>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</si>
  <si>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</si>
  <si>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</si>
  <si>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</si>
  <si>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</si>
  <si>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</si>
  <si>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</si>
  <si>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</si>
  <si>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</si>
  <si>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</si>
  <si>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</si>
  <si>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</si>
  <si>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</si>
  <si>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</si>
  <si>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</si>
  <si>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</si>
  <si>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</si>
  <si>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</si>
  <si>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</si>
  <si>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</si>
  <si>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</si>
  <si>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</si>
  <si>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</si>
  <si>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</si>
  <si>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</si>
  <si>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</si>
  <si>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</si>
  <si>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</si>
  <si>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</si>
  <si>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</si>
  <si>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</si>
  <si>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</si>
  <si>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</si>
  <si>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</si>
  <si>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</si>
  <si>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</si>
  <si>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</si>
  <si>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</si>
  <si>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</si>
  <si>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</si>
  <si>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</si>
  <si>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</si>
  <si>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</si>
  <si>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</si>
  <si>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</si>
  <si>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</si>
  <si>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</si>
  <si>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</si>
  <si>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</si>
  <si>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</si>
  <si>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</si>
  <si>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</si>
  <si>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</si>
  <si>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</si>
  <si>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</si>
  <si>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</si>
  <si>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</si>
  <si>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</si>
  <si>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</si>
  <si>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</si>
  <si>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</si>
  <si>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</si>
  <si>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</si>
  <si>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</si>
  <si>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</si>
  <si>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</si>
  <si>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</si>
  <si>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</si>
  <si>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</si>
  <si>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</si>
  <si>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</si>
  <si>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</si>
  <si>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</si>
  <si>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</si>
  <si>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</si>
  <si>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</si>
  <si>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</si>
  <si>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</si>
  <si>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</si>
  <si>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</si>
  <si>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</si>
  <si>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</si>
  <si>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</si>
  <si>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</si>
  <si>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</si>
  <si>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</si>
  <si>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</si>
  <si>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</si>
  <si>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</si>
  <si>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</si>
  <si>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</si>
  <si>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</si>
  <si>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</si>
  <si>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</si>
  <si>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</si>
  <si>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</si>
  <si>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</si>
  <si>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</si>
  <si>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</si>
  <si>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</si>
  <si>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</si>
  <si>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</si>
  <si>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</si>
  <si>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</si>
  <si>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</si>
  <si>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</si>
  <si>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</si>
  <si>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</si>
  <si>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</si>
  <si>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</si>
  <si>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</si>
  <si>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</si>
  <si>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</si>
  <si>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</si>
  <si>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</si>
  <si>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</si>
  <si>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</si>
  <si>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</si>
  <si>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</si>
  <si>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</si>
  <si>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</si>
  <si>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</si>
  <si>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</si>
  <si>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</si>
  <si>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</si>
  <si>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</si>
  <si>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</si>
  <si>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</si>
  <si>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</si>
  <si>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</si>
  <si>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</si>
  <si>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</si>
  <si>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</si>
  <si>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</si>
  <si>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</si>
  <si>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</si>
  <si>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</si>
  <si>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</si>
  <si>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</si>
  <si>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</si>
  <si>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</si>
  <si>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</si>
  <si>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</si>
  <si>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</si>
  <si>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</si>
  <si>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</si>
  <si>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</si>
  <si>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</si>
  <si>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</si>
  <si>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</si>
  <si>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</si>
  <si>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</si>
  <si>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</si>
  <si>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</si>
  <si>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</si>
  <si>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</si>
  <si>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</si>
  <si>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</si>
  <si>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</si>
  <si>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</si>
  <si>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</si>
  <si>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</si>
  <si>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</si>
  <si>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</si>
  <si>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</si>
  <si>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</si>
  <si>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</si>
  <si>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</si>
  <si>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</si>
  <si>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</si>
  <si>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</si>
  <si>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</si>
  <si>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</si>
  <si>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</si>
  <si>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</si>
  <si>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</si>
  <si>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</si>
  <si>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</si>
  <si>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</si>
  <si>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</si>
  <si>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</si>
  <si>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</si>
  <si>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</si>
  <si>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</si>
  <si>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</si>
  <si>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</si>
  <si>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</si>
  <si>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</si>
  <si>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</si>
  <si>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</si>
  <si>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</si>
  <si>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</si>
  <si>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</si>
  <si>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</si>
  <si>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</si>
  <si>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</si>
  <si>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</si>
  <si>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</si>
  <si>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</si>
  <si>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</si>
  <si>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</si>
  <si>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</si>
  <si>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</si>
  <si>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</si>
  <si>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</si>
  <si>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</si>
  <si>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</si>
  <si>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</si>
  <si>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</si>
  <si>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</si>
  <si>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</si>
  <si>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</si>
  <si>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</si>
  <si>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</si>
  <si>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</si>
  <si>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</si>
  <si>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</si>
  <si>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</si>
  <si>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</si>
  <si>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</si>
  <si>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</si>
  <si>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</si>
  <si>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</si>
  <si>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</si>
  <si>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</si>
  <si>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</si>
  <si>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</si>
  <si>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</si>
  <si>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</si>
  <si>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</si>
  <si>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</si>
  <si>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</si>
  <si>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</si>
  <si>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</si>
  <si>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</si>
  <si>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</si>
  <si>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</si>
  <si>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</si>
  <si>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</si>
  <si>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</si>
  <si>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</si>
  <si>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</si>
  <si>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</si>
  <si>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</si>
  <si>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</si>
  <si>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</si>
  <si>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</si>
  <si>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</si>
  <si>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</si>
  <si>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</si>
  <si>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</si>
  <si>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</si>
  <si>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</si>
  <si>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</si>
  <si>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</si>
  <si>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</si>
  <si>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</si>
  <si>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</si>
  <si>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</si>
  <si>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</si>
  <si>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</si>
  <si>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</si>
  <si>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</si>
  <si>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</si>
  <si>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</si>
  <si>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</si>
  <si>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</si>
  <si>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</si>
  <si>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</si>
  <si>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</si>
  <si>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</si>
  <si>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</si>
  <si>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</si>
  <si>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</si>
  <si>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</si>
  <si>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</si>
  <si>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</si>
  <si>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</si>
  <si>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</si>
  <si>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</si>
  <si>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</si>
  <si>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</si>
  <si>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</si>
  <si>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</si>
  <si>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</si>
  <si>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</si>
  <si>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</si>
  <si>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</si>
  <si>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</si>
  <si>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</si>
  <si>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</si>
  <si>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</si>
  <si>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</si>
  <si>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</si>
  <si>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</si>
  <si>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</si>
  <si>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</si>
  <si>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</si>
  <si>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</si>
  <si>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</si>
  <si>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</si>
  <si>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</si>
  <si>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</si>
  <si>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</si>
  <si>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</si>
  <si>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</si>
  <si>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</si>
  <si>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</si>
  <si>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</si>
  <si>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</si>
  <si>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</si>
  <si>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</si>
  <si>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</si>
  <si>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</si>
  <si>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</si>
  <si>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</si>
  <si>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</si>
  <si>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</si>
  <si>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</si>
  <si>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</si>
  <si>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</si>
  <si>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</si>
  <si>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</si>
  <si>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</si>
  <si>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</si>
  <si>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</si>
  <si>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</si>
  <si>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</si>
  <si>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</si>
  <si>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</si>
  <si>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</si>
  <si>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</si>
  <si>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</si>
  <si>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</si>
  <si>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</si>
  <si>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</si>
  <si>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</si>
  <si>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</si>
  <si>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</si>
  <si>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 xml:space="preserve"> 2018-1-0652-P01DYGJ1</t>
    <phoneticPr fontId="6" type="noConversion"/>
  </si>
  <si>
    <t>王鹏</t>
  </si>
  <si>
    <t>崔锴</t>
  </si>
  <si>
    <t>中诚信托</t>
    <phoneticPr fontId="6" type="noConversion"/>
  </si>
  <si>
    <t>抵押</t>
  </si>
  <si>
    <t>房地产抵押价值</t>
  </si>
  <si>
    <t>其他：</t>
  </si>
  <si>
    <t>浙江省</t>
    <phoneticPr fontId="6" type="noConversion"/>
  </si>
  <si>
    <t>企业</t>
  </si>
  <si>
    <t>出让</t>
  </si>
  <si>
    <r>
      <rPr>
        <sz val="12"/>
        <color theme="9" tint="-0.249977111117893"/>
        <rFont val="宋体"/>
        <family val="3"/>
        <charset val="134"/>
      </rPr>
      <t>住宅</t>
    </r>
    <r>
      <rPr>
        <sz val="12"/>
        <color theme="9" tint="-0.249977111117893"/>
        <rFont val="Arial"/>
        <family val="2"/>
      </rPr>
      <t>69.19</t>
    </r>
    <r>
      <rPr>
        <sz val="12"/>
        <color theme="9" tint="-0.249977111117893"/>
        <rFont val="宋体"/>
        <family val="3"/>
        <charset val="134"/>
      </rPr>
      <t>、商业</t>
    </r>
    <r>
      <rPr>
        <sz val="12"/>
        <color theme="9" tint="-0.249977111117893"/>
        <rFont val="Arial"/>
        <family val="2"/>
      </rPr>
      <t>39.17</t>
    </r>
    <r>
      <rPr>
        <sz val="12"/>
        <color theme="9" tint="-0.249977111117893"/>
        <rFont val="宋体"/>
        <family val="3"/>
        <charset val="134"/>
      </rPr>
      <t>、车库及储藏室</t>
    </r>
    <r>
      <rPr>
        <sz val="12"/>
        <color theme="9" tint="-0.249977111117893"/>
        <rFont val="Arial"/>
        <family val="2"/>
      </rPr>
      <t>49.18</t>
    </r>
    <phoneticPr fontId="6" type="noConversion"/>
  </si>
  <si>
    <t>住宅</t>
  </si>
  <si>
    <t>住宅、商业、仓储、地下车库</t>
    <phoneticPr fontId="6" type="noConversion"/>
  </si>
  <si>
    <r>
      <rPr>
        <sz val="12"/>
        <color theme="9" tint="-0.249977111117893"/>
        <rFont val="宋体"/>
        <family val="3"/>
        <charset val="134"/>
      </rPr>
      <t>《房屋建筑面积测绘成果书》</t>
    </r>
    <r>
      <rPr>
        <sz val="12"/>
        <color theme="9" tint="-0.249977111117893"/>
        <rFont val="Arial"/>
        <family val="2"/>
      </rPr>
      <t>[</t>
    </r>
    <r>
      <rPr>
        <sz val="12"/>
        <color theme="9" tint="-0.249977111117893"/>
        <rFont val="宋体"/>
        <family val="3"/>
        <charset val="134"/>
      </rPr>
      <t>编号：（预）</t>
    </r>
    <r>
      <rPr>
        <sz val="12"/>
        <color theme="9" tint="-0.249977111117893"/>
        <rFont val="Arial"/>
        <family val="2"/>
      </rPr>
      <t>2017-0126]</t>
    </r>
    <phoneticPr fontId="6" type="noConversion"/>
  </si>
  <si>
    <t>是</t>
  </si>
  <si>
    <t>原件</t>
  </si>
  <si>
    <t>《湖州市不动产权登记信息查询证明》</t>
    <phoneticPr fontId="87" type="noConversion"/>
  </si>
  <si>
    <t>复印件</t>
  </si>
  <si>
    <t>大连银行股份有限公司上海分行</t>
    <phoneticPr fontId="6" type="noConversion"/>
  </si>
  <si>
    <t>土地</t>
    <phoneticPr fontId="6" type="noConversion"/>
  </si>
  <si>
    <t>居住项目</t>
  </si>
  <si>
    <t>低密度住宅</t>
  </si>
  <si>
    <t>否</t>
  </si>
  <si>
    <t>在建</t>
  </si>
  <si>
    <t>正常</t>
    <phoneticPr fontId="6" type="noConversion"/>
  </si>
  <si>
    <t>通路</t>
  </si>
  <si>
    <t>通电</t>
  </si>
  <si>
    <t>通上水</t>
  </si>
  <si>
    <t>土地面积</t>
    <phoneticPr fontId="143" type="noConversion"/>
  </si>
  <si>
    <t>建筑面积</t>
    <phoneticPr fontId="143" type="noConversion"/>
  </si>
  <si>
    <t>车库</t>
  </si>
  <si>
    <t>总的</t>
    <phoneticPr fontId="143" type="noConversion"/>
  </si>
  <si>
    <t>地上</t>
  </si>
  <si>
    <t>普通住宅</t>
  </si>
  <si>
    <t>洋房</t>
  </si>
  <si>
    <t>联排</t>
  </si>
  <si>
    <t>底商</t>
  </si>
  <si>
    <t>地下</t>
  </si>
  <si>
    <t>仓储</t>
  </si>
  <si>
    <t>戊类库房</t>
  </si>
  <si>
    <t>排屋</t>
  </si>
  <si>
    <t>排屋</t>
    <phoneticPr fontId="7" type="noConversion"/>
  </si>
  <si>
    <t>洋房</t>
    <phoneticPr fontId="7" type="noConversion"/>
  </si>
  <si>
    <t>高层</t>
  </si>
  <si>
    <t>高层</t>
    <phoneticPr fontId="7" type="noConversion"/>
  </si>
  <si>
    <t>底商</t>
    <phoneticPr fontId="7" type="noConversion"/>
  </si>
  <si>
    <t>仓储</t>
    <phoneticPr fontId="7" type="noConversion"/>
  </si>
  <si>
    <t>地下车库</t>
    <phoneticPr fontId="7" type="noConversion"/>
  </si>
  <si>
    <t>成本法</t>
  </si>
  <si>
    <t>假设开发法</t>
  </si>
  <si>
    <t>已部分缴纳</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</si>
  <si>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</si>
  <si>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</si>
  <si>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</si>
  <si>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</si>
  <si>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</si>
  <si>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</si>
  <si>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</si>
  <si>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</si>
  <si>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</si>
  <si>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</si>
  <si>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</si>
  <si>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</si>
  <si>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</si>
  <si>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</si>
  <si>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</si>
  <si>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</si>
  <si>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</si>
  <si>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</si>
  <si>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</si>
  <si>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</si>
  <si>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</si>
  <si>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</si>
  <si>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</si>
  <si>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</si>
  <si>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</si>
  <si>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</si>
  <si>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</si>
  <si>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</si>
  <si>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</si>
  <si>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</si>
  <si>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</si>
  <si>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</si>
  <si>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</si>
  <si>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</si>
  <si>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</si>
  <si>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</si>
  <si>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</si>
  <si>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</si>
  <si>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</si>
  <si>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</si>
  <si>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</si>
  <si>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</si>
  <si>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</si>
  <si>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</si>
  <si>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</si>
  <si>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</si>
  <si>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地面价</t>
    <phoneticPr fontId="3" type="noConversion"/>
  </si>
  <si>
    <t>位于仁皇山分区,基地南临青太路,北临金田路,东侧为太湖路,西侧为规划道路</t>
  </si>
  <si>
    <t>湖州市</t>
  </si>
  <si>
    <t>住宅用地</t>
  </si>
  <si>
    <t>吴兴区</t>
  </si>
  <si>
    <t>拍卖</t>
  </si>
  <si>
    <t>2018-69号</t>
  </si>
  <si>
    <t>中低价位、中小套型普通商品住房用地</t>
  </si>
  <si>
    <t>≥3且≤3.5</t>
  </si>
  <si>
    <t>未开工</t>
  </si>
  <si>
    <t>2018-07-11</t>
  </si>
  <si>
    <t>2018-08-01</t>
  </si>
  <si>
    <t>湖土资告字(2018)43号</t>
  </si>
  <si>
    <t>已成交</t>
  </si>
  <si>
    <t>新城控股集团房地产开发有限公司</t>
  </si>
  <si>
    <t>70年</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</si>
  <si>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</si>
  <si>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</si>
  <si>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</si>
  <si>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</si>
  <si>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</si>
  <si>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</si>
  <si>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</si>
  <si>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</si>
  <si>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</si>
  <si>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</si>
  <si>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</si>
  <si>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</si>
  <si>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</si>
  <si>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</si>
  <si>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</si>
  <si>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</si>
  <si>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</si>
  <si>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</si>
  <si>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</si>
  <si>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</si>
  <si>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</si>
  <si>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≥1.6且≤2</t>
  </si>
  <si>
    <t>2018-05-10</t>
  </si>
  <si>
    <t>2018-06-05</t>
  </si>
  <si>
    <t>湖土资告字(2018)22号</t>
  </si>
  <si>
    <t>湖州碧新房地产开发有限公司</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</si>
  <si>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</si>
  <si>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</si>
  <si>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</si>
  <si>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</si>
  <si>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</si>
  <si>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</si>
  <si>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</si>
  <si>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≥1.5且≤1.8</t>
  </si>
  <si>
    <t>2018-05-31</t>
  </si>
  <si>
    <t>湖土资告字(2018)16号-1</t>
  </si>
  <si>
    <t>位于仁皇山分区仁北单元南部,垄山东北侧,青太路南侧,安吉路西侧。</t>
  </si>
  <si>
    <t>2018-34号</t>
  </si>
  <si>
    <t>≥1.4且≤1.5</t>
  </si>
  <si>
    <t>湖土资告字(2018)16号-2</t>
  </si>
  <si>
    <t>湖州房总地产开发集团有限公司</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</si>
  <si>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</si>
  <si>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</si>
  <si>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</si>
  <si>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</si>
  <si>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</si>
  <si>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</si>
  <si>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</si>
  <si>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</si>
  <si>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≥1.6且≤1.8</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</si>
  <si>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</si>
  <si>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</si>
  <si>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</si>
  <si>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</si>
  <si>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</si>
  <si>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</si>
  <si>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</si>
  <si>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</si>
  <si>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</si>
  <si>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</si>
  <si>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</si>
  <si>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</si>
  <si>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</si>
  <si>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</si>
  <si>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</si>
  <si>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</si>
  <si>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</si>
  <si>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</si>
  <si>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</si>
  <si>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</si>
  <si>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</si>
  <si>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</si>
  <si>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</si>
  <si>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≤30%</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</si>
  <si>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</si>
  <si>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</si>
  <si>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</si>
  <si>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</si>
  <si>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</si>
  <si>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</si>
  <si>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</si>
  <si>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</si>
  <si>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</si>
  <si>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</si>
  <si>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</si>
  <si>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</si>
  <si>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</si>
  <si>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</si>
  <si>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</si>
  <si>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</si>
  <si>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</si>
  <si>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</si>
  <si>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</si>
  <si>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</si>
  <si>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</si>
  <si>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</si>
  <si>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</si>
  <si>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</si>
  <si>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</si>
  <si>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</si>
  <si>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</si>
  <si>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</si>
  <si>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</si>
  <si>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</si>
  <si>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</si>
  <si>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</si>
  <si>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</si>
  <si>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</si>
  <si>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</si>
  <si>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</si>
  <si>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</si>
  <si>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</si>
  <si>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</si>
  <si>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</si>
  <si>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</si>
  <si>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</si>
  <si>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</si>
  <si>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</si>
  <si>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</si>
  <si>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</si>
  <si>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</si>
  <si>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</si>
  <si>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</si>
  <si>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</si>
  <si>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</si>
  <si>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</si>
  <si>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</si>
  <si>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</si>
  <si>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</si>
  <si>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</si>
  <si>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</si>
  <si>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</si>
  <si>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</si>
  <si>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</si>
  <si>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</si>
  <si>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</si>
  <si>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</si>
  <si>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</si>
  <si>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</si>
  <si>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</si>
  <si>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</si>
  <si>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</si>
  <si>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</si>
  <si>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</si>
  <si>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</si>
  <si>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</si>
  <si>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</si>
  <si>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</si>
  <si>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</si>
  <si>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</si>
  <si>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</si>
  <si>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</si>
  <si>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</si>
  <si>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</si>
  <si>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</si>
  <si>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</si>
  <si>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</si>
  <si>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</si>
  <si>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</si>
  <si>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</si>
  <si>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</si>
  <si>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</si>
  <si>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</si>
  <si>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</si>
  <si>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</si>
  <si>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</si>
  <si>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</si>
  <si>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</si>
  <si>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</si>
  <si>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</si>
  <si>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</si>
  <si>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</si>
  <si>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</si>
  <si>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</si>
  <si>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</si>
  <si>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</si>
  <si>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</si>
  <si>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</si>
  <si>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</si>
  <si>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</si>
  <si>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</si>
  <si>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</si>
  <si>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</si>
  <si>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</si>
  <si>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</si>
  <si>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</si>
  <si>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</si>
  <si>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</si>
  <si>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</si>
  <si>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</si>
  <si>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</si>
  <si>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外庄单元XN-02-01-14号地块(外庄单元,环漾七路以东、体育路以西、环漾八路以南、二环南路以北)</t>
  </si>
  <si>
    <t>湖开土2018-01号</t>
  </si>
  <si>
    <t>2018-01-15</t>
  </si>
  <si>
    <t>湖开土资告字(2018)1号</t>
  </si>
  <si>
    <t>上海惠建投资有限公司</t>
  </si>
  <si>
    <t>位于织里镇云村村,东临浒金港,南临晟舍新街,西临云村安置房</t>
  </si>
  <si>
    <t>2018-4号</t>
  </si>
  <si>
    <t>≥1.4且≤1.6</t>
  </si>
  <si>
    <t>2018-02-07</t>
  </si>
  <si>
    <t>湖土资告字(2018)3号-2</t>
  </si>
  <si>
    <t>绿色鸿业投资(北京)有限公司</t>
  </si>
  <si>
    <t>位于织里镇秧宅村,东临栋梁路,北临湖织大道,南临南横塘</t>
  </si>
  <si>
    <t>2018-3号</t>
  </si>
  <si>
    <t>≤70</t>
  </si>
  <si>
    <t>湖土资告字(2018)3号-1</t>
  </si>
  <si>
    <t>嘉兴市骏大房地产开发有限公司</t>
  </si>
  <si>
    <t>位于织里镇姚家田片区大河村,地块西临洋西路、北临念五湾、东临栋梁路、南临吴兴大道</t>
  </si>
  <si>
    <t>2018-5号</t>
  </si>
  <si>
    <t>湖土资告字(2018)3号-3</t>
  </si>
  <si>
    <t>中昂地产(集团)有限公司</t>
  </si>
  <si>
    <t>地块位于小梅山南麓,背靠山坡,远眺太湖,东临滨湖大道,北为万隆花苑小区,南为古木博物馆。</t>
  </si>
  <si>
    <t>2017-101号</t>
  </si>
  <si>
    <t>≤8</t>
  </si>
  <si>
    <t>2017-12-30</t>
  </si>
  <si>
    <t>2018-01-23</t>
  </si>
  <si>
    <t>湖土资告字(2017)31号</t>
  </si>
  <si>
    <t>湖州市吴兴区锦博置业有限公司</t>
  </si>
  <si>
    <t>地块位于市北分区后庄单元,南临井安路,东侧、北侧为后庄港,西侧为规划潜庄路。</t>
  </si>
  <si>
    <t>2017-94号</t>
  </si>
  <si>
    <t>开工中</t>
  </si>
  <si>
    <t>2017-12-05</t>
  </si>
  <si>
    <t>2017-12-28</t>
  </si>
  <si>
    <t>湖土资告字(2017)28号-1</t>
  </si>
  <si>
    <t>地块位于湖东分区南片,北靠湖东路,东临规划道路,西侧为大升路,南侧为规划河流。</t>
  </si>
  <si>
    <t>2017-92号</t>
  </si>
  <si>
    <t>湖土资告字(2017)27号-2</t>
  </si>
  <si>
    <t>湖州赞成房地产开发有限公司</t>
  </si>
  <si>
    <t>地块位于市北分区,新塘港东侧,南临井安路,东侧为规划市北小学,北临规划道路。</t>
  </si>
  <si>
    <t>2017-97号</t>
  </si>
  <si>
    <t>湖土资告字(2017)28号-4</t>
  </si>
  <si>
    <t>地块位于尹家圩单元,东侧为规划港西路,南临二环南路,西临三环东路,北侧为规划紫金北路。</t>
  </si>
  <si>
    <t>2017-91号</t>
  </si>
  <si>
    <t>湖土资告字(2017)27号-1</t>
  </si>
  <si>
    <t>地块位于市北分区,东侧为内环东路,南临规划道路,北临三环北路。</t>
  </si>
  <si>
    <t>2017-96号</t>
  </si>
  <si>
    <t>≥1.8且≤2.2</t>
  </si>
  <si>
    <t>湖土资告字(2017)28号-3</t>
  </si>
  <si>
    <t>地块位于湖东分区南片,北靠湖东路,西临规划道路,东侧为蜀山路,南侧为规划河流。</t>
  </si>
  <si>
    <t>2017-93号</t>
  </si>
  <si>
    <t>≥1.1且≤1.5</t>
  </si>
  <si>
    <t>≤24</t>
  </si>
  <si>
    <t>湖土资告字(2017)27号-3</t>
  </si>
  <si>
    <t>地块位于窑湾单元中部,南临三环北路,北临青太路。</t>
  </si>
  <si>
    <t>2017-95号</t>
  </si>
  <si>
    <t>湖土资告字(2017)28号-2</t>
  </si>
  <si>
    <t>西凤漾单元XSS-03-02-14号地块(位于西凤漾单元,栖贤路以南、漾西路以东、红丰路以北、沿山路以西)</t>
  </si>
  <si>
    <t>湖开土2017-14号</t>
  </si>
  <si>
    <t>≥1.5且≤1.7</t>
  </si>
  <si>
    <t>2017-11-29</t>
  </si>
  <si>
    <t>2017-12-22</t>
  </si>
  <si>
    <t>湖开土资告字(2017)09号</t>
  </si>
  <si>
    <t>湖州海王康山置业发展有限公司</t>
  </si>
  <si>
    <t>湖州太湖度假区弁山南单元TH-04-01-08C地块(东侧为同心路,东北侧为高尔夫路,南侧、西侧为青山路)</t>
  </si>
  <si>
    <t>挂牌</t>
  </si>
  <si>
    <t>2017-86</t>
  </si>
  <si>
    <t>≤11</t>
  </si>
  <si>
    <t>2017-10-30</t>
  </si>
  <si>
    <t>2017-11-17</t>
  </si>
  <si>
    <t>2017-11-28</t>
  </si>
  <si>
    <t>湖土资告字[2017]24号</t>
  </si>
  <si>
    <t>湖州绿美房地产开发有限公司</t>
  </si>
  <si>
    <t>太湖度假区滨湖北单元TH-01-02-03F地块(太湖度假区滨湖北单元,地块西侧为震泽路,南侧为滨湖大道,东侧和北侧为河流。)</t>
  </si>
  <si>
    <t>2017-89</t>
  </si>
  <si>
    <t>2017-10-29</t>
  </si>
  <si>
    <t>2017-11-21</t>
  </si>
  <si>
    <t>湖土资告字[2017]26号-1</t>
  </si>
  <si>
    <t>湖州朗惠置业有限公司</t>
  </si>
  <si>
    <t>乌山单元02-02E-2号地块(地块位于东部新城,南临纬二路,以南区域为乌山公园,地块东侧为1号规划道路,西侧为3号规划道路,北侧为2号规划道路。)</t>
  </si>
  <si>
    <t>2017-84</t>
  </si>
  <si>
    <t>2017-10-17</t>
  </si>
  <si>
    <t>2017-11-10</t>
  </si>
  <si>
    <t>湖土资告字[2017]23号-1</t>
  </si>
  <si>
    <t>湖州锦悦置业有限公司</t>
  </si>
  <si>
    <t>吴兴区</t>
    <phoneticPr fontId="3" type="noConversion"/>
  </si>
  <si>
    <t>居住</t>
    <phoneticPr fontId="31" type="noConversion"/>
  </si>
  <si>
    <t>70</t>
    <phoneticPr fontId="31" type="noConversion"/>
  </si>
  <si>
    <t>较好</t>
  </si>
  <si>
    <t>一般</t>
  </si>
  <si>
    <t>六通</t>
  </si>
  <si>
    <t>七通</t>
  </si>
  <si>
    <t>五通</t>
  </si>
  <si>
    <t>四通</t>
  </si>
  <si>
    <t>三通</t>
  </si>
  <si>
    <t>好</t>
  </si>
  <si>
    <t>较差</t>
  </si>
  <si>
    <t>差</t>
  </si>
  <si>
    <t>适宜</t>
    <phoneticPr fontId="3" type="noConversion"/>
  </si>
  <si>
    <t>较适宜</t>
    <phoneticPr fontId="3" type="noConversion"/>
  </si>
  <si>
    <t>较不适宜</t>
    <phoneticPr fontId="3" type="noConversion"/>
  </si>
  <si>
    <t>不适宜</t>
    <phoneticPr fontId="3" type="noConversion"/>
  </si>
  <si>
    <t>规则</t>
    <phoneticPr fontId="3" type="noConversion"/>
  </si>
  <si>
    <t>较规则</t>
    <phoneticPr fontId="3" type="noConversion"/>
  </si>
  <si>
    <t>较不规则</t>
    <phoneticPr fontId="3" type="noConversion"/>
  </si>
  <si>
    <t>不规则</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</si>
  <si>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</si>
  <si>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</si>
  <si>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</si>
  <si>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</si>
  <si>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</si>
  <si>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较规则</t>
  </si>
  <si>
    <t>较适宜</t>
  </si>
  <si>
    <t>地上建筑面积</t>
    <phoneticPr fontId="3" type="noConversion"/>
  </si>
  <si>
    <t>优优学府</t>
    <phoneticPr fontId="3" type="noConversion"/>
  </si>
  <si>
    <t>住宅</t>
    <phoneticPr fontId="25" type="noConversion"/>
  </si>
  <si>
    <t>60-70（含）</t>
  </si>
  <si>
    <t>富力湖州壹号</t>
    <phoneticPr fontId="3" type="noConversion"/>
  </si>
  <si>
    <t>排屋</t>
    <phoneticPr fontId="25" type="noConversion"/>
  </si>
  <si>
    <t>洋房</t>
    <phoneticPr fontId="25" type="noConversion"/>
  </si>
  <si>
    <t>高层</t>
    <phoneticPr fontId="25" type="noConversion"/>
  </si>
  <si>
    <t>钢混</t>
  </si>
  <si>
    <t>钢混</t>
    <phoneticPr fontId="25" type="noConversion"/>
  </si>
  <si>
    <t>砖混</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</si>
  <si>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</si>
  <si>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</si>
  <si>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</si>
  <si>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</si>
  <si>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</si>
  <si>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</si>
  <si>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</si>
  <si>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</si>
  <si>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</si>
  <si>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</si>
  <si>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</si>
  <si>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平层</t>
  </si>
  <si>
    <t>平层</t>
    <phoneticPr fontId="25" type="noConversion"/>
  </si>
  <si>
    <t>六通</t>
    <phoneticPr fontId="25" type="noConversion"/>
  </si>
  <si>
    <t>五通</t>
    <phoneticPr fontId="25" type="noConversion"/>
  </si>
  <si>
    <t>四通</t>
    <phoneticPr fontId="25" type="noConversion"/>
  </si>
  <si>
    <t>三通</t>
    <phoneticPr fontId="25" type="noConversion"/>
  </si>
  <si>
    <t>融创西山宸院</t>
    <phoneticPr fontId="3" type="noConversion"/>
  </si>
  <si>
    <t>上实·天澜湾</t>
    <phoneticPr fontId="3" type="noConversion"/>
  </si>
  <si>
    <t>恒大悦珑湾</t>
    <phoneticPr fontId="3" type="noConversion"/>
  </si>
  <si>
    <t>赞成·海月</t>
    <phoneticPr fontId="3" type="noConversion"/>
  </si>
  <si>
    <t>售价</t>
  </si>
  <si>
    <t>车库</t>
    <phoneticPr fontId="32" type="noConversion"/>
  </si>
  <si>
    <t>40-50（含）</t>
  </si>
  <si>
    <t>地下</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</si>
  <si>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</si>
  <si>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</si>
  <si>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</si>
  <si>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</si>
  <si>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</si>
  <si>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平面车库</t>
  </si>
  <si>
    <t>平面车库</t>
    <phoneticPr fontId="32" type="noConversion"/>
  </si>
  <si>
    <t>是</t>
    <phoneticPr fontId="32" type="noConversion"/>
  </si>
  <si>
    <t>否</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</si>
  <si>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</si>
  <si>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</si>
  <si>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</si>
  <si>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</si>
  <si>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</si>
  <si>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收益法-仓储</t>
  </si>
  <si>
    <t>收益法-仓储</t>
    <phoneticPr fontId="16" type="noConversion"/>
  </si>
  <si>
    <t>收益法-商业</t>
  </si>
  <si>
    <t>收益法-商业</t>
    <phoneticPr fontId="16" type="noConversion"/>
  </si>
  <si>
    <t>非生产用房</t>
  </si>
  <si>
    <t>在建（套用方法）</t>
  </si>
  <si>
    <t>押一</t>
  </si>
  <si>
    <t>按租金收入计税</t>
  </si>
  <si>
    <t>已包含在土地取得成本中</t>
  </si>
  <si>
    <t>豪华装修</t>
  </si>
  <si>
    <t>豪华装修</t>
    <phoneticPr fontId="25" type="noConversion"/>
  </si>
  <si>
    <t>楼号</t>
    <phoneticPr fontId="143" type="noConversion"/>
  </si>
  <si>
    <t>总楼层</t>
    <phoneticPr fontId="143" type="noConversion"/>
  </si>
  <si>
    <t>已完工楼层</t>
    <phoneticPr fontId="143" type="noConversion"/>
  </si>
  <si>
    <t>工程进度</t>
    <phoneticPr fontId="143" type="noConversion"/>
  </si>
  <si>
    <t>1号</t>
    <phoneticPr fontId="143" type="noConversion"/>
  </si>
  <si>
    <t>2号</t>
  </si>
  <si>
    <t>3号</t>
  </si>
  <si>
    <t>4号</t>
  </si>
  <si>
    <t>5号</t>
  </si>
  <si>
    <t>6号</t>
  </si>
  <si>
    <t>7号</t>
  </si>
  <si>
    <t>8号</t>
  </si>
  <si>
    <t>9号</t>
  </si>
  <si>
    <t>10号</t>
  </si>
  <si>
    <t>11号</t>
  </si>
  <si>
    <t>12号</t>
  </si>
  <si>
    <t>13号</t>
  </si>
  <si>
    <t>14号</t>
  </si>
  <si>
    <t>15号</t>
  </si>
  <si>
    <t>16号</t>
  </si>
  <si>
    <t>17号</t>
  </si>
  <si>
    <t>18号</t>
  </si>
  <si>
    <t>19号</t>
  </si>
  <si>
    <t>20号</t>
  </si>
  <si>
    <t>建筑类型</t>
    <phoneticPr fontId="143" type="noConversion"/>
  </si>
  <si>
    <t>排屋</t>
    <phoneticPr fontId="143" type="noConversion"/>
  </si>
  <si>
    <t>结构封顶，正在二次结构施工</t>
    <phoneticPr fontId="143" type="noConversion"/>
  </si>
  <si>
    <t>结构封顶</t>
    <phoneticPr fontId="143" type="noConversion"/>
  </si>
  <si>
    <t>洋房</t>
    <phoneticPr fontId="143" type="noConversion"/>
  </si>
  <si>
    <t>4层顶板浇筑</t>
    <phoneticPr fontId="143" type="noConversion"/>
  </si>
  <si>
    <t>高层</t>
    <phoneticPr fontId="143" type="noConversion"/>
  </si>
  <si>
    <t>优优学府项目2018年9月13日工程施工进度</t>
    <phoneticPr fontId="143" type="noConversion"/>
  </si>
  <si>
    <t>7层顶板浇筑</t>
    <phoneticPr fontId="143" type="noConversion"/>
  </si>
  <si>
    <t>19层顶板浇筑</t>
    <phoneticPr fontId="143" type="noConversion"/>
  </si>
  <si>
    <r>
      <rPr>
        <sz val="12"/>
        <color theme="9" tint="-0.249977111117893"/>
        <rFont val="宋体"/>
        <family val="3"/>
        <charset val="134"/>
      </rPr>
      <t>湖州市吴兴区乌山单元</t>
    </r>
    <r>
      <rPr>
        <sz val="12"/>
        <color theme="9" tint="-0.249977111117893"/>
        <rFont val="Arial"/>
        <family val="2"/>
      </rPr>
      <t>02-06D</t>
    </r>
    <r>
      <rPr>
        <sz val="12"/>
        <color theme="9" tint="-0.249977111117893"/>
        <rFont val="宋体"/>
        <family val="3"/>
        <charset val="134"/>
      </rPr>
      <t>号地块</t>
    </r>
    <phoneticPr fontId="6" type="noConversion"/>
  </si>
  <si>
    <t>湖州崇源房地产开发有限公司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</si>
  <si>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2017</t>
    </r>
    <r>
      <rPr>
        <sz val="12"/>
        <color theme="9" tint="-0.249977111117893"/>
        <rFont val="宋体"/>
        <family val="3"/>
        <charset val="134"/>
      </rPr>
      <t>）湖州市不动产权第</t>
    </r>
    <r>
      <rPr>
        <sz val="12"/>
        <color theme="9" tint="-0.249977111117893"/>
        <rFont val="Arial"/>
        <family val="2"/>
      </rPr>
      <t>0099760</t>
    </r>
    <r>
      <rPr>
        <sz val="12"/>
        <color theme="9" tint="-0.249977111117893"/>
        <rFont val="宋体"/>
        <family val="3"/>
        <charset val="134"/>
      </rPr>
      <t>号</t>
    </r>
    <r>
      <rPr>
        <sz val="12"/>
        <color theme="9" tint="-0.249977111117893"/>
        <rFont val="Arial"/>
        <family val="2"/>
      </rPr>
      <t>]</t>
    </r>
    <phoneticPr fontId="6" type="noConversion"/>
  </si>
  <si>
    <r>
      <rPr>
        <sz val="10"/>
        <color theme="1"/>
        <rFont val="华文细黑"/>
        <family val="3"/>
        <charset val="134"/>
      </rPr>
      <t>楼号</t>
    </r>
    <phoneticPr fontId="255" type="noConversion"/>
  </si>
  <si>
    <r>
      <rPr>
        <sz val="10"/>
        <color theme="1"/>
        <rFont val="华文细黑"/>
        <family val="3"/>
        <charset val="134"/>
      </rPr>
      <t>楼层</t>
    </r>
  </si>
  <si>
    <r>
      <rPr>
        <sz val="10"/>
        <color theme="1"/>
        <rFont val="华文细黑"/>
        <family val="3"/>
        <charset val="134"/>
      </rPr>
      <t>房号</t>
    </r>
    <phoneticPr fontId="255" type="noConversion"/>
  </si>
  <si>
    <r>
      <rPr>
        <sz val="10"/>
        <color theme="1"/>
        <rFont val="华文细黑"/>
        <family val="3"/>
        <charset val="134"/>
      </rPr>
      <t>建筑面积</t>
    </r>
    <phoneticPr fontId="255" type="noConversion"/>
  </si>
  <si>
    <r>
      <rPr>
        <sz val="10"/>
        <color theme="1"/>
        <rFont val="华文细黑"/>
        <family val="3"/>
        <charset val="134"/>
      </rPr>
      <t>用途</t>
    </r>
  </si>
  <si>
    <r>
      <rPr>
        <sz val="10"/>
        <color theme="1"/>
        <rFont val="华文细黑"/>
        <family val="3"/>
        <charset val="134"/>
      </rPr>
      <t>类型</t>
    </r>
    <phoneticPr fontId="255" type="noConversion"/>
  </si>
  <si>
    <r>
      <t>1</t>
    </r>
    <r>
      <rPr>
        <sz val="10"/>
        <color theme="1"/>
        <rFont val="华文细黑"/>
        <family val="3"/>
        <charset val="134"/>
      </rPr>
      <t>号</t>
    </r>
    <phoneticPr fontId="255" type="noConversion"/>
  </si>
  <si>
    <r>
      <t>A</t>
    </r>
    <r>
      <rPr>
        <sz val="10"/>
        <color theme="1"/>
        <rFont val="华文细黑"/>
        <family val="3"/>
        <charset val="134"/>
      </rPr>
      <t>座储藏</t>
    </r>
    <phoneticPr fontId="255" type="noConversion"/>
  </si>
  <si>
    <r>
      <rPr>
        <sz val="10"/>
        <color theme="1"/>
        <rFont val="华文细黑"/>
        <family val="3"/>
        <charset val="134"/>
      </rPr>
      <t>储藏</t>
    </r>
    <phoneticPr fontId="255" type="noConversion"/>
  </si>
  <si>
    <t>——</t>
    <phoneticPr fontId="255" type="noConversion"/>
  </si>
  <si>
    <r>
      <t>B</t>
    </r>
    <r>
      <rPr>
        <sz val="10"/>
        <color theme="1"/>
        <rFont val="华文细黑"/>
        <family val="3"/>
        <charset val="134"/>
      </rPr>
      <t>座储藏</t>
    </r>
    <phoneticPr fontId="255" type="noConversion"/>
  </si>
  <si>
    <r>
      <t>C</t>
    </r>
    <r>
      <rPr>
        <sz val="10"/>
        <color theme="1"/>
        <rFont val="华文细黑"/>
        <family val="3"/>
        <charset val="134"/>
      </rPr>
      <t>座储藏</t>
    </r>
    <phoneticPr fontId="255" type="noConversion"/>
  </si>
  <si>
    <r>
      <t>D</t>
    </r>
    <r>
      <rPr>
        <sz val="10"/>
        <color theme="1"/>
        <rFont val="华文细黑"/>
        <family val="3"/>
        <charset val="134"/>
      </rPr>
      <t>座储藏</t>
    </r>
    <phoneticPr fontId="255" type="noConversion"/>
  </si>
  <si>
    <r>
      <t>E</t>
    </r>
    <r>
      <rPr>
        <sz val="10"/>
        <color theme="1"/>
        <rFont val="华文细黑"/>
        <family val="3"/>
        <charset val="134"/>
      </rPr>
      <t>座储藏</t>
    </r>
    <phoneticPr fontId="255" type="noConversion"/>
  </si>
  <si>
    <r>
      <t>F</t>
    </r>
    <r>
      <rPr>
        <sz val="10"/>
        <color theme="1"/>
        <rFont val="华文细黑"/>
        <family val="3"/>
        <charset val="134"/>
      </rPr>
      <t>座储藏</t>
    </r>
    <phoneticPr fontId="255" type="noConversion"/>
  </si>
  <si>
    <r>
      <t>A</t>
    </r>
    <r>
      <rPr>
        <sz val="10"/>
        <color theme="1"/>
        <rFont val="华文细黑"/>
        <family val="3"/>
        <charset val="134"/>
      </rPr>
      <t>座</t>
    </r>
    <phoneticPr fontId="255" type="noConversion"/>
  </si>
  <si>
    <r>
      <rPr>
        <sz val="10"/>
        <color theme="1"/>
        <rFont val="华文细黑"/>
        <family val="3"/>
        <charset val="134"/>
      </rPr>
      <t>住宅</t>
    </r>
    <phoneticPr fontId="255" type="noConversion"/>
  </si>
  <si>
    <r>
      <t>B</t>
    </r>
    <r>
      <rPr>
        <sz val="10"/>
        <color theme="1"/>
        <rFont val="华文细黑"/>
        <family val="3"/>
        <charset val="134"/>
      </rPr>
      <t>座</t>
    </r>
    <phoneticPr fontId="255" type="noConversion"/>
  </si>
  <si>
    <r>
      <t>C</t>
    </r>
    <r>
      <rPr>
        <sz val="10"/>
        <color theme="1"/>
        <rFont val="华文细黑"/>
        <family val="3"/>
        <charset val="134"/>
      </rPr>
      <t>座</t>
    </r>
    <phoneticPr fontId="255" type="noConversion"/>
  </si>
  <si>
    <r>
      <t>D</t>
    </r>
    <r>
      <rPr>
        <sz val="10"/>
        <color theme="1"/>
        <rFont val="华文细黑"/>
        <family val="3"/>
        <charset val="134"/>
      </rPr>
      <t>座</t>
    </r>
    <phoneticPr fontId="255" type="noConversion"/>
  </si>
  <si>
    <r>
      <t>E</t>
    </r>
    <r>
      <rPr>
        <sz val="10"/>
        <color theme="1"/>
        <rFont val="华文细黑"/>
        <family val="3"/>
        <charset val="134"/>
      </rPr>
      <t>座</t>
    </r>
    <phoneticPr fontId="255" type="noConversion"/>
  </si>
  <si>
    <r>
      <t>F</t>
    </r>
    <r>
      <rPr>
        <sz val="10"/>
        <color theme="1"/>
        <rFont val="华文细黑"/>
        <family val="3"/>
        <charset val="134"/>
      </rPr>
      <t>座</t>
    </r>
    <phoneticPr fontId="255" type="noConversion"/>
  </si>
  <si>
    <r>
      <t>A</t>
    </r>
    <r>
      <rPr>
        <sz val="10"/>
        <color theme="1"/>
        <rFont val="华文细黑"/>
        <family val="3"/>
        <charset val="134"/>
      </rPr>
      <t>座二层</t>
    </r>
    <phoneticPr fontId="255" type="noConversion"/>
  </si>
  <si>
    <r>
      <t>B</t>
    </r>
    <r>
      <rPr>
        <sz val="10"/>
        <color theme="1"/>
        <rFont val="华文细黑"/>
        <family val="3"/>
        <charset val="134"/>
      </rPr>
      <t>座二层</t>
    </r>
    <phoneticPr fontId="255" type="noConversion"/>
  </si>
  <si>
    <r>
      <t>C</t>
    </r>
    <r>
      <rPr>
        <sz val="10"/>
        <color theme="1"/>
        <rFont val="华文细黑"/>
        <family val="3"/>
        <charset val="134"/>
      </rPr>
      <t>座二层</t>
    </r>
    <phoneticPr fontId="255" type="noConversion"/>
  </si>
  <si>
    <r>
      <t>D</t>
    </r>
    <r>
      <rPr>
        <sz val="10"/>
        <color theme="1"/>
        <rFont val="华文细黑"/>
        <family val="3"/>
        <charset val="134"/>
      </rPr>
      <t>座二层</t>
    </r>
    <phoneticPr fontId="255" type="noConversion"/>
  </si>
  <si>
    <r>
      <t>E</t>
    </r>
    <r>
      <rPr>
        <sz val="10"/>
        <color theme="1"/>
        <rFont val="华文细黑"/>
        <family val="3"/>
        <charset val="134"/>
      </rPr>
      <t>座二层</t>
    </r>
    <phoneticPr fontId="255" type="noConversion"/>
  </si>
  <si>
    <r>
      <t>F</t>
    </r>
    <r>
      <rPr>
        <sz val="10"/>
        <color theme="1"/>
        <rFont val="华文细黑"/>
        <family val="3"/>
        <charset val="134"/>
      </rPr>
      <t>座二层</t>
    </r>
    <phoneticPr fontId="255" type="noConversion"/>
  </si>
  <si>
    <r>
      <t>A</t>
    </r>
    <r>
      <rPr>
        <sz val="10"/>
        <color theme="1"/>
        <rFont val="华文细黑"/>
        <family val="3"/>
        <charset val="134"/>
      </rPr>
      <t>座三层</t>
    </r>
    <phoneticPr fontId="255" type="noConversion"/>
  </si>
  <si>
    <r>
      <t>B</t>
    </r>
    <r>
      <rPr>
        <sz val="10"/>
        <color theme="1"/>
        <rFont val="华文细黑"/>
        <family val="3"/>
        <charset val="134"/>
      </rPr>
      <t>座三层</t>
    </r>
    <phoneticPr fontId="255" type="noConversion"/>
  </si>
  <si>
    <r>
      <t>C</t>
    </r>
    <r>
      <rPr>
        <sz val="10"/>
        <color theme="1"/>
        <rFont val="华文细黑"/>
        <family val="3"/>
        <charset val="134"/>
      </rPr>
      <t>座三层</t>
    </r>
    <phoneticPr fontId="255" type="noConversion"/>
  </si>
  <si>
    <r>
      <t>D</t>
    </r>
    <r>
      <rPr>
        <sz val="10"/>
        <color theme="1"/>
        <rFont val="华文细黑"/>
        <family val="3"/>
        <charset val="134"/>
      </rPr>
      <t>座三层</t>
    </r>
    <phoneticPr fontId="255" type="noConversion"/>
  </si>
  <si>
    <r>
      <t>E</t>
    </r>
    <r>
      <rPr>
        <sz val="10"/>
        <color theme="1"/>
        <rFont val="华文细黑"/>
        <family val="3"/>
        <charset val="134"/>
      </rPr>
      <t>座三层</t>
    </r>
    <phoneticPr fontId="255" type="noConversion"/>
  </si>
  <si>
    <r>
      <t>F</t>
    </r>
    <r>
      <rPr>
        <sz val="10"/>
        <color theme="1"/>
        <rFont val="华文细黑"/>
        <family val="3"/>
        <charset val="134"/>
      </rPr>
      <t>座三层</t>
    </r>
    <phoneticPr fontId="255" type="noConversion"/>
  </si>
  <si>
    <r>
      <t>2</t>
    </r>
    <r>
      <rPr>
        <sz val="10"/>
        <color theme="1"/>
        <rFont val="华文细黑"/>
        <family val="3"/>
        <charset val="134"/>
      </rPr>
      <t>号</t>
    </r>
    <phoneticPr fontId="255" type="noConversion"/>
  </si>
  <si>
    <r>
      <t>3</t>
    </r>
    <r>
      <rPr>
        <sz val="10"/>
        <color theme="1"/>
        <rFont val="华文细黑"/>
        <family val="3"/>
        <charset val="134"/>
      </rPr>
      <t>号</t>
    </r>
    <phoneticPr fontId="255" type="noConversion"/>
  </si>
  <si>
    <r>
      <t>3-10</t>
    </r>
    <r>
      <rPr>
        <sz val="10"/>
        <color theme="1"/>
        <rFont val="华文细黑"/>
        <family val="3"/>
        <charset val="134"/>
      </rPr>
      <t>号储藏室</t>
    </r>
    <phoneticPr fontId="255" type="noConversion"/>
  </si>
  <si>
    <r>
      <rPr>
        <sz val="10"/>
        <color theme="1"/>
        <rFont val="华文细黑"/>
        <family val="3"/>
        <charset val="134"/>
      </rPr>
      <t>储藏室</t>
    </r>
    <phoneticPr fontId="255" type="noConversion"/>
  </si>
  <si>
    <r>
      <t>3-11</t>
    </r>
    <r>
      <rPr>
        <sz val="10"/>
        <color theme="1"/>
        <rFont val="华文细黑"/>
        <family val="3"/>
        <charset val="134"/>
      </rPr>
      <t>号储藏室</t>
    </r>
    <phoneticPr fontId="255" type="noConversion"/>
  </si>
  <si>
    <r>
      <t>3-12</t>
    </r>
    <r>
      <rPr>
        <sz val="10"/>
        <color theme="1"/>
        <rFont val="华文细黑"/>
        <family val="3"/>
        <charset val="134"/>
      </rPr>
      <t>号储藏室</t>
    </r>
  </si>
  <si>
    <r>
      <t>3-13</t>
    </r>
    <r>
      <rPr>
        <sz val="10"/>
        <color theme="1"/>
        <rFont val="华文细黑"/>
        <family val="3"/>
        <charset val="134"/>
      </rPr>
      <t>号储藏室</t>
    </r>
  </si>
  <si>
    <r>
      <t>3-14</t>
    </r>
    <r>
      <rPr>
        <sz val="10"/>
        <color theme="1"/>
        <rFont val="华文细黑"/>
        <family val="3"/>
        <charset val="134"/>
      </rPr>
      <t>号储藏室</t>
    </r>
  </si>
  <si>
    <r>
      <t>3-15</t>
    </r>
    <r>
      <rPr>
        <sz val="10"/>
        <color theme="1"/>
        <rFont val="华文细黑"/>
        <family val="3"/>
        <charset val="134"/>
      </rPr>
      <t>号储藏室</t>
    </r>
  </si>
  <si>
    <r>
      <t>3-16</t>
    </r>
    <r>
      <rPr>
        <sz val="10"/>
        <color theme="1"/>
        <rFont val="华文细黑"/>
        <family val="3"/>
        <charset val="134"/>
      </rPr>
      <t>号储藏室</t>
    </r>
  </si>
  <si>
    <r>
      <t>3-17</t>
    </r>
    <r>
      <rPr>
        <sz val="10"/>
        <color theme="1"/>
        <rFont val="华文细黑"/>
        <family val="3"/>
        <charset val="134"/>
      </rPr>
      <t>号储藏室</t>
    </r>
  </si>
  <si>
    <r>
      <t>3-18</t>
    </r>
    <r>
      <rPr>
        <sz val="10"/>
        <color theme="1"/>
        <rFont val="华文细黑"/>
        <family val="3"/>
        <charset val="134"/>
      </rPr>
      <t>号储藏室</t>
    </r>
  </si>
  <si>
    <r>
      <t>3-19</t>
    </r>
    <r>
      <rPr>
        <sz val="10"/>
        <color theme="1"/>
        <rFont val="华文细黑"/>
        <family val="3"/>
        <charset val="134"/>
      </rPr>
      <t>号储藏室</t>
    </r>
  </si>
  <si>
    <r>
      <t>3-1</t>
    </r>
    <r>
      <rPr>
        <sz val="10"/>
        <color theme="1"/>
        <rFont val="华文细黑"/>
        <family val="3"/>
        <charset val="134"/>
      </rPr>
      <t>号储藏室</t>
    </r>
    <phoneticPr fontId="255" type="noConversion"/>
  </si>
  <si>
    <r>
      <t>3-2</t>
    </r>
    <r>
      <rPr>
        <sz val="10"/>
        <color theme="1"/>
        <rFont val="华文细黑"/>
        <family val="3"/>
        <charset val="134"/>
      </rPr>
      <t>号储藏室</t>
    </r>
    <phoneticPr fontId="255" type="noConversion"/>
  </si>
  <si>
    <r>
      <t>3-3</t>
    </r>
    <r>
      <rPr>
        <sz val="10"/>
        <color theme="1"/>
        <rFont val="华文细黑"/>
        <family val="3"/>
        <charset val="134"/>
      </rPr>
      <t>号储藏室</t>
    </r>
  </si>
  <si>
    <r>
      <t>3-4</t>
    </r>
    <r>
      <rPr>
        <sz val="10"/>
        <color theme="1"/>
        <rFont val="华文细黑"/>
        <family val="3"/>
        <charset val="134"/>
      </rPr>
      <t>号储藏室</t>
    </r>
  </si>
  <si>
    <r>
      <t>3-5</t>
    </r>
    <r>
      <rPr>
        <sz val="10"/>
        <color theme="1"/>
        <rFont val="华文细黑"/>
        <family val="3"/>
        <charset val="134"/>
      </rPr>
      <t>号储藏室</t>
    </r>
  </si>
  <si>
    <r>
      <t>3-6</t>
    </r>
    <r>
      <rPr>
        <sz val="10"/>
        <color theme="1"/>
        <rFont val="华文细黑"/>
        <family val="3"/>
        <charset val="134"/>
      </rPr>
      <t>号储藏室</t>
    </r>
  </si>
  <si>
    <r>
      <t>3-7</t>
    </r>
    <r>
      <rPr>
        <sz val="10"/>
        <color theme="1"/>
        <rFont val="华文细黑"/>
        <family val="3"/>
        <charset val="134"/>
      </rPr>
      <t>号储藏室</t>
    </r>
  </si>
  <si>
    <r>
      <t>3-8</t>
    </r>
    <r>
      <rPr>
        <sz val="10"/>
        <color theme="1"/>
        <rFont val="华文细黑"/>
        <family val="3"/>
        <charset val="134"/>
      </rPr>
      <t>号储藏室</t>
    </r>
  </si>
  <si>
    <r>
      <t>3-9</t>
    </r>
    <r>
      <rPr>
        <sz val="10"/>
        <color theme="1"/>
        <rFont val="华文细黑"/>
        <family val="3"/>
        <charset val="134"/>
      </rPr>
      <t>号储藏室</t>
    </r>
  </si>
  <si>
    <r>
      <rPr>
        <sz val="10"/>
        <color theme="1"/>
        <rFont val="华文细黑"/>
        <family val="3"/>
        <charset val="134"/>
      </rPr>
      <t>住宅区</t>
    </r>
    <phoneticPr fontId="255" type="noConversion"/>
  </si>
  <si>
    <r>
      <rPr>
        <sz val="10"/>
        <color theme="1"/>
        <rFont val="华文细黑"/>
        <family val="3"/>
        <charset val="134"/>
      </rPr>
      <t>洋房</t>
    </r>
    <phoneticPr fontId="255" type="noConversion"/>
  </si>
  <si>
    <r>
      <t>4</t>
    </r>
    <r>
      <rPr>
        <sz val="10"/>
        <color theme="1"/>
        <rFont val="华文细黑"/>
        <family val="3"/>
        <charset val="134"/>
      </rPr>
      <t>号</t>
    </r>
    <phoneticPr fontId="255" type="noConversion"/>
  </si>
  <si>
    <r>
      <t>4-10</t>
    </r>
    <r>
      <rPr>
        <sz val="10"/>
        <color theme="1"/>
        <rFont val="华文细黑"/>
        <family val="3"/>
        <charset val="134"/>
      </rPr>
      <t>号储藏室</t>
    </r>
    <phoneticPr fontId="255" type="noConversion"/>
  </si>
  <si>
    <r>
      <rPr>
        <sz val="10"/>
        <color theme="1"/>
        <rFont val="华文细黑"/>
        <family val="3"/>
        <charset val="134"/>
      </rPr>
      <t>储藏室</t>
    </r>
  </si>
  <si>
    <t>——</t>
    <phoneticPr fontId="255" type="noConversion"/>
  </si>
  <si>
    <r>
      <t>4-11</t>
    </r>
    <r>
      <rPr>
        <sz val="10"/>
        <color theme="1"/>
        <rFont val="华文细黑"/>
        <family val="3"/>
        <charset val="134"/>
      </rPr>
      <t>号储藏室</t>
    </r>
    <phoneticPr fontId="255" type="noConversion"/>
  </si>
  <si>
    <r>
      <t>4-12</t>
    </r>
    <r>
      <rPr>
        <sz val="10"/>
        <color theme="1"/>
        <rFont val="华文细黑"/>
        <family val="3"/>
        <charset val="134"/>
      </rPr>
      <t>号储藏室</t>
    </r>
  </si>
  <si>
    <r>
      <t>4-13</t>
    </r>
    <r>
      <rPr>
        <sz val="10"/>
        <color theme="1"/>
        <rFont val="华文细黑"/>
        <family val="3"/>
        <charset val="134"/>
      </rPr>
      <t>号储藏室</t>
    </r>
  </si>
  <si>
    <r>
      <t>4-14</t>
    </r>
    <r>
      <rPr>
        <sz val="10"/>
        <color theme="1"/>
        <rFont val="华文细黑"/>
        <family val="3"/>
        <charset val="134"/>
      </rPr>
      <t>号储藏室</t>
    </r>
  </si>
  <si>
    <r>
      <t>4-15</t>
    </r>
    <r>
      <rPr>
        <sz val="10"/>
        <color theme="1"/>
        <rFont val="华文细黑"/>
        <family val="3"/>
        <charset val="134"/>
      </rPr>
      <t>号储藏室</t>
    </r>
  </si>
  <si>
    <r>
      <t>4-16</t>
    </r>
    <r>
      <rPr>
        <sz val="10"/>
        <color theme="1"/>
        <rFont val="华文细黑"/>
        <family val="3"/>
        <charset val="134"/>
      </rPr>
      <t>号储藏室</t>
    </r>
  </si>
  <si>
    <r>
      <t>4-17</t>
    </r>
    <r>
      <rPr>
        <sz val="10"/>
        <color theme="1"/>
        <rFont val="华文细黑"/>
        <family val="3"/>
        <charset val="134"/>
      </rPr>
      <t>号储藏室</t>
    </r>
  </si>
  <si>
    <r>
      <t>4-18</t>
    </r>
    <r>
      <rPr>
        <sz val="10"/>
        <color theme="1"/>
        <rFont val="华文细黑"/>
        <family val="3"/>
        <charset val="134"/>
      </rPr>
      <t>号储藏室</t>
    </r>
  </si>
  <si>
    <r>
      <t>4-1</t>
    </r>
    <r>
      <rPr>
        <sz val="10"/>
        <color theme="1"/>
        <rFont val="华文细黑"/>
        <family val="3"/>
        <charset val="134"/>
      </rPr>
      <t>号储藏室</t>
    </r>
    <phoneticPr fontId="255" type="noConversion"/>
  </si>
  <si>
    <r>
      <t>4-2</t>
    </r>
    <r>
      <rPr>
        <sz val="10"/>
        <color theme="1"/>
        <rFont val="华文细黑"/>
        <family val="3"/>
        <charset val="134"/>
      </rPr>
      <t>号储藏室</t>
    </r>
    <phoneticPr fontId="255" type="noConversion"/>
  </si>
  <si>
    <r>
      <t>4-3</t>
    </r>
    <r>
      <rPr>
        <sz val="10"/>
        <color theme="1"/>
        <rFont val="华文细黑"/>
        <family val="3"/>
        <charset val="134"/>
      </rPr>
      <t>号储藏室</t>
    </r>
  </si>
  <si>
    <r>
      <t>4-4</t>
    </r>
    <r>
      <rPr>
        <sz val="10"/>
        <color theme="1"/>
        <rFont val="华文细黑"/>
        <family val="3"/>
        <charset val="134"/>
      </rPr>
      <t>号储藏室</t>
    </r>
  </si>
  <si>
    <r>
      <t>4-5</t>
    </r>
    <r>
      <rPr>
        <sz val="10"/>
        <color theme="1"/>
        <rFont val="华文细黑"/>
        <family val="3"/>
        <charset val="134"/>
      </rPr>
      <t>号储藏室</t>
    </r>
  </si>
  <si>
    <r>
      <t>4-6</t>
    </r>
    <r>
      <rPr>
        <sz val="10"/>
        <color theme="1"/>
        <rFont val="华文细黑"/>
        <family val="3"/>
        <charset val="134"/>
      </rPr>
      <t>号储藏室</t>
    </r>
  </si>
  <si>
    <r>
      <t>4-7</t>
    </r>
    <r>
      <rPr>
        <sz val="10"/>
        <color theme="1"/>
        <rFont val="华文细黑"/>
        <family val="3"/>
        <charset val="134"/>
      </rPr>
      <t>号储藏室</t>
    </r>
  </si>
  <si>
    <r>
      <t>4-8</t>
    </r>
    <r>
      <rPr>
        <sz val="10"/>
        <color theme="1"/>
        <rFont val="华文细黑"/>
        <family val="3"/>
        <charset val="134"/>
      </rPr>
      <t>号储藏室</t>
    </r>
  </si>
  <si>
    <r>
      <t>4-9</t>
    </r>
    <r>
      <rPr>
        <sz val="10"/>
        <color theme="1"/>
        <rFont val="华文细黑"/>
        <family val="3"/>
        <charset val="134"/>
      </rPr>
      <t>号储藏室</t>
    </r>
  </si>
  <si>
    <r>
      <rPr>
        <sz val="10"/>
        <color theme="1"/>
        <rFont val="华文细黑"/>
        <family val="3"/>
        <charset val="134"/>
      </rPr>
      <t>乌山路</t>
    </r>
    <r>
      <rPr>
        <sz val="10"/>
        <color theme="1"/>
        <rFont val="Arial"/>
        <family val="2"/>
      </rPr>
      <t>138-2</t>
    </r>
    <r>
      <rPr>
        <sz val="10"/>
        <color theme="1"/>
        <rFont val="华文细黑"/>
        <family val="3"/>
        <charset val="134"/>
      </rPr>
      <t>号</t>
    </r>
    <phoneticPr fontId="255" type="noConversion"/>
  </si>
  <si>
    <r>
      <rPr>
        <sz val="10"/>
        <color theme="1"/>
        <rFont val="华文细黑"/>
        <family val="3"/>
        <charset val="134"/>
      </rPr>
      <t>商业区</t>
    </r>
    <phoneticPr fontId="255" type="noConversion"/>
  </si>
  <si>
    <r>
      <rPr>
        <sz val="10"/>
        <color theme="1"/>
        <rFont val="华文细黑"/>
        <family val="3"/>
        <charset val="134"/>
      </rPr>
      <t>乌山路</t>
    </r>
    <r>
      <rPr>
        <sz val="10"/>
        <color theme="1"/>
        <rFont val="Arial"/>
        <family val="2"/>
      </rPr>
      <t>138-3</t>
    </r>
    <r>
      <rPr>
        <sz val="10"/>
        <color theme="1"/>
        <rFont val="华文细黑"/>
        <family val="3"/>
        <charset val="134"/>
      </rPr>
      <t>号</t>
    </r>
  </si>
  <si>
    <r>
      <rPr>
        <sz val="10"/>
        <color theme="1"/>
        <rFont val="华文细黑"/>
        <family val="3"/>
        <charset val="134"/>
      </rPr>
      <t>乌山路</t>
    </r>
    <r>
      <rPr>
        <sz val="10"/>
        <color theme="1"/>
        <rFont val="Arial"/>
        <family val="2"/>
      </rPr>
      <t>138</t>
    </r>
    <r>
      <rPr>
        <sz val="10"/>
        <color theme="1"/>
        <rFont val="华文细黑"/>
        <family val="3"/>
        <charset val="134"/>
      </rPr>
      <t>号、</t>
    </r>
    <r>
      <rPr>
        <sz val="10"/>
        <color theme="1"/>
        <rFont val="Arial"/>
        <family val="2"/>
      </rPr>
      <t>138-1</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</si>
  <si>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140</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</si>
  <si>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142</t>
    </r>
    <r>
      <rPr>
        <sz val="10"/>
        <color theme="1"/>
        <rFont val="华文细黑"/>
        <family val="3"/>
        <charset val="134"/>
      </rPr>
      <t>号</t>
    </r>
  </si>
  <si>
    <r>
      <rPr>
        <sz val="10"/>
        <color theme="1"/>
        <rFont val="华文细黑"/>
        <family val="3"/>
        <charset val="134"/>
      </rPr>
      <t>乌山路</t>
    </r>
    <r>
      <rPr>
        <sz val="10"/>
        <color theme="1"/>
        <rFont val="Arial"/>
        <family val="2"/>
      </rPr>
      <t>144</t>
    </r>
    <r>
      <rPr>
        <sz val="10"/>
        <color theme="1"/>
        <rFont val="华文细黑"/>
        <family val="3"/>
        <charset val="134"/>
      </rPr>
      <t>号</t>
    </r>
  </si>
  <si>
    <r>
      <rPr>
        <sz val="10"/>
        <color theme="1"/>
        <rFont val="华文细黑"/>
        <family val="3"/>
        <charset val="134"/>
      </rPr>
      <t>乌山路</t>
    </r>
    <r>
      <rPr>
        <sz val="10"/>
        <color theme="1"/>
        <rFont val="Arial"/>
        <family val="2"/>
      </rPr>
      <t>146</t>
    </r>
    <r>
      <rPr>
        <sz val="10"/>
        <color theme="1"/>
        <rFont val="华文细黑"/>
        <family val="3"/>
        <charset val="134"/>
      </rPr>
      <t>号</t>
    </r>
  </si>
  <si>
    <r>
      <rPr>
        <sz val="10"/>
        <color theme="1"/>
        <rFont val="华文细黑"/>
        <family val="3"/>
        <charset val="134"/>
      </rPr>
      <t>乌山路</t>
    </r>
    <r>
      <rPr>
        <sz val="10"/>
        <color theme="1"/>
        <rFont val="Arial"/>
        <family val="2"/>
      </rPr>
      <t>148</t>
    </r>
    <r>
      <rPr>
        <sz val="10"/>
        <color theme="1"/>
        <rFont val="华文细黑"/>
        <family val="3"/>
        <charset val="134"/>
      </rPr>
      <t>号</t>
    </r>
  </si>
  <si>
    <r>
      <rPr>
        <sz val="10"/>
        <color theme="1"/>
        <rFont val="华文细黑"/>
        <family val="3"/>
        <charset val="134"/>
      </rPr>
      <t>乌山路</t>
    </r>
    <r>
      <rPr>
        <sz val="10"/>
        <color theme="1"/>
        <rFont val="Arial"/>
        <family val="2"/>
      </rPr>
      <t>150</t>
    </r>
    <r>
      <rPr>
        <sz val="10"/>
        <color theme="1"/>
        <rFont val="华文细黑"/>
        <family val="3"/>
        <charset val="134"/>
      </rPr>
      <t>号</t>
    </r>
  </si>
  <si>
    <r>
      <rPr>
        <sz val="10"/>
        <color theme="1"/>
        <rFont val="华文细黑"/>
        <family val="3"/>
        <charset val="134"/>
      </rPr>
      <t>商业区</t>
    </r>
    <phoneticPr fontId="255" type="noConversion"/>
  </si>
  <si>
    <t>——</t>
    <phoneticPr fontId="255" type="noConversion"/>
  </si>
  <si>
    <r>
      <t>4</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</si>
  <si>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152</t>
    </r>
    <r>
      <rPr>
        <sz val="10"/>
        <color theme="1"/>
        <rFont val="华文细黑"/>
        <family val="3"/>
        <charset val="134"/>
      </rPr>
      <t>号</t>
    </r>
  </si>
  <si>
    <r>
      <rPr>
        <sz val="10"/>
        <color theme="1"/>
        <rFont val="华文细黑"/>
        <family val="3"/>
        <charset val="134"/>
      </rPr>
      <t>乌山路</t>
    </r>
    <r>
      <rPr>
        <sz val="10"/>
        <color theme="1"/>
        <rFont val="Arial"/>
        <family val="2"/>
      </rPr>
      <t>154</t>
    </r>
    <r>
      <rPr>
        <sz val="10"/>
        <color theme="1"/>
        <rFont val="华文细黑"/>
        <family val="3"/>
        <charset val="134"/>
      </rPr>
      <t>号</t>
    </r>
  </si>
  <si>
    <r>
      <rPr>
        <sz val="10"/>
        <color theme="1"/>
        <rFont val="华文细黑"/>
        <family val="3"/>
        <charset val="134"/>
      </rPr>
      <t>住宅区</t>
    </r>
    <phoneticPr fontId="255" type="noConversion"/>
  </si>
  <si>
    <r>
      <rPr>
        <sz val="10"/>
        <color theme="1"/>
        <rFont val="华文细黑"/>
        <family val="3"/>
        <charset val="134"/>
      </rPr>
      <t>洋房</t>
    </r>
    <phoneticPr fontId="255" type="noConversion"/>
  </si>
  <si>
    <r>
      <t>5</t>
    </r>
    <r>
      <rPr>
        <sz val="10"/>
        <color theme="1"/>
        <rFont val="华文细黑"/>
        <family val="3"/>
        <charset val="134"/>
      </rPr>
      <t>号</t>
    </r>
    <phoneticPr fontId="255" type="noConversion"/>
  </si>
  <si>
    <r>
      <t>A</t>
    </r>
    <r>
      <rPr>
        <sz val="10"/>
        <color theme="1"/>
        <rFont val="华文细黑"/>
        <family val="3"/>
        <charset val="134"/>
      </rPr>
      <t>座储藏</t>
    </r>
    <phoneticPr fontId="255" type="noConversion"/>
  </si>
  <si>
    <r>
      <rPr>
        <sz val="10"/>
        <color theme="1"/>
        <rFont val="华文细黑"/>
        <family val="3"/>
        <charset val="134"/>
      </rPr>
      <t>储藏</t>
    </r>
    <phoneticPr fontId="255" type="noConversion"/>
  </si>
  <si>
    <r>
      <t>B</t>
    </r>
    <r>
      <rPr>
        <sz val="10"/>
        <color theme="1"/>
        <rFont val="华文细黑"/>
        <family val="3"/>
        <charset val="134"/>
      </rPr>
      <t>座储藏</t>
    </r>
    <phoneticPr fontId="255" type="noConversion"/>
  </si>
  <si>
    <r>
      <t>5</t>
    </r>
    <r>
      <rPr>
        <sz val="10"/>
        <color theme="1"/>
        <rFont val="华文细黑"/>
        <family val="3"/>
        <charset val="134"/>
      </rPr>
      <t>号</t>
    </r>
    <phoneticPr fontId="255" type="noConversion"/>
  </si>
  <si>
    <r>
      <t>6</t>
    </r>
    <r>
      <rPr>
        <sz val="10"/>
        <color theme="1"/>
        <rFont val="华文细黑"/>
        <family val="3"/>
        <charset val="134"/>
      </rPr>
      <t>号</t>
    </r>
    <phoneticPr fontId="255" type="noConversion"/>
  </si>
  <si>
    <r>
      <t>7</t>
    </r>
    <r>
      <rPr>
        <sz val="10"/>
        <color theme="1"/>
        <rFont val="华文细黑"/>
        <family val="3"/>
        <charset val="134"/>
      </rPr>
      <t>号</t>
    </r>
    <phoneticPr fontId="255" type="noConversion"/>
  </si>
  <si>
    <r>
      <t>8</t>
    </r>
    <r>
      <rPr>
        <sz val="10"/>
        <color theme="1"/>
        <rFont val="华文细黑"/>
        <family val="3"/>
        <charset val="134"/>
      </rPr>
      <t>号</t>
    </r>
    <phoneticPr fontId="255" type="noConversion"/>
  </si>
  <si>
    <r>
      <t>9</t>
    </r>
    <r>
      <rPr>
        <sz val="10"/>
        <color theme="1"/>
        <rFont val="华文细黑"/>
        <family val="3"/>
        <charset val="134"/>
      </rPr>
      <t>号</t>
    </r>
    <phoneticPr fontId="255" type="noConversion"/>
  </si>
  <si>
    <r>
      <t>9-10</t>
    </r>
    <r>
      <rPr>
        <sz val="10"/>
        <color theme="1"/>
        <rFont val="华文细黑"/>
        <family val="3"/>
        <charset val="134"/>
      </rPr>
      <t>号储藏室</t>
    </r>
    <phoneticPr fontId="255" type="noConversion"/>
  </si>
  <si>
    <r>
      <t>9-11</t>
    </r>
    <r>
      <rPr>
        <sz val="10"/>
        <color theme="1"/>
        <rFont val="华文细黑"/>
        <family val="3"/>
        <charset val="134"/>
      </rPr>
      <t>号储藏室</t>
    </r>
  </si>
  <si>
    <r>
      <t>9-12</t>
    </r>
    <r>
      <rPr>
        <sz val="10"/>
        <color theme="1"/>
        <rFont val="华文细黑"/>
        <family val="3"/>
        <charset val="134"/>
      </rPr>
      <t>号储藏室</t>
    </r>
  </si>
  <si>
    <r>
      <t>9-13</t>
    </r>
    <r>
      <rPr>
        <sz val="10"/>
        <color theme="1"/>
        <rFont val="华文细黑"/>
        <family val="3"/>
        <charset val="134"/>
      </rPr>
      <t>号储藏室</t>
    </r>
  </si>
  <si>
    <r>
      <t>9-14</t>
    </r>
    <r>
      <rPr>
        <sz val="10"/>
        <color theme="1"/>
        <rFont val="华文细黑"/>
        <family val="3"/>
        <charset val="134"/>
      </rPr>
      <t>号储藏室</t>
    </r>
  </si>
  <si>
    <r>
      <t>9-15</t>
    </r>
    <r>
      <rPr>
        <sz val="10"/>
        <color theme="1"/>
        <rFont val="华文细黑"/>
        <family val="3"/>
        <charset val="134"/>
      </rPr>
      <t>号储藏室</t>
    </r>
  </si>
  <si>
    <r>
      <t>9-16</t>
    </r>
    <r>
      <rPr>
        <sz val="10"/>
        <color theme="1"/>
        <rFont val="华文细黑"/>
        <family val="3"/>
        <charset val="134"/>
      </rPr>
      <t>号储藏室</t>
    </r>
  </si>
  <si>
    <r>
      <t>9-17</t>
    </r>
    <r>
      <rPr>
        <sz val="10"/>
        <color theme="1"/>
        <rFont val="华文细黑"/>
        <family val="3"/>
        <charset val="134"/>
      </rPr>
      <t>号储藏室</t>
    </r>
  </si>
  <si>
    <r>
      <t>9-18</t>
    </r>
    <r>
      <rPr>
        <sz val="10"/>
        <color theme="1"/>
        <rFont val="华文细黑"/>
        <family val="3"/>
        <charset val="134"/>
      </rPr>
      <t>号储藏室</t>
    </r>
  </si>
  <si>
    <r>
      <t>9-19</t>
    </r>
    <r>
      <rPr>
        <sz val="10"/>
        <color theme="1"/>
        <rFont val="华文细黑"/>
        <family val="3"/>
        <charset val="134"/>
      </rPr>
      <t>号储藏室</t>
    </r>
  </si>
  <si>
    <r>
      <t>9-1</t>
    </r>
    <r>
      <rPr>
        <sz val="10"/>
        <color theme="1"/>
        <rFont val="华文细黑"/>
        <family val="3"/>
        <charset val="134"/>
      </rPr>
      <t>号储藏室</t>
    </r>
    <phoneticPr fontId="255" type="noConversion"/>
  </si>
  <si>
    <r>
      <t>9-20</t>
    </r>
    <r>
      <rPr>
        <sz val="10"/>
        <color theme="1"/>
        <rFont val="华文细黑"/>
        <family val="3"/>
        <charset val="134"/>
      </rPr>
      <t>号储藏室</t>
    </r>
    <phoneticPr fontId="255" type="noConversion"/>
  </si>
  <si>
    <r>
      <t>9-21</t>
    </r>
    <r>
      <rPr>
        <sz val="10"/>
        <color theme="1"/>
        <rFont val="华文细黑"/>
        <family val="3"/>
        <charset val="134"/>
      </rPr>
      <t>号储藏室</t>
    </r>
  </si>
  <si>
    <r>
      <t>9-22</t>
    </r>
    <r>
      <rPr>
        <sz val="10"/>
        <color theme="1"/>
        <rFont val="华文细黑"/>
        <family val="3"/>
        <charset val="134"/>
      </rPr>
      <t>号储藏室</t>
    </r>
  </si>
  <si>
    <r>
      <t>9-23</t>
    </r>
    <r>
      <rPr>
        <sz val="10"/>
        <color theme="1"/>
        <rFont val="华文细黑"/>
        <family val="3"/>
        <charset val="134"/>
      </rPr>
      <t>号储藏室</t>
    </r>
  </si>
  <si>
    <r>
      <t>9-24</t>
    </r>
    <r>
      <rPr>
        <sz val="10"/>
        <color theme="1"/>
        <rFont val="华文细黑"/>
        <family val="3"/>
        <charset val="134"/>
      </rPr>
      <t>号储藏室</t>
    </r>
  </si>
  <si>
    <r>
      <t>9-25</t>
    </r>
    <r>
      <rPr>
        <sz val="10"/>
        <color theme="1"/>
        <rFont val="华文细黑"/>
        <family val="3"/>
        <charset val="134"/>
      </rPr>
      <t>号储藏室</t>
    </r>
  </si>
  <si>
    <r>
      <t>9-26</t>
    </r>
    <r>
      <rPr>
        <sz val="10"/>
        <color theme="1"/>
        <rFont val="华文细黑"/>
        <family val="3"/>
        <charset val="134"/>
      </rPr>
      <t>号储藏室</t>
    </r>
  </si>
  <si>
    <r>
      <t>9-27</t>
    </r>
    <r>
      <rPr>
        <sz val="10"/>
        <color theme="1"/>
        <rFont val="华文细黑"/>
        <family val="3"/>
        <charset val="134"/>
      </rPr>
      <t>号储藏室</t>
    </r>
  </si>
  <si>
    <r>
      <t>9-28</t>
    </r>
    <r>
      <rPr>
        <sz val="10"/>
        <color theme="1"/>
        <rFont val="华文细黑"/>
        <family val="3"/>
        <charset val="134"/>
      </rPr>
      <t>号储藏室</t>
    </r>
  </si>
  <si>
    <r>
      <t>9-29</t>
    </r>
    <r>
      <rPr>
        <sz val="10"/>
        <color theme="1"/>
        <rFont val="华文细黑"/>
        <family val="3"/>
        <charset val="134"/>
      </rPr>
      <t>号储藏室</t>
    </r>
  </si>
  <si>
    <r>
      <t>9-2</t>
    </r>
    <r>
      <rPr>
        <sz val="10"/>
        <color theme="1"/>
        <rFont val="华文细黑"/>
        <family val="3"/>
        <charset val="134"/>
      </rPr>
      <t>号储藏室</t>
    </r>
    <phoneticPr fontId="255" type="noConversion"/>
  </si>
  <si>
    <r>
      <t>9-30</t>
    </r>
    <r>
      <rPr>
        <sz val="10"/>
        <color theme="1"/>
        <rFont val="华文细黑"/>
        <family val="3"/>
        <charset val="134"/>
      </rPr>
      <t>号储藏室</t>
    </r>
    <phoneticPr fontId="255" type="noConversion"/>
  </si>
  <si>
    <r>
      <t>9-31</t>
    </r>
    <r>
      <rPr>
        <sz val="10"/>
        <color theme="1"/>
        <rFont val="华文细黑"/>
        <family val="3"/>
        <charset val="134"/>
      </rPr>
      <t>号储藏室</t>
    </r>
  </si>
  <si>
    <r>
      <t>9-32</t>
    </r>
    <r>
      <rPr>
        <sz val="10"/>
        <color theme="1"/>
        <rFont val="华文细黑"/>
        <family val="3"/>
        <charset val="134"/>
      </rPr>
      <t>号储藏室</t>
    </r>
  </si>
  <si>
    <r>
      <t>9-33</t>
    </r>
    <r>
      <rPr>
        <sz val="10"/>
        <color theme="1"/>
        <rFont val="华文细黑"/>
        <family val="3"/>
        <charset val="134"/>
      </rPr>
      <t>号储藏室</t>
    </r>
  </si>
  <si>
    <r>
      <t>9-34</t>
    </r>
    <r>
      <rPr>
        <sz val="10"/>
        <color theme="1"/>
        <rFont val="华文细黑"/>
        <family val="3"/>
        <charset val="134"/>
      </rPr>
      <t>号储藏室</t>
    </r>
  </si>
  <si>
    <r>
      <t>9-35</t>
    </r>
    <r>
      <rPr>
        <sz val="10"/>
        <color theme="1"/>
        <rFont val="华文细黑"/>
        <family val="3"/>
        <charset val="134"/>
      </rPr>
      <t>号储藏室</t>
    </r>
  </si>
  <si>
    <r>
      <t>9-36</t>
    </r>
    <r>
      <rPr>
        <sz val="10"/>
        <color theme="1"/>
        <rFont val="华文细黑"/>
        <family val="3"/>
        <charset val="134"/>
      </rPr>
      <t>号储藏室</t>
    </r>
  </si>
  <si>
    <r>
      <t>9-37</t>
    </r>
    <r>
      <rPr>
        <sz val="10"/>
        <color theme="1"/>
        <rFont val="华文细黑"/>
        <family val="3"/>
        <charset val="134"/>
      </rPr>
      <t>号储藏室</t>
    </r>
  </si>
  <si>
    <r>
      <t>9-38</t>
    </r>
    <r>
      <rPr>
        <sz val="10"/>
        <color theme="1"/>
        <rFont val="华文细黑"/>
        <family val="3"/>
        <charset val="134"/>
      </rPr>
      <t>号储藏室</t>
    </r>
  </si>
  <si>
    <r>
      <t>9-39</t>
    </r>
    <r>
      <rPr>
        <sz val="10"/>
        <color theme="1"/>
        <rFont val="华文细黑"/>
        <family val="3"/>
        <charset val="134"/>
      </rPr>
      <t>号储藏室</t>
    </r>
  </si>
  <si>
    <r>
      <t>9-3</t>
    </r>
    <r>
      <rPr>
        <sz val="10"/>
        <color theme="1"/>
        <rFont val="华文细黑"/>
        <family val="3"/>
        <charset val="134"/>
      </rPr>
      <t>号储藏室</t>
    </r>
    <phoneticPr fontId="255" type="noConversion"/>
  </si>
  <si>
    <r>
      <t>9-40</t>
    </r>
    <r>
      <rPr>
        <sz val="10"/>
        <color theme="1"/>
        <rFont val="华文细黑"/>
        <family val="3"/>
        <charset val="134"/>
      </rPr>
      <t>号储藏室</t>
    </r>
    <phoneticPr fontId="255" type="noConversion"/>
  </si>
  <si>
    <r>
      <t>9-4</t>
    </r>
    <r>
      <rPr>
        <sz val="10"/>
        <color theme="1"/>
        <rFont val="华文细黑"/>
        <family val="3"/>
        <charset val="134"/>
      </rPr>
      <t>号储藏室</t>
    </r>
    <phoneticPr fontId="255" type="noConversion"/>
  </si>
  <si>
    <r>
      <t>9-5</t>
    </r>
    <r>
      <rPr>
        <sz val="10"/>
        <color theme="1"/>
        <rFont val="华文细黑"/>
        <family val="3"/>
        <charset val="134"/>
      </rPr>
      <t>号储藏室</t>
    </r>
    <phoneticPr fontId="255" type="noConversion"/>
  </si>
  <si>
    <r>
      <t>9-6</t>
    </r>
    <r>
      <rPr>
        <sz val="10"/>
        <color theme="1"/>
        <rFont val="华文细黑"/>
        <family val="3"/>
        <charset val="134"/>
      </rPr>
      <t>号储藏室</t>
    </r>
    <phoneticPr fontId="255" type="noConversion"/>
  </si>
  <si>
    <r>
      <t>9-7</t>
    </r>
    <r>
      <rPr>
        <sz val="10"/>
        <color theme="1"/>
        <rFont val="华文细黑"/>
        <family val="3"/>
        <charset val="134"/>
      </rPr>
      <t>号储藏室</t>
    </r>
  </si>
  <si>
    <r>
      <t>9-8</t>
    </r>
    <r>
      <rPr>
        <sz val="10"/>
        <color theme="1"/>
        <rFont val="华文细黑"/>
        <family val="3"/>
        <charset val="134"/>
      </rPr>
      <t>号储藏室</t>
    </r>
  </si>
  <si>
    <r>
      <t>9-9</t>
    </r>
    <r>
      <rPr>
        <sz val="10"/>
        <color theme="1"/>
        <rFont val="华文细黑"/>
        <family val="3"/>
        <charset val="134"/>
      </rPr>
      <t>号储藏室</t>
    </r>
  </si>
  <si>
    <r>
      <t>10</t>
    </r>
    <r>
      <rPr>
        <sz val="10"/>
        <color theme="1"/>
        <rFont val="华文细黑"/>
        <family val="3"/>
        <charset val="134"/>
      </rPr>
      <t>号</t>
    </r>
    <phoneticPr fontId="255" type="noConversion"/>
  </si>
  <si>
    <r>
      <t>10-10</t>
    </r>
    <r>
      <rPr>
        <sz val="10"/>
        <color theme="1"/>
        <rFont val="华文细黑"/>
        <family val="3"/>
        <charset val="134"/>
      </rPr>
      <t>号储藏室</t>
    </r>
  </si>
  <si>
    <r>
      <t>10-11</t>
    </r>
    <r>
      <rPr>
        <sz val="10"/>
        <color theme="1"/>
        <rFont val="华文细黑"/>
        <family val="3"/>
        <charset val="134"/>
      </rPr>
      <t>号储藏室</t>
    </r>
  </si>
  <si>
    <r>
      <t>10-12</t>
    </r>
    <r>
      <rPr>
        <sz val="10"/>
        <color theme="1"/>
        <rFont val="华文细黑"/>
        <family val="3"/>
        <charset val="134"/>
      </rPr>
      <t>号储藏室</t>
    </r>
  </si>
  <si>
    <r>
      <t>10-13</t>
    </r>
    <r>
      <rPr>
        <sz val="10"/>
        <color theme="1"/>
        <rFont val="华文细黑"/>
        <family val="3"/>
        <charset val="134"/>
      </rPr>
      <t>号储藏室</t>
    </r>
  </si>
  <si>
    <r>
      <t>10-14</t>
    </r>
    <r>
      <rPr>
        <sz val="10"/>
        <color theme="1"/>
        <rFont val="华文细黑"/>
        <family val="3"/>
        <charset val="134"/>
      </rPr>
      <t>号储藏室</t>
    </r>
  </si>
  <si>
    <r>
      <t>10-15</t>
    </r>
    <r>
      <rPr>
        <sz val="10"/>
        <color theme="1"/>
        <rFont val="华文细黑"/>
        <family val="3"/>
        <charset val="134"/>
      </rPr>
      <t>号储藏室</t>
    </r>
  </si>
  <si>
    <r>
      <t>10-16</t>
    </r>
    <r>
      <rPr>
        <sz val="10"/>
        <color theme="1"/>
        <rFont val="华文细黑"/>
        <family val="3"/>
        <charset val="134"/>
      </rPr>
      <t>号储藏室</t>
    </r>
  </si>
  <si>
    <r>
      <t>10-17</t>
    </r>
    <r>
      <rPr>
        <sz val="10"/>
        <color theme="1"/>
        <rFont val="华文细黑"/>
        <family val="3"/>
        <charset val="134"/>
      </rPr>
      <t>号储藏室</t>
    </r>
  </si>
  <si>
    <r>
      <t>10-18</t>
    </r>
    <r>
      <rPr>
        <sz val="10"/>
        <color theme="1"/>
        <rFont val="华文细黑"/>
        <family val="3"/>
        <charset val="134"/>
      </rPr>
      <t>号储藏室</t>
    </r>
  </si>
  <si>
    <r>
      <t>10-19</t>
    </r>
    <r>
      <rPr>
        <sz val="10"/>
        <color theme="1"/>
        <rFont val="华文细黑"/>
        <family val="3"/>
        <charset val="134"/>
      </rPr>
      <t>号储藏室</t>
    </r>
  </si>
  <si>
    <r>
      <t>10-1</t>
    </r>
    <r>
      <rPr>
        <sz val="10"/>
        <color theme="1"/>
        <rFont val="华文细黑"/>
        <family val="3"/>
        <charset val="134"/>
      </rPr>
      <t>号储藏室</t>
    </r>
  </si>
  <si>
    <r>
      <t>10-20</t>
    </r>
    <r>
      <rPr>
        <sz val="10"/>
        <color theme="1"/>
        <rFont val="华文细黑"/>
        <family val="3"/>
        <charset val="134"/>
      </rPr>
      <t>号储藏室</t>
    </r>
  </si>
  <si>
    <r>
      <t>10-21</t>
    </r>
    <r>
      <rPr>
        <sz val="10"/>
        <color theme="1"/>
        <rFont val="华文细黑"/>
        <family val="3"/>
        <charset val="134"/>
      </rPr>
      <t>号储藏室</t>
    </r>
  </si>
  <si>
    <r>
      <t>10</t>
    </r>
    <r>
      <rPr>
        <sz val="10"/>
        <color theme="1"/>
        <rFont val="华文细黑"/>
        <family val="3"/>
        <charset val="134"/>
      </rPr>
      <t>号</t>
    </r>
    <phoneticPr fontId="255" type="noConversion"/>
  </si>
  <si>
    <r>
      <t>10-22</t>
    </r>
    <r>
      <rPr>
        <sz val="10"/>
        <color theme="1"/>
        <rFont val="华文细黑"/>
        <family val="3"/>
        <charset val="134"/>
      </rPr>
      <t>号储藏室</t>
    </r>
  </si>
  <si>
    <r>
      <t>10-23</t>
    </r>
    <r>
      <rPr>
        <sz val="10"/>
        <color theme="1"/>
        <rFont val="华文细黑"/>
        <family val="3"/>
        <charset val="134"/>
      </rPr>
      <t>号储藏室</t>
    </r>
  </si>
  <si>
    <r>
      <t>10-24</t>
    </r>
    <r>
      <rPr>
        <sz val="10"/>
        <color theme="1"/>
        <rFont val="华文细黑"/>
        <family val="3"/>
        <charset val="134"/>
      </rPr>
      <t>号储藏室</t>
    </r>
  </si>
  <si>
    <r>
      <t>10-25</t>
    </r>
    <r>
      <rPr>
        <sz val="10"/>
        <color theme="1"/>
        <rFont val="华文细黑"/>
        <family val="3"/>
        <charset val="134"/>
      </rPr>
      <t>号储藏室</t>
    </r>
  </si>
  <si>
    <r>
      <t>10-26</t>
    </r>
    <r>
      <rPr>
        <sz val="10"/>
        <color theme="1"/>
        <rFont val="华文细黑"/>
        <family val="3"/>
        <charset val="134"/>
      </rPr>
      <t>号储藏室</t>
    </r>
  </si>
  <si>
    <r>
      <t>10-2</t>
    </r>
    <r>
      <rPr>
        <sz val="10"/>
        <color theme="1"/>
        <rFont val="华文细黑"/>
        <family val="3"/>
        <charset val="134"/>
      </rPr>
      <t>号储藏室</t>
    </r>
  </si>
  <si>
    <r>
      <t>10-3</t>
    </r>
    <r>
      <rPr>
        <sz val="10"/>
        <color theme="1"/>
        <rFont val="华文细黑"/>
        <family val="3"/>
        <charset val="134"/>
      </rPr>
      <t>号储藏室</t>
    </r>
  </si>
  <si>
    <r>
      <t>10-4</t>
    </r>
    <r>
      <rPr>
        <sz val="10"/>
        <color theme="1"/>
        <rFont val="华文细黑"/>
        <family val="3"/>
        <charset val="134"/>
      </rPr>
      <t>号储藏室</t>
    </r>
  </si>
  <si>
    <r>
      <t>10-5</t>
    </r>
    <r>
      <rPr>
        <sz val="10"/>
        <color theme="1"/>
        <rFont val="华文细黑"/>
        <family val="3"/>
        <charset val="134"/>
      </rPr>
      <t>号储藏室</t>
    </r>
  </si>
  <si>
    <r>
      <t>10-6</t>
    </r>
    <r>
      <rPr>
        <sz val="10"/>
        <color theme="1"/>
        <rFont val="华文细黑"/>
        <family val="3"/>
        <charset val="134"/>
      </rPr>
      <t>号储藏室</t>
    </r>
  </si>
  <si>
    <r>
      <t>10-7</t>
    </r>
    <r>
      <rPr>
        <sz val="10"/>
        <color theme="1"/>
        <rFont val="华文细黑"/>
        <family val="3"/>
        <charset val="134"/>
      </rPr>
      <t>号储藏室</t>
    </r>
  </si>
  <si>
    <r>
      <t>10-8</t>
    </r>
    <r>
      <rPr>
        <sz val="10"/>
        <color theme="1"/>
        <rFont val="华文细黑"/>
        <family val="3"/>
        <charset val="134"/>
      </rPr>
      <t>号储藏室</t>
    </r>
  </si>
  <si>
    <r>
      <t>10-9</t>
    </r>
    <r>
      <rPr>
        <sz val="10"/>
        <color theme="1"/>
        <rFont val="华文细黑"/>
        <family val="3"/>
        <charset val="134"/>
      </rPr>
      <t>号储藏室</t>
    </r>
  </si>
  <si>
    <r>
      <rPr>
        <sz val="10"/>
        <color theme="1"/>
        <rFont val="华文细黑"/>
        <family val="3"/>
        <charset val="134"/>
      </rPr>
      <t>乌山路</t>
    </r>
    <r>
      <rPr>
        <sz val="10"/>
        <color theme="1"/>
        <rFont val="Arial"/>
        <family val="2"/>
      </rPr>
      <t>156</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</si>
  <si>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158</t>
    </r>
    <r>
      <rPr>
        <sz val="10"/>
        <color theme="1"/>
        <rFont val="华文细黑"/>
        <family val="3"/>
        <charset val="134"/>
      </rPr>
      <t>号</t>
    </r>
    <phoneticPr fontId="255" type="noConversion"/>
  </si>
  <si>
    <r>
      <t>11</t>
    </r>
    <r>
      <rPr>
        <sz val="10"/>
        <color theme="1"/>
        <rFont val="华文细黑"/>
        <family val="3"/>
        <charset val="134"/>
      </rPr>
      <t>号</t>
    </r>
    <phoneticPr fontId="255" type="noConversion"/>
  </si>
  <si>
    <r>
      <t>C</t>
    </r>
    <r>
      <rPr>
        <sz val="10"/>
        <color theme="1"/>
        <rFont val="华文细黑"/>
        <family val="3"/>
        <charset val="134"/>
      </rPr>
      <t>座储藏</t>
    </r>
    <phoneticPr fontId="255" type="noConversion"/>
  </si>
  <si>
    <r>
      <t>D</t>
    </r>
    <r>
      <rPr>
        <sz val="10"/>
        <color theme="1"/>
        <rFont val="华文细黑"/>
        <family val="3"/>
        <charset val="134"/>
      </rPr>
      <t>座储藏</t>
    </r>
    <phoneticPr fontId="255" type="noConversion"/>
  </si>
  <si>
    <r>
      <t>E</t>
    </r>
    <r>
      <rPr>
        <sz val="10"/>
        <color theme="1"/>
        <rFont val="华文细黑"/>
        <family val="3"/>
        <charset val="134"/>
      </rPr>
      <t>座储藏</t>
    </r>
    <phoneticPr fontId="255" type="noConversion"/>
  </si>
  <si>
    <r>
      <t>F</t>
    </r>
    <r>
      <rPr>
        <sz val="10"/>
        <color theme="1"/>
        <rFont val="华文细黑"/>
        <family val="3"/>
        <charset val="134"/>
      </rPr>
      <t>座储藏</t>
    </r>
    <phoneticPr fontId="255" type="noConversion"/>
  </si>
  <si>
    <r>
      <t>A</t>
    </r>
    <r>
      <rPr>
        <sz val="10"/>
        <color theme="1"/>
        <rFont val="华文细黑"/>
        <family val="3"/>
        <charset val="134"/>
      </rPr>
      <t>座</t>
    </r>
    <phoneticPr fontId="255" type="noConversion"/>
  </si>
  <si>
    <r>
      <rPr>
        <sz val="10"/>
        <color theme="1"/>
        <rFont val="华文细黑"/>
        <family val="3"/>
        <charset val="134"/>
      </rPr>
      <t>住宅</t>
    </r>
    <phoneticPr fontId="255" type="noConversion"/>
  </si>
  <si>
    <r>
      <t>B</t>
    </r>
    <r>
      <rPr>
        <sz val="10"/>
        <color theme="1"/>
        <rFont val="华文细黑"/>
        <family val="3"/>
        <charset val="134"/>
      </rPr>
      <t>座</t>
    </r>
    <phoneticPr fontId="255" type="noConversion"/>
  </si>
  <si>
    <r>
      <t>C</t>
    </r>
    <r>
      <rPr>
        <sz val="10"/>
        <color theme="1"/>
        <rFont val="华文细黑"/>
        <family val="3"/>
        <charset val="134"/>
      </rPr>
      <t>座</t>
    </r>
    <phoneticPr fontId="255" type="noConversion"/>
  </si>
  <si>
    <r>
      <t>D</t>
    </r>
    <r>
      <rPr>
        <sz val="10"/>
        <color theme="1"/>
        <rFont val="华文细黑"/>
        <family val="3"/>
        <charset val="134"/>
      </rPr>
      <t>座</t>
    </r>
    <phoneticPr fontId="255" type="noConversion"/>
  </si>
  <si>
    <r>
      <t>E</t>
    </r>
    <r>
      <rPr>
        <sz val="10"/>
        <color theme="1"/>
        <rFont val="华文细黑"/>
        <family val="3"/>
        <charset val="134"/>
      </rPr>
      <t>座</t>
    </r>
    <phoneticPr fontId="255" type="noConversion"/>
  </si>
  <si>
    <r>
      <t>F</t>
    </r>
    <r>
      <rPr>
        <sz val="10"/>
        <color theme="1"/>
        <rFont val="华文细黑"/>
        <family val="3"/>
        <charset val="134"/>
      </rPr>
      <t>座</t>
    </r>
    <phoneticPr fontId="255" type="noConversion"/>
  </si>
  <si>
    <r>
      <t>A</t>
    </r>
    <r>
      <rPr>
        <sz val="10"/>
        <color theme="1"/>
        <rFont val="华文细黑"/>
        <family val="3"/>
        <charset val="134"/>
      </rPr>
      <t>座二层</t>
    </r>
    <phoneticPr fontId="255" type="noConversion"/>
  </si>
  <si>
    <r>
      <t>B</t>
    </r>
    <r>
      <rPr>
        <sz val="10"/>
        <color theme="1"/>
        <rFont val="华文细黑"/>
        <family val="3"/>
        <charset val="134"/>
      </rPr>
      <t>座二层</t>
    </r>
    <phoneticPr fontId="255" type="noConversion"/>
  </si>
  <si>
    <r>
      <t>C</t>
    </r>
    <r>
      <rPr>
        <sz val="10"/>
        <color theme="1"/>
        <rFont val="华文细黑"/>
        <family val="3"/>
        <charset val="134"/>
      </rPr>
      <t>座二层</t>
    </r>
    <phoneticPr fontId="255" type="noConversion"/>
  </si>
  <si>
    <r>
      <t>D</t>
    </r>
    <r>
      <rPr>
        <sz val="10"/>
        <color theme="1"/>
        <rFont val="华文细黑"/>
        <family val="3"/>
        <charset val="134"/>
      </rPr>
      <t>座二层</t>
    </r>
    <phoneticPr fontId="255" type="noConversion"/>
  </si>
  <si>
    <r>
      <t>E</t>
    </r>
    <r>
      <rPr>
        <sz val="10"/>
        <color theme="1"/>
        <rFont val="华文细黑"/>
        <family val="3"/>
        <charset val="134"/>
      </rPr>
      <t>座二层</t>
    </r>
    <phoneticPr fontId="255" type="noConversion"/>
  </si>
  <si>
    <r>
      <t>F</t>
    </r>
    <r>
      <rPr>
        <sz val="10"/>
        <color theme="1"/>
        <rFont val="华文细黑"/>
        <family val="3"/>
        <charset val="134"/>
      </rPr>
      <t>座二层</t>
    </r>
    <phoneticPr fontId="255" type="noConversion"/>
  </si>
  <si>
    <r>
      <t>A</t>
    </r>
    <r>
      <rPr>
        <sz val="10"/>
        <color theme="1"/>
        <rFont val="华文细黑"/>
        <family val="3"/>
        <charset val="134"/>
      </rPr>
      <t>座三层</t>
    </r>
    <phoneticPr fontId="255" type="noConversion"/>
  </si>
  <si>
    <r>
      <t>B</t>
    </r>
    <r>
      <rPr>
        <sz val="10"/>
        <color theme="1"/>
        <rFont val="华文细黑"/>
        <family val="3"/>
        <charset val="134"/>
      </rPr>
      <t>座三层</t>
    </r>
    <phoneticPr fontId="255" type="noConversion"/>
  </si>
  <si>
    <r>
      <t>C</t>
    </r>
    <r>
      <rPr>
        <sz val="10"/>
        <color theme="1"/>
        <rFont val="华文细黑"/>
        <family val="3"/>
        <charset val="134"/>
      </rPr>
      <t>座三层</t>
    </r>
    <phoneticPr fontId="255" type="noConversion"/>
  </si>
  <si>
    <r>
      <t>D</t>
    </r>
    <r>
      <rPr>
        <sz val="10"/>
        <color theme="1"/>
        <rFont val="华文细黑"/>
        <family val="3"/>
        <charset val="134"/>
      </rPr>
      <t>座三层</t>
    </r>
    <phoneticPr fontId="255" type="noConversion"/>
  </si>
  <si>
    <r>
      <t>E</t>
    </r>
    <r>
      <rPr>
        <sz val="10"/>
        <color theme="1"/>
        <rFont val="华文细黑"/>
        <family val="3"/>
        <charset val="134"/>
      </rPr>
      <t>座三层</t>
    </r>
    <phoneticPr fontId="255" type="noConversion"/>
  </si>
  <si>
    <r>
      <t>F</t>
    </r>
    <r>
      <rPr>
        <sz val="10"/>
        <color theme="1"/>
        <rFont val="华文细黑"/>
        <family val="3"/>
        <charset val="134"/>
      </rPr>
      <t>座三层</t>
    </r>
    <phoneticPr fontId="255" type="noConversion"/>
  </si>
  <si>
    <r>
      <t>12</t>
    </r>
    <r>
      <rPr>
        <sz val="10"/>
        <color theme="1"/>
        <rFont val="华文细黑"/>
        <family val="3"/>
        <charset val="134"/>
      </rPr>
      <t>号</t>
    </r>
    <phoneticPr fontId="255" type="noConversion"/>
  </si>
  <si>
    <r>
      <t>13</t>
    </r>
    <r>
      <rPr>
        <sz val="10"/>
        <color theme="1"/>
        <rFont val="华文细黑"/>
        <family val="3"/>
        <charset val="134"/>
      </rPr>
      <t>号</t>
    </r>
    <phoneticPr fontId="255" type="noConversion"/>
  </si>
  <si>
    <r>
      <rPr>
        <sz val="10"/>
        <color theme="1"/>
        <rFont val="华文细黑"/>
        <family val="3"/>
        <charset val="134"/>
      </rPr>
      <t>高层</t>
    </r>
    <phoneticPr fontId="255" type="noConversion"/>
  </si>
  <si>
    <r>
      <t>14</t>
    </r>
    <r>
      <rPr>
        <sz val="10"/>
        <color theme="1"/>
        <rFont val="华文细黑"/>
        <family val="3"/>
        <charset val="134"/>
      </rPr>
      <t>号</t>
    </r>
    <phoneticPr fontId="255" type="noConversion"/>
  </si>
  <si>
    <r>
      <t>14-10</t>
    </r>
    <r>
      <rPr>
        <sz val="10"/>
        <color theme="1"/>
        <rFont val="华文细黑"/>
        <family val="3"/>
        <charset val="134"/>
      </rPr>
      <t>号储藏室</t>
    </r>
    <phoneticPr fontId="255" type="noConversion"/>
  </si>
  <si>
    <r>
      <rPr>
        <sz val="10"/>
        <color theme="1"/>
        <rFont val="华文细黑"/>
        <family val="3"/>
        <charset val="134"/>
      </rPr>
      <t>储藏室</t>
    </r>
    <phoneticPr fontId="255" type="noConversion"/>
  </si>
  <si>
    <r>
      <t>14-11</t>
    </r>
    <r>
      <rPr>
        <sz val="10"/>
        <color theme="1"/>
        <rFont val="华文细黑"/>
        <family val="3"/>
        <charset val="134"/>
      </rPr>
      <t>号储藏室</t>
    </r>
    <phoneticPr fontId="255" type="noConversion"/>
  </si>
  <si>
    <r>
      <t>14-12</t>
    </r>
    <r>
      <rPr>
        <sz val="10"/>
        <color theme="1"/>
        <rFont val="华文细黑"/>
        <family val="3"/>
        <charset val="134"/>
      </rPr>
      <t>号储藏室</t>
    </r>
  </si>
  <si>
    <r>
      <t>14-13</t>
    </r>
    <r>
      <rPr>
        <sz val="10"/>
        <color theme="1"/>
        <rFont val="华文细黑"/>
        <family val="3"/>
        <charset val="134"/>
      </rPr>
      <t>号储藏室</t>
    </r>
  </si>
  <si>
    <r>
      <t>14-14</t>
    </r>
    <r>
      <rPr>
        <sz val="10"/>
        <color theme="1"/>
        <rFont val="华文细黑"/>
        <family val="3"/>
        <charset val="134"/>
      </rPr>
      <t>号储藏室</t>
    </r>
  </si>
  <si>
    <r>
      <t>14</t>
    </r>
    <r>
      <rPr>
        <sz val="10"/>
        <color theme="1"/>
        <rFont val="华文细黑"/>
        <family val="3"/>
        <charset val="134"/>
      </rPr>
      <t>号</t>
    </r>
    <phoneticPr fontId="255" type="noConversion"/>
  </si>
  <si>
    <r>
      <t>14-15</t>
    </r>
    <r>
      <rPr>
        <sz val="10"/>
        <color theme="1"/>
        <rFont val="华文细黑"/>
        <family val="3"/>
        <charset val="134"/>
      </rPr>
      <t>号储藏室</t>
    </r>
  </si>
  <si>
    <r>
      <t>14-16</t>
    </r>
    <r>
      <rPr>
        <sz val="10"/>
        <color theme="1"/>
        <rFont val="华文细黑"/>
        <family val="3"/>
        <charset val="134"/>
      </rPr>
      <t>号储藏室</t>
    </r>
  </si>
  <si>
    <r>
      <t>14-17</t>
    </r>
    <r>
      <rPr>
        <sz val="10"/>
        <color theme="1"/>
        <rFont val="华文细黑"/>
        <family val="3"/>
        <charset val="134"/>
      </rPr>
      <t>号储藏室</t>
    </r>
  </si>
  <si>
    <r>
      <t>14-18</t>
    </r>
    <r>
      <rPr>
        <sz val="10"/>
        <color theme="1"/>
        <rFont val="华文细黑"/>
        <family val="3"/>
        <charset val="134"/>
      </rPr>
      <t>号储藏室</t>
    </r>
  </si>
  <si>
    <r>
      <t>14-19</t>
    </r>
    <r>
      <rPr>
        <sz val="10"/>
        <color theme="1"/>
        <rFont val="华文细黑"/>
        <family val="3"/>
        <charset val="134"/>
      </rPr>
      <t>号储藏室</t>
    </r>
  </si>
  <si>
    <r>
      <t>14-1</t>
    </r>
    <r>
      <rPr>
        <sz val="10"/>
        <color theme="1"/>
        <rFont val="华文细黑"/>
        <family val="3"/>
        <charset val="134"/>
      </rPr>
      <t>号储藏室</t>
    </r>
    <phoneticPr fontId="255" type="noConversion"/>
  </si>
  <si>
    <r>
      <t>14-20</t>
    </r>
    <r>
      <rPr>
        <sz val="10"/>
        <color theme="1"/>
        <rFont val="华文细黑"/>
        <family val="3"/>
        <charset val="134"/>
      </rPr>
      <t>号储藏室</t>
    </r>
  </si>
  <si>
    <r>
      <t>14-21</t>
    </r>
    <r>
      <rPr>
        <sz val="10"/>
        <color theme="1"/>
        <rFont val="华文细黑"/>
        <family val="3"/>
        <charset val="134"/>
      </rPr>
      <t>号储藏室</t>
    </r>
  </si>
  <si>
    <r>
      <t>14-22</t>
    </r>
    <r>
      <rPr>
        <sz val="10"/>
        <color theme="1"/>
        <rFont val="华文细黑"/>
        <family val="3"/>
        <charset val="134"/>
      </rPr>
      <t>号储藏室</t>
    </r>
  </si>
  <si>
    <r>
      <t>14-23</t>
    </r>
    <r>
      <rPr>
        <sz val="10"/>
        <color theme="1"/>
        <rFont val="华文细黑"/>
        <family val="3"/>
        <charset val="134"/>
      </rPr>
      <t>号储藏室</t>
    </r>
  </si>
  <si>
    <r>
      <t>14-2</t>
    </r>
    <r>
      <rPr>
        <sz val="10"/>
        <color theme="1"/>
        <rFont val="华文细黑"/>
        <family val="3"/>
        <charset val="134"/>
      </rPr>
      <t>号储藏室</t>
    </r>
    <phoneticPr fontId="255" type="noConversion"/>
  </si>
  <si>
    <r>
      <t>14-3</t>
    </r>
    <r>
      <rPr>
        <sz val="10"/>
        <color theme="1"/>
        <rFont val="华文细黑"/>
        <family val="3"/>
        <charset val="134"/>
      </rPr>
      <t>号储藏室</t>
    </r>
    <phoneticPr fontId="255" type="noConversion"/>
  </si>
  <si>
    <r>
      <t>14-4</t>
    </r>
    <r>
      <rPr>
        <sz val="10"/>
        <color theme="1"/>
        <rFont val="华文细黑"/>
        <family val="3"/>
        <charset val="134"/>
      </rPr>
      <t>号储藏室</t>
    </r>
  </si>
  <si>
    <r>
      <t>14-5</t>
    </r>
    <r>
      <rPr>
        <sz val="10"/>
        <color theme="1"/>
        <rFont val="华文细黑"/>
        <family val="3"/>
        <charset val="134"/>
      </rPr>
      <t>号储藏室</t>
    </r>
  </si>
  <si>
    <r>
      <t>14-6</t>
    </r>
    <r>
      <rPr>
        <sz val="10"/>
        <color theme="1"/>
        <rFont val="华文细黑"/>
        <family val="3"/>
        <charset val="134"/>
      </rPr>
      <t>号储藏室</t>
    </r>
  </si>
  <si>
    <r>
      <t>14-7</t>
    </r>
    <r>
      <rPr>
        <sz val="10"/>
        <color theme="1"/>
        <rFont val="华文细黑"/>
        <family val="3"/>
        <charset val="134"/>
      </rPr>
      <t>号储藏室</t>
    </r>
  </si>
  <si>
    <r>
      <t>14-8</t>
    </r>
    <r>
      <rPr>
        <sz val="10"/>
        <color theme="1"/>
        <rFont val="华文细黑"/>
        <family val="3"/>
        <charset val="134"/>
      </rPr>
      <t>号储藏室</t>
    </r>
  </si>
  <si>
    <r>
      <t>14-9</t>
    </r>
    <r>
      <rPr>
        <sz val="10"/>
        <color theme="1"/>
        <rFont val="华文细黑"/>
        <family val="3"/>
        <charset val="134"/>
      </rPr>
      <t>号储藏室</t>
    </r>
  </si>
  <si>
    <r>
      <t>15</t>
    </r>
    <r>
      <rPr>
        <sz val="10"/>
        <color theme="1"/>
        <rFont val="华文细黑"/>
        <family val="3"/>
        <charset val="134"/>
      </rPr>
      <t>号</t>
    </r>
    <phoneticPr fontId="255" type="noConversion"/>
  </si>
  <si>
    <r>
      <t>15-10</t>
    </r>
    <r>
      <rPr>
        <sz val="10"/>
        <color theme="1"/>
        <rFont val="华文细黑"/>
        <family val="3"/>
        <charset val="134"/>
      </rPr>
      <t>号储藏室</t>
    </r>
  </si>
  <si>
    <r>
      <t>15-11</t>
    </r>
    <r>
      <rPr>
        <sz val="10"/>
        <color theme="1"/>
        <rFont val="华文细黑"/>
        <family val="3"/>
        <charset val="134"/>
      </rPr>
      <t>号储藏室</t>
    </r>
  </si>
  <si>
    <r>
      <t>15-12</t>
    </r>
    <r>
      <rPr>
        <sz val="10"/>
        <color theme="1"/>
        <rFont val="华文细黑"/>
        <family val="3"/>
        <charset val="134"/>
      </rPr>
      <t>号储藏室</t>
    </r>
  </si>
  <si>
    <r>
      <t>15</t>
    </r>
    <r>
      <rPr>
        <sz val="10"/>
        <color theme="1"/>
        <rFont val="华文细黑"/>
        <family val="3"/>
        <charset val="134"/>
      </rPr>
      <t>号</t>
    </r>
    <phoneticPr fontId="255" type="noConversion"/>
  </si>
  <si>
    <r>
      <t>15-13</t>
    </r>
    <r>
      <rPr>
        <sz val="10"/>
        <color theme="1"/>
        <rFont val="华文细黑"/>
        <family val="3"/>
        <charset val="134"/>
      </rPr>
      <t>号储藏室</t>
    </r>
  </si>
  <si>
    <r>
      <t>15-14</t>
    </r>
    <r>
      <rPr>
        <sz val="10"/>
        <color theme="1"/>
        <rFont val="华文细黑"/>
        <family val="3"/>
        <charset val="134"/>
      </rPr>
      <t>号储藏室</t>
    </r>
  </si>
  <si>
    <r>
      <t>15-15</t>
    </r>
    <r>
      <rPr>
        <sz val="10"/>
        <color theme="1"/>
        <rFont val="华文细黑"/>
        <family val="3"/>
        <charset val="134"/>
      </rPr>
      <t>号储藏室</t>
    </r>
  </si>
  <si>
    <r>
      <t>15-16</t>
    </r>
    <r>
      <rPr>
        <sz val="10"/>
        <color theme="1"/>
        <rFont val="华文细黑"/>
        <family val="3"/>
        <charset val="134"/>
      </rPr>
      <t>号储藏室</t>
    </r>
  </si>
  <si>
    <t>——</t>
    <phoneticPr fontId="255" type="noConversion"/>
  </si>
  <si>
    <r>
      <t>15</t>
    </r>
    <r>
      <rPr>
        <sz val="10"/>
        <color theme="1"/>
        <rFont val="华文细黑"/>
        <family val="3"/>
        <charset val="134"/>
      </rPr>
      <t>号</t>
    </r>
    <phoneticPr fontId="255" type="noConversion"/>
  </si>
  <si>
    <r>
      <t>15-17</t>
    </r>
    <r>
      <rPr>
        <sz val="10"/>
        <color theme="1"/>
        <rFont val="华文细黑"/>
        <family val="3"/>
        <charset val="134"/>
      </rPr>
      <t>号储藏室</t>
    </r>
  </si>
  <si>
    <r>
      <t>15-18</t>
    </r>
    <r>
      <rPr>
        <sz val="10"/>
        <color theme="1"/>
        <rFont val="华文细黑"/>
        <family val="3"/>
        <charset val="134"/>
      </rPr>
      <t>号储藏室</t>
    </r>
  </si>
  <si>
    <r>
      <t>15</t>
    </r>
    <r>
      <rPr>
        <sz val="10"/>
        <color theme="1"/>
        <rFont val="华文细黑"/>
        <family val="3"/>
        <charset val="134"/>
      </rPr>
      <t>号</t>
    </r>
    <phoneticPr fontId="255" type="noConversion"/>
  </si>
  <si>
    <r>
      <t>15-19</t>
    </r>
    <r>
      <rPr>
        <sz val="10"/>
        <color theme="1"/>
        <rFont val="华文细黑"/>
        <family val="3"/>
        <charset val="134"/>
      </rPr>
      <t>号储藏室</t>
    </r>
  </si>
  <si>
    <r>
      <t>15-1</t>
    </r>
    <r>
      <rPr>
        <sz val="10"/>
        <color theme="1"/>
        <rFont val="华文细黑"/>
        <family val="3"/>
        <charset val="134"/>
      </rPr>
      <t>号储藏室</t>
    </r>
  </si>
  <si>
    <r>
      <t>15-20</t>
    </r>
    <r>
      <rPr>
        <sz val="10"/>
        <color theme="1"/>
        <rFont val="华文细黑"/>
        <family val="3"/>
        <charset val="134"/>
      </rPr>
      <t>号储藏室</t>
    </r>
  </si>
  <si>
    <r>
      <t>15-21</t>
    </r>
    <r>
      <rPr>
        <sz val="10"/>
        <color theme="1"/>
        <rFont val="华文细黑"/>
        <family val="3"/>
        <charset val="134"/>
      </rPr>
      <t>号储藏室</t>
    </r>
  </si>
  <si>
    <r>
      <t>15-22</t>
    </r>
    <r>
      <rPr>
        <sz val="10"/>
        <color theme="1"/>
        <rFont val="华文细黑"/>
        <family val="3"/>
        <charset val="134"/>
      </rPr>
      <t>号储藏室</t>
    </r>
  </si>
  <si>
    <r>
      <t>15-23</t>
    </r>
    <r>
      <rPr>
        <sz val="10"/>
        <color theme="1"/>
        <rFont val="华文细黑"/>
        <family val="3"/>
        <charset val="134"/>
      </rPr>
      <t>号储藏室</t>
    </r>
  </si>
  <si>
    <r>
      <t>15-24</t>
    </r>
    <r>
      <rPr>
        <sz val="10"/>
        <color theme="1"/>
        <rFont val="华文细黑"/>
        <family val="3"/>
        <charset val="134"/>
      </rPr>
      <t>号储藏室</t>
    </r>
  </si>
  <si>
    <r>
      <t>15-25</t>
    </r>
    <r>
      <rPr>
        <sz val="10"/>
        <color theme="1"/>
        <rFont val="华文细黑"/>
        <family val="3"/>
        <charset val="134"/>
      </rPr>
      <t>号储藏室</t>
    </r>
  </si>
  <si>
    <r>
      <t>15-26</t>
    </r>
    <r>
      <rPr>
        <sz val="10"/>
        <color theme="1"/>
        <rFont val="华文细黑"/>
        <family val="3"/>
        <charset val="134"/>
      </rPr>
      <t>号储藏室</t>
    </r>
  </si>
  <si>
    <r>
      <t>15-27</t>
    </r>
    <r>
      <rPr>
        <sz val="10"/>
        <color theme="1"/>
        <rFont val="华文细黑"/>
        <family val="3"/>
        <charset val="134"/>
      </rPr>
      <t>号储藏室</t>
    </r>
  </si>
  <si>
    <r>
      <t>15-28</t>
    </r>
    <r>
      <rPr>
        <sz val="10"/>
        <color theme="1"/>
        <rFont val="华文细黑"/>
        <family val="3"/>
        <charset val="134"/>
      </rPr>
      <t>号储藏室</t>
    </r>
  </si>
  <si>
    <r>
      <t>15-29</t>
    </r>
    <r>
      <rPr>
        <sz val="10"/>
        <color theme="1"/>
        <rFont val="华文细黑"/>
        <family val="3"/>
        <charset val="134"/>
      </rPr>
      <t>号储藏室</t>
    </r>
  </si>
  <si>
    <r>
      <t>15-2</t>
    </r>
    <r>
      <rPr>
        <sz val="10"/>
        <color theme="1"/>
        <rFont val="华文细黑"/>
        <family val="3"/>
        <charset val="134"/>
      </rPr>
      <t>号储藏室</t>
    </r>
  </si>
  <si>
    <r>
      <t>15-30</t>
    </r>
    <r>
      <rPr>
        <sz val="10"/>
        <color theme="1"/>
        <rFont val="华文细黑"/>
        <family val="3"/>
        <charset val="134"/>
      </rPr>
      <t>号储藏室</t>
    </r>
  </si>
  <si>
    <r>
      <t>15-31</t>
    </r>
    <r>
      <rPr>
        <sz val="10"/>
        <color theme="1"/>
        <rFont val="华文细黑"/>
        <family val="3"/>
        <charset val="134"/>
      </rPr>
      <t>号储藏室</t>
    </r>
  </si>
  <si>
    <r>
      <t>15-32</t>
    </r>
    <r>
      <rPr>
        <sz val="10"/>
        <color theme="1"/>
        <rFont val="华文细黑"/>
        <family val="3"/>
        <charset val="134"/>
      </rPr>
      <t>号储藏室</t>
    </r>
  </si>
  <si>
    <r>
      <t>15-33</t>
    </r>
    <r>
      <rPr>
        <sz val="10"/>
        <color theme="1"/>
        <rFont val="华文细黑"/>
        <family val="3"/>
        <charset val="134"/>
      </rPr>
      <t>号储藏室</t>
    </r>
  </si>
  <si>
    <r>
      <t>15-34</t>
    </r>
    <r>
      <rPr>
        <sz val="10"/>
        <color theme="1"/>
        <rFont val="华文细黑"/>
        <family val="3"/>
        <charset val="134"/>
      </rPr>
      <t>号储藏室</t>
    </r>
  </si>
  <si>
    <r>
      <t>15-35</t>
    </r>
    <r>
      <rPr>
        <sz val="10"/>
        <color theme="1"/>
        <rFont val="华文细黑"/>
        <family val="3"/>
        <charset val="134"/>
      </rPr>
      <t>号储藏室</t>
    </r>
  </si>
  <si>
    <r>
      <t>15-3</t>
    </r>
    <r>
      <rPr>
        <sz val="10"/>
        <color theme="1"/>
        <rFont val="华文细黑"/>
        <family val="3"/>
        <charset val="134"/>
      </rPr>
      <t>号储藏室</t>
    </r>
  </si>
  <si>
    <r>
      <t>15-4</t>
    </r>
    <r>
      <rPr>
        <sz val="10"/>
        <color theme="1"/>
        <rFont val="华文细黑"/>
        <family val="3"/>
        <charset val="134"/>
      </rPr>
      <t>号储藏室</t>
    </r>
  </si>
  <si>
    <r>
      <t>15-5</t>
    </r>
    <r>
      <rPr>
        <sz val="10"/>
        <color theme="1"/>
        <rFont val="华文细黑"/>
        <family val="3"/>
        <charset val="134"/>
      </rPr>
      <t>号储藏室</t>
    </r>
  </si>
  <si>
    <r>
      <t>15-6</t>
    </r>
    <r>
      <rPr>
        <sz val="10"/>
        <color theme="1"/>
        <rFont val="华文细黑"/>
        <family val="3"/>
        <charset val="134"/>
      </rPr>
      <t>号储藏室</t>
    </r>
  </si>
  <si>
    <r>
      <t>15-7</t>
    </r>
    <r>
      <rPr>
        <sz val="10"/>
        <color theme="1"/>
        <rFont val="华文细黑"/>
        <family val="3"/>
        <charset val="134"/>
      </rPr>
      <t>号储藏室</t>
    </r>
  </si>
  <si>
    <r>
      <t>15-8</t>
    </r>
    <r>
      <rPr>
        <sz val="10"/>
        <color theme="1"/>
        <rFont val="华文细黑"/>
        <family val="3"/>
        <charset val="134"/>
      </rPr>
      <t>号储藏室</t>
    </r>
  </si>
  <si>
    <r>
      <t>15-9</t>
    </r>
    <r>
      <rPr>
        <sz val="10"/>
        <color theme="1"/>
        <rFont val="华文细黑"/>
        <family val="3"/>
        <charset val="134"/>
      </rPr>
      <t>号储藏室</t>
    </r>
  </si>
  <si>
    <r>
      <t>16</t>
    </r>
    <r>
      <rPr>
        <sz val="10"/>
        <color theme="1"/>
        <rFont val="华文细黑"/>
        <family val="3"/>
        <charset val="134"/>
      </rPr>
      <t>号</t>
    </r>
    <phoneticPr fontId="255" type="noConversion"/>
  </si>
  <si>
    <r>
      <t>16-10</t>
    </r>
    <r>
      <rPr>
        <sz val="10"/>
        <color theme="1"/>
        <rFont val="华文细黑"/>
        <family val="3"/>
        <charset val="134"/>
      </rPr>
      <t>号储藏室</t>
    </r>
  </si>
  <si>
    <r>
      <t>16-11</t>
    </r>
    <r>
      <rPr>
        <sz val="10"/>
        <color theme="1"/>
        <rFont val="华文细黑"/>
        <family val="3"/>
        <charset val="134"/>
      </rPr>
      <t>号储藏室</t>
    </r>
  </si>
  <si>
    <r>
      <t>16-12</t>
    </r>
    <r>
      <rPr>
        <sz val="10"/>
        <color theme="1"/>
        <rFont val="华文细黑"/>
        <family val="3"/>
        <charset val="134"/>
      </rPr>
      <t>号储藏室</t>
    </r>
  </si>
  <si>
    <r>
      <t>16-13</t>
    </r>
    <r>
      <rPr>
        <sz val="10"/>
        <color theme="1"/>
        <rFont val="华文细黑"/>
        <family val="3"/>
        <charset val="134"/>
      </rPr>
      <t>号储藏室</t>
    </r>
  </si>
  <si>
    <r>
      <t>16-14</t>
    </r>
    <r>
      <rPr>
        <sz val="10"/>
        <color theme="1"/>
        <rFont val="华文细黑"/>
        <family val="3"/>
        <charset val="134"/>
      </rPr>
      <t>号储藏室</t>
    </r>
  </si>
  <si>
    <r>
      <t>16-15</t>
    </r>
    <r>
      <rPr>
        <sz val="10"/>
        <color theme="1"/>
        <rFont val="华文细黑"/>
        <family val="3"/>
        <charset val="134"/>
      </rPr>
      <t>号储藏室</t>
    </r>
  </si>
  <si>
    <r>
      <t>16-16</t>
    </r>
    <r>
      <rPr>
        <sz val="10"/>
        <color theme="1"/>
        <rFont val="华文细黑"/>
        <family val="3"/>
        <charset val="134"/>
      </rPr>
      <t>号储藏室</t>
    </r>
  </si>
  <si>
    <r>
      <t>16-17</t>
    </r>
    <r>
      <rPr>
        <sz val="10"/>
        <color theme="1"/>
        <rFont val="华文细黑"/>
        <family val="3"/>
        <charset val="134"/>
      </rPr>
      <t>号储藏室</t>
    </r>
  </si>
  <si>
    <r>
      <t>16-18</t>
    </r>
    <r>
      <rPr>
        <sz val="10"/>
        <color theme="1"/>
        <rFont val="华文细黑"/>
        <family val="3"/>
        <charset val="134"/>
      </rPr>
      <t>号储藏室</t>
    </r>
  </si>
  <si>
    <r>
      <t>16</t>
    </r>
    <r>
      <rPr>
        <sz val="10"/>
        <color theme="1"/>
        <rFont val="华文细黑"/>
        <family val="3"/>
        <charset val="134"/>
      </rPr>
      <t>号</t>
    </r>
    <phoneticPr fontId="255" type="noConversion"/>
  </si>
  <si>
    <r>
      <t>16-1</t>
    </r>
    <r>
      <rPr>
        <sz val="10"/>
        <color theme="1"/>
        <rFont val="华文细黑"/>
        <family val="3"/>
        <charset val="134"/>
      </rPr>
      <t>号储藏室</t>
    </r>
  </si>
  <si>
    <r>
      <t>16-2</t>
    </r>
    <r>
      <rPr>
        <sz val="10"/>
        <color theme="1"/>
        <rFont val="华文细黑"/>
        <family val="3"/>
        <charset val="134"/>
      </rPr>
      <t>号储藏室</t>
    </r>
  </si>
  <si>
    <r>
      <t>16-3</t>
    </r>
    <r>
      <rPr>
        <sz val="10"/>
        <color theme="1"/>
        <rFont val="华文细黑"/>
        <family val="3"/>
        <charset val="134"/>
      </rPr>
      <t>号储藏室</t>
    </r>
  </si>
  <si>
    <r>
      <t>16-4</t>
    </r>
    <r>
      <rPr>
        <sz val="10"/>
        <color theme="1"/>
        <rFont val="华文细黑"/>
        <family val="3"/>
        <charset val="134"/>
      </rPr>
      <t>号储藏室</t>
    </r>
  </si>
  <si>
    <r>
      <t>16-5</t>
    </r>
    <r>
      <rPr>
        <sz val="10"/>
        <color theme="1"/>
        <rFont val="华文细黑"/>
        <family val="3"/>
        <charset val="134"/>
      </rPr>
      <t>号储藏室</t>
    </r>
  </si>
  <si>
    <r>
      <t>16-6</t>
    </r>
    <r>
      <rPr>
        <sz val="10"/>
        <color theme="1"/>
        <rFont val="华文细黑"/>
        <family val="3"/>
        <charset val="134"/>
      </rPr>
      <t>号储藏室</t>
    </r>
  </si>
  <si>
    <r>
      <t>16-7</t>
    </r>
    <r>
      <rPr>
        <sz val="10"/>
        <color theme="1"/>
        <rFont val="华文细黑"/>
        <family val="3"/>
        <charset val="134"/>
      </rPr>
      <t>号储藏室</t>
    </r>
  </si>
  <si>
    <r>
      <t>16-8</t>
    </r>
    <r>
      <rPr>
        <sz val="10"/>
        <color theme="1"/>
        <rFont val="华文细黑"/>
        <family val="3"/>
        <charset val="134"/>
      </rPr>
      <t>号储藏室</t>
    </r>
  </si>
  <si>
    <r>
      <t>16-9</t>
    </r>
    <r>
      <rPr>
        <sz val="10"/>
        <color theme="1"/>
        <rFont val="华文细黑"/>
        <family val="3"/>
        <charset val="134"/>
      </rPr>
      <t>号储藏室</t>
    </r>
  </si>
  <si>
    <r>
      <rPr>
        <sz val="10"/>
        <color theme="1"/>
        <rFont val="华文细黑"/>
        <family val="3"/>
        <charset val="134"/>
      </rPr>
      <t>乌山路</t>
    </r>
    <r>
      <rPr>
        <sz val="10"/>
        <color theme="1"/>
        <rFont val="Arial"/>
        <family val="2"/>
      </rPr>
      <t>170-2</t>
    </r>
    <phoneticPr fontId="255" type="noConversion"/>
  </si>
  <si>
    <r>
      <rPr>
        <sz val="10"/>
        <color theme="1"/>
        <rFont val="华文细黑"/>
        <family val="3"/>
        <charset val="134"/>
      </rPr>
      <t>商业</t>
    </r>
    <phoneticPr fontId="255" type="noConversion"/>
  </si>
  <si>
    <r>
      <rPr>
        <sz val="10"/>
        <color theme="1"/>
        <rFont val="华文细黑"/>
        <family val="3"/>
        <charset val="134"/>
      </rPr>
      <t>乌山路</t>
    </r>
    <r>
      <rPr>
        <sz val="10"/>
        <color theme="1"/>
        <rFont val="Arial"/>
        <family val="2"/>
      </rPr>
      <t>170-3</t>
    </r>
    <phoneticPr fontId="255" type="noConversion"/>
  </si>
  <si>
    <r>
      <rPr>
        <sz val="10"/>
        <color theme="1"/>
        <rFont val="华文细黑"/>
        <family val="3"/>
        <charset val="134"/>
      </rPr>
      <t>乌山路</t>
    </r>
    <r>
      <rPr>
        <sz val="10"/>
        <color theme="1"/>
        <rFont val="Arial"/>
        <family val="2"/>
      </rPr>
      <t>170-4</t>
    </r>
    <phoneticPr fontId="255" type="noConversion"/>
  </si>
  <si>
    <r>
      <rPr>
        <sz val="10"/>
        <color theme="1"/>
        <rFont val="华文细黑"/>
        <family val="3"/>
        <charset val="134"/>
      </rPr>
      <t>乌山路</t>
    </r>
    <r>
      <rPr>
        <sz val="10"/>
        <color theme="1"/>
        <rFont val="Arial"/>
        <family val="2"/>
      </rPr>
      <t>170-5</t>
    </r>
    <phoneticPr fontId="255" type="noConversion"/>
  </si>
  <si>
    <r>
      <rPr>
        <sz val="10"/>
        <color theme="1"/>
        <rFont val="华文细黑"/>
        <family val="3"/>
        <charset val="134"/>
      </rPr>
      <t>乌山路</t>
    </r>
    <r>
      <rPr>
        <sz val="10"/>
        <color theme="1"/>
        <rFont val="Arial"/>
        <family val="2"/>
      </rPr>
      <t>170-6</t>
    </r>
  </si>
  <si>
    <r>
      <rPr>
        <sz val="10"/>
        <color theme="1"/>
        <rFont val="华文细黑"/>
        <family val="3"/>
        <charset val="134"/>
      </rPr>
      <t>乌山路</t>
    </r>
    <r>
      <rPr>
        <sz val="10"/>
        <color theme="1"/>
        <rFont val="Arial"/>
        <family val="2"/>
      </rPr>
      <t>170</t>
    </r>
    <r>
      <rPr>
        <sz val="10"/>
        <color theme="1"/>
        <rFont val="华文细黑"/>
        <family val="3"/>
        <charset val="134"/>
      </rPr>
      <t>号、</t>
    </r>
    <r>
      <rPr>
        <sz val="10"/>
        <color theme="1"/>
        <rFont val="Arial"/>
        <family val="2"/>
      </rPr>
      <t>172</t>
    </r>
    <r>
      <rPr>
        <sz val="10"/>
        <color theme="1"/>
        <rFont val="华文细黑"/>
        <family val="3"/>
        <charset val="134"/>
      </rPr>
      <t>号、</t>
    </r>
    <r>
      <rPr>
        <sz val="10"/>
        <color theme="1"/>
        <rFont val="Arial"/>
        <family val="2"/>
      </rPr>
      <t>174</t>
    </r>
    <r>
      <rPr>
        <sz val="10"/>
        <color theme="1"/>
        <rFont val="华文细黑"/>
        <family val="3"/>
        <charset val="134"/>
      </rPr>
      <t>号</t>
    </r>
    <r>
      <rPr>
        <sz val="10"/>
        <color theme="1"/>
        <rFont val="Arial"/>
        <family val="2"/>
      </rPr>
      <t>170-1</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</si>
  <si>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176</t>
    </r>
    <r>
      <rPr>
        <sz val="10"/>
        <color theme="1"/>
        <rFont val="华文细黑"/>
        <family val="3"/>
        <charset val="134"/>
      </rPr>
      <t>号</t>
    </r>
    <phoneticPr fontId="255" type="noConversion"/>
  </si>
  <si>
    <r>
      <rPr>
        <sz val="10"/>
        <color theme="1"/>
        <rFont val="华文细黑"/>
        <family val="3"/>
        <charset val="134"/>
      </rPr>
      <t>乌山路</t>
    </r>
    <r>
      <rPr>
        <sz val="10"/>
        <color theme="1"/>
        <rFont val="Arial"/>
        <family val="2"/>
      </rPr>
      <t>178</t>
    </r>
    <r>
      <rPr>
        <sz val="10"/>
        <color theme="1"/>
        <rFont val="华文细黑"/>
        <family val="3"/>
        <charset val="134"/>
      </rPr>
      <t>号</t>
    </r>
    <phoneticPr fontId="255" type="noConversion"/>
  </si>
  <si>
    <r>
      <rPr>
        <sz val="10"/>
        <color theme="1"/>
        <rFont val="华文细黑"/>
        <family val="3"/>
        <charset val="134"/>
      </rPr>
      <t>商业</t>
    </r>
    <phoneticPr fontId="255" type="noConversion"/>
  </si>
  <si>
    <t>——</t>
    <phoneticPr fontId="255" type="noConversion"/>
  </si>
  <si>
    <r>
      <t>16</t>
    </r>
    <r>
      <rPr>
        <sz val="10"/>
        <color theme="1"/>
        <rFont val="华文细黑"/>
        <family val="3"/>
        <charset val="134"/>
      </rPr>
      <t>号</t>
    </r>
    <phoneticPr fontId="255" type="noConversion"/>
  </si>
  <si>
    <r>
      <rPr>
        <sz val="10"/>
        <color theme="1"/>
        <rFont val="华文细黑"/>
        <family val="3"/>
        <charset val="134"/>
      </rPr>
      <t>住宅区</t>
    </r>
    <phoneticPr fontId="255" type="noConversion"/>
  </si>
  <si>
    <r>
      <rPr>
        <sz val="10"/>
        <color theme="1"/>
        <rFont val="华文细黑"/>
        <family val="3"/>
        <charset val="134"/>
      </rPr>
      <t>洋房</t>
    </r>
    <phoneticPr fontId="255" type="noConversion"/>
  </si>
  <si>
    <r>
      <t>17</t>
    </r>
    <r>
      <rPr>
        <sz val="10"/>
        <color theme="1"/>
        <rFont val="华文细黑"/>
        <family val="3"/>
        <charset val="134"/>
      </rPr>
      <t>号</t>
    </r>
    <phoneticPr fontId="255" type="noConversion"/>
  </si>
  <si>
    <r>
      <rPr>
        <sz val="10"/>
        <color theme="1"/>
        <rFont val="华文细黑"/>
        <family val="3"/>
        <charset val="134"/>
      </rPr>
      <t>高层</t>
    </r>
    <phoneticPr fontId="255" type="noConversion"/>
  </si>
  <si>
    <r>
      <t>18</t>
    </r>
    <r>
      <rPr>
        <sz val="10"/>
        <color theme="1"/>
        <rFont val="华文细黑"/>
        <family val="3"/>
        <charset val="134"/>
      </rPr>
      <t>号</t>
    </r>
    <phoneticPr fontId="255" type="noConversion"/>
  </si>
  <si>
    <r>
      <t>19</t>
    </r>
    <r>
      <rPr>
        <sz val="10"/>
        <color theme="1"/>
        <rFont val="华文细黑"/>
        <family val="3"/>
        <charset val="134"/>
      </rPr>
      <t>号</t>
    </r>
    <phoneticPr fontId="255" type="noConversion"/>
  </si>
  <si>
    <r>
      <t>20</t>
    </r>
    <r>
      <rPr>
        <sz val="10"/>
        <color theme="1"/>
        <rFont val="华文细黑"/>
        <family val="3"/>
        <charset val="134"/>
      </rPr>
      <t>号</t>
    </r>
    <phoneticPr fontId="255" type="noConversion"/>
  </si>
  <si>
    <t>地下车库</t>
    <phoneticPr fontId="255" type="noConversion"/>
  </si>
  <si>
    <t>A001号车位</t>
    <phoneticPr fontId="255" type="noConversion"/>
  </si>
  <si>
    <t>车库</t>
    <phoneticPr fontId="255" type="noConversion"/>
  </si>
  <si>
    <t>A002号车位</t>
  </si>
  <si>
    <t>A003号车位</t>
  </si>
  <si>
    <t>A004号车位</t>
  </si>
  <si>
    <t>A005号车位</t>
  </si>
  <si>
    <t>A006号车位</t>
  </si>
  <si>
    <t>A007号车位</t>
  </si>
  <si>
    <t>A008号车位</t>
  </si>
  <si>
    <t>A009号车位</t>
  </si>
  <si>
    <t>A011号车位</t>
  </si>
  <si>
    <t>A012号车位</t>
  </si>
  <si>
    <t>A013号车位</t>
  </si>
  <si>
    <t>A015号车位</t>
  </si>
  <si>
    <t>A016号车位</t>
  </si>
  <si>
    <t>A017号车位</t>
  </si>
  <si>
    <t>A018号车位</t>
  </si>
  <si>
    <t>A019号车位</t>
  </si>
  <si>
    <t>A020号车位</t>
  </si>
  <si>
    <t>A021号车位</t>
  </si>
  <si>
    <t>A022号车位</t>
  </si>
  <si>
    <t>A023号车位</t>
  </si>
  <si>
    <t>A024号车位</t>
  </si>
  <si>
    <t>车库</t>
    <phoneticPr fontId="255" type="noConversion"/>
  </si>
  <si>
    <t>地下车库</t>
    <phoneticPr fontId="255" type="noConversion"/>
  </si>
  <si>
    <t>A025号车位</t>
  </si>
  <si>
    <t>A026号车位</t>
  </si>
  <si>
    <t>A027号车位</t>
  </si>
  <si>
    <t>A028号车位</t>
  </si>
  <si>
    <t>A029号车位</t>
  </si>
  <si>
    <t>A030号车位</t>
  </si>
  <si>
    <t>A031号车位</t>
  </si>
  <si>
    <t>A032号车位</t>
  </si>
  <si>
    <t>A033号车位</t>
  </si>
  <si>
    <t>A034号车位</t>
  </si>
  <si>
    <t>A035号车位</t>
  </si>
  <si>
    <t>A036号车位</t>
  </si>
  <si>
    <t>A037号车位</t>
  </si>
  <si>
    <t>A038号车位</t>
  </si>
  <si>
    <t>A039号车位</t>
  </si>
  <si>
    <t>A040号车位</t>
  </si>
  <si>
    <t>A041号车位</t>
  </si>
  <si>
    <t>A042号车位</t>
  </si>
  <si>
    <t>A043号车位</t>
  </si>
  <si>
    <t>A044号车位</t>
  </si>
  <si>
    <t>A045号车位</t>
  </si>
  <si>
    <t>车库</t>
    <phoneticPr fontId="255" type="noConversion"/>
  </si>
  <si>
    <t>地下车库</t>
    <phoneticPr fontId="255" type="noConversion"/>
  </si>
  <si>
    <t>A046号车位</t>
  </si>
  <si>
    <t>A047号车位</t>
  </si>
  <si>
    <t>A048号车位</t>
  </si>
  <si>
    <t>A049号车位</t>
  </si>
  <si>
    <t>A050号车位</t>
  </si>
  <si>
    <t>A051号车位</t>
  </si>
  <si>
    <t>A052号车位</t>
  </si>
  <si>
    <t>A053号车位</t>
  </si>
  <si>
    <t>A054号车位</t>
  </si>
  <si>
    <t>A055号车位</t>
  </si>
  <si>
    <t>A056号车位</t>
  </si>
  <si>
    <t>A057号车位</t>
  </si>
  <si>
    <t>A058号车位</t>
  </si>
  <si>
    <t>A059号车位</t>
  </si>
  <si>
    <t>A060号车位</t>
  </si>
  <si>
    <t>A061号车位</t>
  </si>
  <si>
    <t>A062号车位</t>
  </si>
  <si>
    <t>A063号车位</t>
  </si>
  <si>
    <t>A064号车位</t>
  </si>
  <si>
    <t>A065号车位</t>
  </si>
  <si>
    <t>A066号车位</t>
  </si>
  <si>
    <t>A067号车位</t>
  </si>
  <si>
    <t>A068号车位</t>
  </si>
  <si>
    <t>A069号车位</t>
  </si>
  <si>
    <t>A070号车位</t>
  </si>
  <si>
    <t>A071号车位</t>
  </si>
  <si>
    <t>A072号车位</t>
  </si>
  <si>
    <t>A073号车位</t>
  </si>
  <si>
    <t>A074号车位</t>
  </si>
  <si>
    <t>A075号车位</t>
  </si>
  <si>
    <t>A076号车位</t>
  </si>
  <si>
    <t>A077号车位</t>
  </si>
  <si>
    <t>A078号车位</t>
  </si>
  <si>
    <t>A079号车位</t>
  </si>
  <si>
    <t>A080号车位</t>
  </si>
  <si>
    <t>A081号车位</t>
  </si>
  <si>
    <t>A082号车位</t>
  </si>
  <si>
    <t>A083号车位</t>
  </si>
  <si>
    <t>A084号车位</t>
  </si>
  <si>
    <t>A085号车位</t>
  </si>
  <si>
    <t>A086号车位</t>
  </si>
  <si>
    <t>A087号车位</t>
  </si>
  <si>
    <t>A088号车位</t>
  </si>
  <si>
    <t>A089号车位</t>
  </si>
  <si>
    <t>A090号车位</t>
  </si>
  <si>
    <t>A091号车位</t>
  </si>
  <si>
    <t>A092号车位</t>
  </si>
  <si>
    <t>A093号车位</t>
  </si>
  <si>
    <t>A094号车位</t>
  </si>
  <si>
    <t>A095号车位</t>
  </si>
  <si>
    <t>A096号车位</t>
  </si>
  <si>
    <t>A097号车位</t>
  </si>
  <si>
    <t>A098号车位</t>
  </si>
  <si>
    <t>A099号车位</t>
  </si>
  <si>
    <t>A100号车位</t>
  </si>
  <si>
    <t>A101号车位</t>
  </si>
  <si>
    <t>A102号车位</t>
  </si>
  <si>
    <t>A103号车位</t>
  </si>
  <si>
    <t>车库</t>
    <phoneticPr fontId="255" type="noConversion"/>
  </si>
  <si>
    <t>地下车库</t>
    <phoneticPr fontId="255" type="noConversion"/>
  </si>
  <si>
    <t>A104号车位</t>
  </si>
  <si>
    <t>A105号车位</t>
  </si>
  <si>
    <t>A106号车位</t>
  </si>
  <si>
    <t>A107号车位</t>
  </si>
  <si>
    <t>A108号车位</t>
  </si>
  <si>
    <t>A109号车位</t>
  </si>
  <si>
    <t>A110号车位</t>
  </si>
  <si>
    <t>A111号车位</t>
  </si>
  <si>
    <t>A112号车位</t>
  </si>
  <si>
    <t>A113号车位</t>
  </si>
  <si>
    <t>A114号车位</t>
  </si>
  <si>
    <t>A115号车位</t>
  </si>
  <si>
    <t>A116号车位</t>
  </si>
  <si>
    <t>A117号车位</t>
  </si>
  <si>
    <t>A118号车位</t>
  </si>
  <si>
    <t>A119号车位</t>
  </si>
  <si>
    <t>车库</t>
    <phoneticPr fontId="255" type="noConversion"/>
  </si>
  <si>
    <t>地下车库</t>
    <phoneticPr fontId="255" type="noConversion"/>
  </si>
  <si>
    <t>A120号车位</t>
  </si>
  <si>
    <t>A121号车位</t>
  </si>
  <si>
    <t>A122号车位</t>
  </si>
  <si>
    <t>A123号车位</t>
  </si>
  <si>
    <t>A124号车位</t>
  </si>
  <si>
    <t>A125号车位</t>
  </si>
  <si>
    <t>A126号车位</t>
  </si>
  <si>
    <t>A127号车位</t>
  </si>
  <si>
    <t>A128号车位</t>
  </si>
  <si>
    <t>A129号车位</t>
  </si>
  <si>
    <t>A130号车位</t>
  </si>
  <si>
    <t>A131号车位</t>
  </si>
  <si>
    <t>A132号车位</t>
  </si>
  <si>
    <t>A133号车位</t>
  </si>
  <si>
    <t>A134号车位</t>
  </si>
  <si>
    <t>A135号车位</t>
  </si>
  <si>
    <t>A136号车位</t>
  </si>
  <si>
    <t>A137号车位</t>
  </si>
  <si>
    <t>A138号车位</t>
  </si>
  <si>
    <t>A139号车位</t>
  </si>
  <si>
    <t>A140号车位</t>
  </si>
  <si>
    <t>A141号车位</t>
  </si>
  <si>
    <t>A142号车位</t>
  </si>
  <si>
    <t>A143号车位</t>
  </si>
  <si>
    <t>A144号车位</t>
  </si>
  <si>
    <t>A145号车位</t>
  </si>
  <si>
    <t>A146号车位</t>
  </si>
  <si>
    <t>A147号车位</t>
  </si>
  <si>
    <t>A148号车位</t>
  </si>
  <si>
    <t>A149号车位</t>
  </si>
  <si>
    <t>A150号车位</t>
  </si>
  <si>
    <t>A151号车位</t>
  </si>
  <si>
    <t>A152号车位</t>
  </si>
  <si>
    <t>A153号车位</t>
  </si>
  <si>
    <t>A154号车位</t>
  </si>
  <si>
    <t>A155号车位</t>
  </si>
  <si>
    <t>A156号车位</t>
  </si>
  <si>
    <t>A157号车位</t>
  </si>
  <si>
    <t>A158号车位</t>
  </si>
  <si>
    <t>A159号车位</t>
  </si>
  <si>
    <t>A160号车位</t>
  </si>
  <si>
    <t>A161号车位</t>
  </si>
  <si>
    <t>A162号车位</t>
  </si>
  <si>
    <t>A163号车位</t>
  </si>
  <si>
    <t>A166号车位</t>
  </si>
  <si>
    <t>A167号车位</t>
  </si>
  <si>
    <t>A168号车位</t>
  </si>
  <si>
    <t>A169号车位</t>
  </si>
  <si>
    <t>A170号车位</t>
  </si>
  <si>
    <t>A171号车位</t>
  </si>
  <si>
    <t>A172号车位</t>
  </si>
  <si>
    <t>A173号车位</t>
  </si>
  <si>
    <t>A174号车位</t>
  </si>
  <si>
    <t>A175号车位</t>
  </si>
  <si>
    <t>A176号车位</t>
  </si>
  <si>
    <t>A177号车位</t>
  </si>
  <si>
    <t>A178号车位</t>
  </si>
  <si>
    <t>A179号车位</t>
  </si>
  <si>
    <t>A180号车位</t>
  </si>
  <si>
    <t>A181号车位</t>
  </si>
  <si>
    <t>A182号车位</t>
  </si>
  <si>
    <t>A183号车位</t>
  </si>
  <si>
    <t>A184号车位</t>
  </si>
  <si>
    <t>A185号车位</t>
  </si>
  <si>
    <t>A186号车位</t>
  </si>
  <si>
    <t>A187号车位</t>
  </si>
  <si>
    <t>A188号车位</t>
  </si>
  <si>
    <t>A189号车位</t>
  </si>
  <si>
    <t>A190号车位</t>
  </si>
  <si>
    <t>A191号车位</t>
  </si>
  <si>
    <t>A192号车位</t>
  </si>
  <si>
    <t>A193号车位</t>
  </si>
  <si>
    <t>A194号车位</t>
  </si>
  <si>
    <t>A195号车位</t>
  </si>
  <si>
    <t>A196号车位</t>
  </si>
  <si>
    <t>A197号车位</t>
  </si>
  <si>
    <t>A198号车位</t>
  </si>
  <si>
    <t>A199号车位</t>
  </si>
  <si>
    <t>A201号车位</t>
  </si>
  <si>
    <t>A202号车位</t>
  </si>
  <si>
    <t>A203号车位</t>
  </si>
  <si>
    <t>A204号车位</t>
  </si>
  <si>
    <t>A205号车位</t>
  </si>
  <si>
    <t>A206号车位</t>
  </si>
  <si>
    <t>A207号车位</t>
  </si>
  <si>
    <t>A208号车位</t>
  </si>
  <si>
    <t>A209号车位</t>
  </si>
  <si>
    <t>A210号车位</t>
  </si>
  <si>
    <t>A211号车位</t>
  </si>
  <si>
    <t>A212号车位</t>
  </si>
  <si>
    <t>A213号车位</t>
  </si>
  <si>
    <t>A214号车位</t>
  </si>
  <si>
    <t>A215号车位</t>
  </si>
  <si>
    <t>A216号车位</t>
  </si>
  <si>
    <t>A217号车位</t>
  </si>
  <si>
    <t>A218号车位</t>
  </si>
  <si>
    <t>A219号车位</t>
  </si>
  <si>
    <t>A220号车位</t>
  </si>
  <si>
    <t>A221号车位</t>
  </si>
  <si>
    <t>A222号车位</t>
  </si>
  <si>
    <t>A223号车位</t>
  </si>
  <si>
    <t>A224号车位</t>
  </si>
  <si>
    <t>A225号车位</t>
  </si>
  <si>
    <t>A226号车位</t>
  </si>
  <si>
    <t>A227号车位</t>
  </si>
  <si>
    <t>A228号车位</t>
  </si>
  <si>
    <t>A229号车位</t>
  </si>
  <si>
    <t>A230号车位</t>
  </si>
  <si>
    <t>A231号车位</t>
  </si>
  <si>
    <t>A232号车位</t>
  </si>
  <si>
    <t>A233号车位</t>
  </si>
  <si>
    <t>A234号车位</t>
  </si>
  <si>
    <t>A235号车位</t>
  </si>
  <si>
    <t>A236号车位</t>
  </si>
  <si>
    <t>A237号车位</t>
  </si>
  <si>
    <t>A238号车位</t>
  </si>
  <si>
    <t>A239号车位</t>
  </si>
  <si>
    <t>A240号车位</t>
  </si>
  <si>
    <t>A241号车位</t>
  </si>
  <si>
    <t>A242号车位</t>
  </si>
  <si>
    <t>A243号车位</t>
  </si>
  <si>
    <t>A244号车位</t>
  </si>
  <si>
    <t>A245号车位</t>
  </si>
  <si>
    <t>A247号车位</t>
  </si>
  <si>
    <t>A248号车位</t>
  </si>
  <si>
    <t>A249号车位</t>
  </si>
  <si>
    <t>A250号车位</t>
  </si>
  <si>
    <t>A251号车位</t>
  </si>
  <si>
    <t>A252号车位</t>
  </si>
  <si>
    <t>A253号车位</t>
  </si>
  <si>
    <t>A254号车位</t>
  </si>
  <si>
    <t>A255号车位</t>
  </si>
  <si>
    <t>A256号车位</t>
  </si>
  <si>
    <t>A258号车位</t>
  </si>
  <si>
    <t>A259号车位</t>
  </si>
  <si>
    <t>A260号车位</t>
  </si>
  <si>
    <t>A261号车位</t>
  </si>
  <si>
    <t>A262号车位</t>
  </si>
  <si>
    <t>A263号车位</t>
  </si>
  <si>
    <t>A264号车位</t>
  </si>
  <si>
    <t>A265号车位</t>
  </si>
  <si>
    <t>A266号车位</t>
  </si>
  <si>
    <t>A267号车位</t>
  </si>
  <si>
    <t>A268号车位</t>
  </si>
  <si>
    <t>A269号车位</t>
  </si>
  <si>
    <t>A270号车位</t>
  </si>
  <si>
    <t>A271号车位</t>
  </si>
  <si>
    <t>A272号车位</t>
  </si>
  <si>
    <t>A273号车位</t>
  </si>
  <si>
    <t>A274号车位</t>
  </si>
  <si>
    <t>A275号车位</t>
  </si>
  <si>
    <t>A276号车位</t>
  </si>
  <si>
    <t>A277号车位</t>
  </si>
  <si>
    <t>A278号车位</t>
  </si>
  <si>
    <t>A279号车位</t>
  </si>
  <si>
    <t>A280号车位</t>
  </si>
  <si>
    <t>A281号车位</t>
  </si>
  <si>
    <t>A282号车位</t>
  </si>
  <si>
    <t>A283号车位</t>
  </si>
  <si>
    <t>A284号车位</t>
  </si>
  <si>
    <t>A285号车位</t>
  </si>
  <si>
    <t>A286号车位</t>
  </si>
  <si>
    <t>A287号车位</t>
  </si>
  <si>
    <t>A288号车位</t>
  </si>
  <si>
    <t>A289号车位</t>
  </si>
  <si>
    <t>A290号车位</t>
  </si>
  <si>
    <t>A291号车位</t>
  </si>
  <si>
    <t>A292号车位</t>
  </si>
  <si>
    <t>A293号车位</t>
  </si>
  <si>
    <t>A294号车位</t>
  </si>
  <si>
    <t>A295号车位</t>
  </si>
  <si>
    <t>A296号车位</t>
  </si>
  <si>
    <t>A297号车位</t>
  </si>
  <si>
    <t>A298号车位</t>
  </si>
  <si>
    <t>A299号车位</t>
  </si>
  <si>
    <t>A300号车位</t>
  </si>
  <si>
    <t>A301号车位</t>
  </si>
  <si>
    <t>A302号车位</t>
  </si>
  <si>
    <t>A303号车位</t>
  </si>
  <si>
    <t>A304号车位</t>
  </si>
  <si>
    <t>A305号车位</t>
  </si>
  <si>
    <t>A306号车位</t>
  </si>
  <si>
    <t>A307号车位</t>
  </si>
  <si>
    <t>A308号车位</t>
  </si>
  <si>
    <t>A309号车位</t>
  </si>
  <si>
    <t>A310号车位</t>
  </si>
  <si>
    <t>A311号车位</t>
  </si>
  <si>
    <t>车库</t>
    <phoneticPr fontId="255" type="noConversion"/>
  </si>
  <si>
    <t>——</t>
    <phoneticPr fontId="255" type="noConversion"/>
  </si>
  <si>
    <t>地下车库</t>
    <phoneticPr fontId="255" type="noConversion"/>
  </si>
  <si>
    <t>A312号车位</t>
  </si>
  <si>
    <t>A313号车位</t>
  </si>
  <si>
    <t>A314号车位</t>
  </si>
  <si>
    <t>A315号车位</t>
  </si>
  <si>
    <t>A316号车位</t>
  </si>
  <si>
    <t>A317号车位</t>
  </si>
  <si>
    <t>A318号车位</t>
  </si>
  <si>
    <t>A319号车位</t>
  </si>
  <si>
    <t>A320号车位</t>
  </si>
  <si>
    <t>A321号车位</t>
  </si>
  <si>
    <t>A322号车位</t>
  </si>
  <si>
    <t>A323号车位</t>
  </si>
  <si>
    <t>A324号车位</t>
  </si>
  <si>
    <t>A325号车位</t>
  </si>
  <si>
    <t>A326号车位</t>
  </si>
  <si>
    <t>A327号车位</t>
  </si>
  <si>
    <t>A328号车位</t>
  </si>
  <si>
    <t>A329号车位</t>
  </si>
  <si>
    <t>A330号车位</t>
  </si>
  <si>
    <t>A331号车位</t>
  </si>
  <si>
    <t>A332号车位</t>
  </si>
  <si>
    <t>A333号车位</t>
  </si>
  <si>
    <t>A334号车位</t>
  </si>
  <si>
    <t>A335号车位</t>
  </si>
  <si>
    <t>A336号车位</t>
  </si>
  <si>
    <t>A337号车位</t>
  </si>
  <si>
    <t>A338号车位</t>
  </si>
  <si>
    <t>A339号车位</t>
  </si>
  <si>
    <t>A340号车位</t>
  </si>
  <si>
    <t>A341号车位</t>
  </si>
  <si>
    <t>A343号车位</t>
  </si>
  <si>
    <t>A344号车位</t>
  </si>
  <si>
    <t>A345号车位</t>
  </si>
  <si>
    <t>A346号车位</t>
  </si>
  <si>
    <t>A347号车位</t>
  </si>
  <si>
    <t>A348号车位</t>
  </si>
  <si>
    <t>A349号车位</t>
  </si>
  <si>
    <t>A350号车位</t>
  </si>
  <si>
    <t>A351号车位</t>
  </si>
  <si>
    <t>A352号车位</t>
  </si>
  <si>
    <t>A354号车位</t>
  </si>
  <si>
    <t>A355号车位</t>
  </si>
  <si>
    <t>A356号车位</t>
  </si>
  <si>
    <t>A357号车位</t>
  </si>
  <si>
    <t>A358号车位</t>
  </si>
  <si>
    <t>A359号车位</t>
  </si>
  <si>
    <t>A360号车位</t>
  </si>
  <si>
    <t>A361号车位</t>
  </si>
  <si>
    <t>A362号车位</t>
  </si>
  <si>
    <t>A363号车位</t>
  </si>
  <si>
    <t>A364号车位</t>
  </si>
  <si>
    <t>A365号车位</t>
  </si>
  <si>
    <t>A366号车位</t>
  </si>
  <si>
    <t>A367号车位</t>
  </si>
  <si>
    <t>A369号车位</t>
  </si>
  <si>
    <t>A370号车位</t>
  </si>
  <si>
    <t>A371号车位</t>
  </si>
  <si>
    <t>A372号车位</t>
  </si>
  <si>
    <t>A373号车位</t>
  </si>
  <si>
    <t>A374号车位</t>
  </si>
  <si>
    <t>A375号车位</t>
  </si>
  <si>
    <t>A376号车位</t>
  </si>
  <si>
    <t>A377号车位</t>
  </si>
  <si>
    <t>A378号车位</t>
  </si>
  <si>
    <t>A379号车位</t>
  </si>
  <si>
    <t>A380号车位</t>
  </si>
  <si>
    <t>A381号车位</t>
  </si>
  <si>
    <t>A382号车位</t>
  </si>
  <si>
    <t>A383号车位</t>
  </si>
  <si>
    <t>A384号车位</t>
  </si>
  <si>
    <t>A385号车位</t>
  </si>
  <si>
    <t>A386号车位</t>
  </si>
  <si>
    <t>A387号车位</t>
  </si>
  <si>
    <t>A388号车位</t>
  </si>
  <si>
    <t>A389号车位</t>
  </si>
  <si>
    <t>A390号车位</t>
  </si>
  <si>
    <t>A391号车位</t>
  </si>
  <si>
    <t>A392号车位</t>
  </si>
  <si>
    <t>A393号车位</t>
  </si>
  <si>
    <t>A394号车位</t>
  </si>
  <si>
    <t>A395号车位</t>
  </si>
  <si>
    <t>A396号车位</t>
  </si>
  <si>
    <t>A397号车位</t>
  </si>
  <si>
    <t>A398号车位</t>
  </si>
  <si>
    <t>A399号车位</t>
  </si>
  <si>
    <t>A400号车位</t>
  </si>
  <si>
    <t>A401号车位</t>
  </si>
  <si>
    <t>A402号车位</t>
  </si>
  <si>
    <t>A403号车位</t>
  </si>
  <si>
    <t>A404号车位</t>
  </si>
  <si>
    <t>A405号车位</t>
  </si>
  <si>
    <t>A406号车位</t>
  </si>
  <si>
    <t>A407号车位</t>
  </si>
  <si>
    <t>A408号车位</t>
  </si>
  <si>
    <t>A409号车位</t>
  </si>
  <si>
    <t>A410号车位</t>
  </si>
  <si>
    <t>A411号车位</t>
  </si>
  <si>
    <t>A412号车位</t>
  </si>
  <si>
    <t>A413号车位</t>
  </si>
  <si>
    <t>A414号车位</t>
  </si>
  <si>
    <t>A415号车位</t>
  </si>
  <si>
    <t>A416号车位</t>
  </si>
  <si>
    <t>A417号车位</t>
  </si>
  <si>
    <t>A418号车位</t>
  </si>
  <si>
    <t>A419号车位</t>
  </si>
  <si>
    <t>A420号车位</t>
  </si>
  <si>
    <t>A421号车位</t>
  </si>
  <si>
    <t>A422号车位</t>
  </si>
  <si>
    <t>A423号车位</t>
  </si>
  <si>
    <t>A424号车位</t>
  </si>
  <si>
    <t>A425号车位</t>
  </si>
  <si>
    <t>A426号车位</t>
  </si>
  <si>
    <t>A427号车位</t>
  </si>
  <si>
    <t>A428号车位</t>
  </si>
  <si>
    <t>A429号车位</t>
  </si>
  <si>
    <t>A430号车位</t>
  </si>
  <si>
    <t>A431号车位</t>
  </si>
  <si>
    <t>A432号车位</t>
  </si>
  <si>
    <t>A433号车位</t>
  </si>
  <si>
    <t>A434号车位</t>
  </si>
  <si>
    <t>A435号车位</t>
  </si>
  <si>
    <t>A436号车位</t>
  </si>
  <si>
    <t>A437号车位</t>
  </si>
  <si>
    <t>A438号车位</t>
  </si>
  <si>
    <t>A439号车位</t>
  </si>
  <si>
    <t>A440号车位</t>
  </si>
  <si>
    <t>A441号车位</t>
  </si>
  <si>
    <t>A442号车位</t>
  </si>
  <si>
    <t>A443号车位</t>
  </si>
  <si>
    <t>A444号车位</t>
  </si>
  <si>
    <t>A445号车位</t>
  </si>
  <si>
    <t>A447号车位</t>
  </si>
  <si>
    <t>A448号车位</t>
  </si>
  <si>
    <t>A449号车位</t>
  </si>
  <si>
    <t>A450号车位</t>
  </si>
  <si>
    <t>A451号车位</t>
  </si>
  <si>
    <t>A452号车位</t>
  </si>
  <si>
    <t>A455号车位</t>
  </si>
  <si>
    <t>A456号车位</t>
  </si>
  <si>
    <t>A457号车位</t>
  </si>
  <si>
    <t>A458号车位</t>
  </si>
  <si>
    <t>A459号车位</t>
  </si>
  <si>
    <t>A460号车位</t>
  </si>
  <si>
    <t>A461号车位</t>
  </si>
  <si>
    <t>A462号车位</t>
  </si>
  <si>
    <t>A463号车位</t>
  </si>
  <si>
    <t>A464号车位</t>
  </si>
  <si>
    <t>A465号车位</t>
  </si>
  <si>
    <t>A466号车位</t>
  </si>
  <si>
    <t>A467号车位</t>
  </si>
  <si>
    <t>A468号车位</t>
  </si>
  <si>
    <t>A469号车位</t>
  </si>
  <si>
    <t>A470号车位</t>
  </si>
  <si>
    <t>A471号车位</t>
  </si>
  <si>
    <t>A472号车位</t>
  </si>
  <si>
    <t>A473号车位</t>
  </si>
  <si>
    <t>A474号车位</t>
  </si>
  <si>
    <t>A475号车位</t>
  </si>
  <si>
    <t>A476号车位</t>
  </si>
  <si>
    <t>A477号车位</t>
  </si>
  <si>
    <t>A478号车位</t>
  </si>
  <si>
    <t>A479号车位</t>
  </si>
  <si>
    <t>A480号车位</t>
  </si>
  <si>
    <t>A481号车位</t>
  </si>
  <si>
    <t>A482号车位</t>
  </si>
  <si>
    <t>A483号车位</t>
  </si>
  <si>
    <t>A484号车位</t>
  </si>
  <si>
    <t>A485号车位</t>
  </si>
  <si>
    <t>A486号车位</t>
  </si>
  <si>
    <t>A487号车位</t>
  </si>
  <si>
    <t>A488号车位</t>
  </si>
  <si>
    <t>A635号车位</t>
  </si>
  <si>
    <t>A636号车位</t>
  </si>
  <si>
    <t>A637号车位</t>
  </si>
  <si>
    <t>A638号车位</t>
  </si>
  <si>
    <t>A639号车位</t>
  </si>
  <si>
    <t>A640号车位</t>
  </si>
  <si>
    <t>A641号车位</t>
  </si>
  <si>
    <t>A642号车位</t>
  </si>
  <si>
    <t>A643号车位</t>
  </si>
  <si>
    <t>A644号车位</t>
  </si>
  <si>
    <t>A645号车位</t>
  </si>
  <si>
    <t>A646号车位</t>
  </si>
  <si>
    <t>A647号车位</t>
  </si>
  <si>
    <t>A648号车位</t>
  </si>
  <si>
    <t>A649号车位</t>
  </si>
  <si>
    <t>A650号车位</t>
  </si>
  <si>
    <t>A651号车位</t>
  </si>
  <si>
    <t>A652号车位</t>
  </si>
  <si>
    <t>A653号车位</t>
  </si>
  <si>
    <t>A654号车位</t>
  </si>
  <si>
    <t>A655号车位</t>
  </si>
  <si>
    <t>A656号车位</t>
  </si>
  <si>
    <t>A657号车位</t>
  </si>
  <si>
    <t>A658号车位</t>
  </si>
  <si>
    <t>A659号车位</t>
  </si>
  <si>
    <t>A660号车位</t>
  </si>
  <si>
    <t>A661号车位</t>
  </si>
  <si>
    <t>A662号车位</t>
  </si>
  <si>
    <t>A663号车位</t>
  </si>
  <si>
    <t>A664号车位</t>
  </si>
  <si>
    <t>A665号车位</t>
  </si>
  <si>
    <t>A666号车位</t>
  </si>
  <si>
    <t>A667号车位</t>
  </si>
  <si>
    <t>A668号车位</t>
  </si>
  <si>
    <t>A669号车位</t>
  </si>
  <si>
    <t>A670号车位</t>
  </si>
  <si>
    <t>A671号车位</t>
  </si>
  <si>
    <t>A672号车位</t>
  </si>
  <si>
    <t>A673号车位</t>
  </si>
  <si>
    <t>A674号车位</t>
  </si>
  <si>
    <t>A675号车位</t>
  </si>
  <si>
    <t>A676号车位</t>
  </si>
  <si>
    <t>A677号车位</t>
  </si>
  <si>
    <t>A678号车位</t>
  </si>
  <si>
    <t>A679号车位</t>
  </si>
  <si>
    <t>A680号车位</t>
  </si>
  <si>
    <t>A681号车位</t>
  </si>
  <si>
    <t>A682号车位</t>
  </si>
  <si>
    <t>A683号车位</t>
  </si>
  <si>
    <t>A684号车位</t>
  </si>
  <si>
    <t>A685号车位</t>
  </si>
  <si>
    <t>A686号车位</t>
  </si>
  <si>
    <t>A687号车位</t>
  </si>
  <si>
    <t>A688号车位</t>
  </si>
  <si>
    <t>A689号车位</t>
  </si>
  <si>
    <t>A690号车位</t>
  </si>
  <si>
    <t>A691号车位</t>
  </si>
  <si>
    <t>A692号车位</t>
  </si>
  <si>
    <t>A693号车位</t>
  </si>
  <si>
    <t>车库</t>
    <phoneticPr fontId="255" type="noConversion"/>
  </si>
  <si>
    <t>——</t>
    <phoneticPr fontId="255" type="noConversion"/>
  </si>
  <si>
    <t>地下车库</t>
    <phoneticPr fontId="255" type="noConversion"/>
  </si>
  <si>
    <t>A694号车位</t>
  </si>
  <si>
    <t>A695号车位</t>
  </si>
  <si>
    <t>A696号车位</t>
  </si>
  <si>
    <t>A697号车位</t>
  </si>
  <si>
    <t>A698号车位</t>
  </si>
  <si>
    <t>A699号车位</t>
  </si>
  <si>
    <t>A700号车位</t>
  </si>
  <si>
    <t>A701号车位</t>
  </si>
  <si>
    <t>A702号车位</t>
  </si>
  <si>
    <t>A703号车位</t>
  </si>
  <si>
    <t>A704号车位</t>
  </si>
  <si>
    <t>A705号车位</t>
  </si>
  <si>
    <t>A706号车位</t>
  </si>
  <si>
    <t>A707号车位</t>
  </si>
  <si>
    <t>A708号车位</t>
  </si>
  <si>
    <t>A709号车位</t>
  </si>
  <si>
    <t>A710号车位</t>
  </si>
  <si>
    <t>A711号车位</t>
  </si>
  <si>
    <t>A712号车位</t>
  </si>
  <si>
    <t>A713号车位</t>
  </si>
  <si>
    <t>A714号车位</t>
  </si>
  <si>
    <t>A715号车位</t>
  </si>
  <si>
    <t>A716号车位</t>
  </si>
  <si>
    <t>A717号车位</t>
  </si>
  <si>
    <t>A718号车位</t>
  </si>
  <si>
    <t>A719号车位</t>
  </si>
  <si>
    <t>A720号车位</t>
  </si>
  <si>
    <t>A721号车位</t>
  </si>
  <si>
    <t>A722号车位</t>
  </si>
  <si>
    <t>A723号车位</t>
  </si>
  <si>
    <t>A724号车位</t>
  </si>
  <si>
    <t>A725号车位</t>
  </si>
  <si>
    <t>A726号车位</t>
  </si>
  <si>
    <t>A727号车位</t>
  </si>
  <si>
    <t>A728号车位</t>
  </si>
  <si>
    <t>A729号车位</t>
  </si>
  <si>
    <t>A730号车位</t>
  </si>
  <si>
    <t>A731号车位</t>
  </si>
  <si>
    <t>A732号车位</t>
  </si>
  <si>
    <t>A733号车位</t>
  </si>
  <si>
    <t>A734号车位</t>
  </si>
  <si>
    <t>A735号车位</t>
  </si>
  <si>
    <t>A736号车位</t>
  </si>
  <si>
    <t>A737号车位</t>
  </si>
  <si>
    <t>A738号车位</t>
  </si>
  <si>
    <t>A739号车位</t>
  </si>
  <si>
    <t>A740号车位</t>
  </si>
  <si>
    <t>A741号车位</t>
  </si>
  <si>
    <t>A742号车位</t>
  </si>
  <si>
    <t>A743号车位</t>
  </si>
  <si>
    <t>A744号车位</t>
  </si>
  <si>
    <t>A745号车位</t>
  </si>
  <si>
    <t>A746号车位</t>
  </si>
  <si>
    <t>A747号车位</t>
  </si>
  <si>
    <t>A748号车位</t>
  </si>
  <si>
    <t>A749号车位</t>
  </si>
  <si>
    <t>A750号车位</t>
  </si>
  <si>
    <t>A751号车位</t>
  </si>
  <si>
    <t>A752号车位</t>
  </si>
  <si>
    <t>A753号车位</t>
  </si>
  <si>
    <t>A754号车位</t>
  </si>
  <si>
    <t>A755号车位</t>
  </si>
  <si>
    <t>A756号车位</t>
  </si>
  <si>
    <t>A757号车位</t>
  </si>
  <si>
    <t>A758号车位</t>
  </si>
  <si>
    <t>A759号车位</t>
  </si>
  <si>
    <t>A760号车位</t>
  </si>
  <si>
    <t>A762号车位</t>
  </si>
  <si>
    <t>A763号车位</t>
  </si>
  <si>
    <t>A764号车位</t>
  </si>
  <si>
    <t>A765号车位</t>
  </si>
  <si>
    <t>A766号车位</t>
  </si>
  <si>
    <t>A767号车位</t>
  </si>
  <si>
    <t>A769号车位</t>
  </si>
  <si>
    <t>A770号车位</t>
  </si>
  <si>
    <t>S001号车位</t>
    <phoneticPr fontId="255" type="noConversion"/>
  </si>
  <si>
    <t>S002号车位</t>
  </si>
  <si>
    <t>S003号车位</t>
  </si>
  <si>
    <t>S004号车位</t>
  </si>
  <si>
    <t>S005号车位</t>
  </si>
  <si>
    <t>S006号车位</t>
  </si>
  <si>
    <t>S007号车位</t>
  </si>
  <si>
    <t>S008号车位</t>
  </si>
  <si>
    <t>S009号车位</t>
  </si>
  <si>
    <t>S010号车位</t>
  </si>
  <si>
    <t>S011号车位</t>
  </si>
  <si>
    <t>S012号车位</t>
  </si>
  <si>
    <t>S013号车位</t>
  </si>
  <si>
    <t>S014号车位</t>
  </si>
  <si>
    <t>S015号车位</t>
  </si>
  <si>
    <t>S016号车位</t>
  </si>
  <si>
    <t>S017号车位</t>
  </si>
  <si>
    <t>S023号车位</t>
  </si>
  <si>
    <t>S024号车位</t>
  </si>
  <si>
    <t>S025号车位</t>
  </si>
  <si>
    <t>S026号车位</t>
  </si>
  <si>
    <t>高层小计</t>
    <phoneticPr fontId="255" type="noConversion"/>
  </si>
  <si>
    <t>洋房小计</t>
    <phoneticPr fontId="255" type="noConversion"/>
  </si>
  <si>
    <t>联排小计</t>
    <phoneticPr fontId="255" type="noConversion"/>
  </si>
  <si>
    <t>商业小计</t>
    <phoneticPr fontId="255" type="noConversion"/>
  </si>
  <si>
    <t>地下仓储小计</t>
    <phoneticPr fontId="255" type="noConversion"/>
  </si>
  <si>
    <t>地下车库小计</t>
    <phoneticPr fontId="255" type="noConversion"/>
  </si>
  <si>
    <t>合计</t>
    <phoneticPr fontId="255" type="noConversion"/>
  </si>
  <si>
    <t>序号</t>
    <phoneticPr fontId="255" type="noConversion"/>
  </si>
  <si>
    <t>成本比率</t>
  </si>
  <si>
    <t>高层</t>
    <phoneticPr fontId="255" type="noConversion"/>
  </si>
  <si>
    <t>13号</t>
    <phoneticPr fontId="255" type="noConversion"/>
  </si>
  <si>
    <t>17号</t>
    <phoneticPr fontId="255" type="noConversion"/>
  </si>
  <si>
    <t>18号</t>
    <phoneticPr fontId="255" type="noConversion"/>
  </si>
  <si>
    <t>工程进度</t>
  </si>
  <si>
    <t>19号</t>
    <phoneticPr fontId="255" type="noConversion"/>
  </si>
  <si>
    <t>20号</t>
    <phoneticPr fontId="255" type="noConversion"/>
  </si>
  <si>
    <t>小计</t>
    <phoneticPr fontId="255" type="noConversion"/>
  </si>
  <si>
    <t>洋房</t>
    <phoneticPr fontId="255" type="noConversion"/>
  </si>
  <si>
    <t>3号</t>
    <phoneticPr fontId="255" type="noConversion"/>
  </si>
  <si>
    <t>4号</t>
    <phoneticPr fontId="255" type="noConversion"/>
  </si>
  <si>
    <t>9号</t>
    <phoneticPr fontId="255" type="noConversion"/>
  </si>
  <si>
    <t>10号</t>
    <phoneticPr fontId="255" type="noConversion"/>
  </si>
  <si>
    <t>14号</t>
    <phoneticPr fontId="255" type="noConversion"/>
  </si>
  <si>
    <t>15号</t>
    <phoneticPr fontId="255" type="noConversion"/>
  </si>
  <si>
    <t>16号</t>
    <phoneticPr fontId="255" type="noConversion"/>
  </si>
  <si>
    <t>建筑面积</t>
    <phoneticPr fontId="255" type="noConversion"/>
  </si>
  <si>
    <t>工程进度</t>
    <phoneticPr fontId="255" type="noConversion"/>
  </si>
  <si>
    <t>楼号</t>
  </si>
  <si>
    <t>总楼层</t>
  </si>
  <si>
    <t>已完工楼层</t>
  </si>
  <si>
    <t>建筑类型</t>
  </si>
  <si>
    <r>
      <t>1</t>
    </r>
    <r>
      <rPr>
        <sz val="10"/>
        <color rgb="FF000000"/>
        <rFont val="宋体"/>
        <family val="3"/>
        <charset val="134"/>
      </rPr>
      <t>号</t>
    </r>
  </si>
  <si>
    <t>结构封顶，正在二次结构施工</t>
  </si>
  <si>
    <r>
      <t>2</t>
    </r>
    <r>
      <rPr>
        <sz val="10"/>
        <color rgb="FF000000"/>
        <rFont val="宋体"/>
        <family val="3"/>
        <charset val="134"/>
      </rPr>
      <t>号</t>
    </r>
  </si>
  <si>
    <r>
      <t>3</t>
    </r>
    <r>
      <rPr>
        <sz val="10"/>
        <color rgb="FF000000"/>
        <rFont val="宋体"/>
        <family val="3"/>
        <charset val="134"/>
      </rPr>
      <t>号</t>
    </r>
  </si>
  <si>
    <t>结构封顶</t>
  </si>
  <si>
    <r>
      <t>4</t>
    </r>
    <r>
      <rPr>
        <sz val="10"/>
        <color rgb="FF000000"/>
        <rFont val="宋体"/>
        <family val="3"/>
        <charset val="134"/>
      </rPr>
      <t>号</t>
    </r>
  </si>
  <si>
    <r>
      <t>4</t>
    </r>
    <r>
      <rPr>
        <sz val="10"/>
        <color rgb="FF000000"/>
        <rFont val="宋体"/>
        <family val="3"/>
        <charset val="134"/>
      </rPr>
      <t>层顶板浇筑</t>
    </r>
  </si>
  <si>
    <r>
      <t>5</t>
    </r>
    <r>
      <rPr>
        <sz val="10"/>
        <color rgb="FF000000"/>
        <rFont val="宋体"/>
        <family val="3"/>
        <charset val="134"/>
      </rPr>
      <t>号</t>
    </r>
  </si>
  <si>
    <r>
      <t>6</t>
    </r>
    <r>
      <rPr>
        <sz val="10"/>
        <color rgb="FF000000"/>
        <rFont val="宋体"/>
        <family val="3"/>
        <charset val="134"/>
      </rPr>
      <t>号</t>
    </r>
  </si>
  <si>
    <r>
      <t>7</t>
    </r>
    <r>
      <rPr>
        <sz val="10"/>
        <color rgb="FF000000"/>
        <rFont val="宋体"/>
        <family val="3"/>
        <charset val="134"/>
      </rPr>
      <t>号</t>
    </r>
  </si>
  <si>
    <r>
      <t>8</t>
    </r>
    <r>
      <rPr>
        <sz val="10"/>
        <color rgb="FF000000"/>
        <rFont val="宋体"/>
        <family val="3"/>
        <charset val="134"/>
      </rPr>
      <t>号</t>
    </r>
  </si>
  <si>
    <r>
      <t>9</t>
    </r>
    <r>
      <rPr>
        <sz val="10"/>
        <color rgb="FF000000"/>
        <rFont val="宋体"/>
        <family val="3"/>
        <charset val="134"/>
      </rPr>
      <t>号</t>
    </r>
  </si>
  <si>
    <r>
      <t>10</t>
    </r>
    <r>
      <rPr>
        <sz val="10"/>
        <color rgb="FF000000"/>
        <rFont val="宋体"/>
        <family val="3"/>
        <charset val="134"/>
      </rPr>
      <t>号</t>
    </r>
  </si>
  <si>
    <r>
      <t>11</t>
    </r>
    <r>
      <rPr>
        <sz val="10"/>
        <color rgb="FF000000"/>
        <rFont val="宋体"/>
        <family val="3"/>
        <charset val="134"/>
      </rPr>
      <t>号</t>
    </r>
  </si>
  <si>
    <r>
      <t>12</t>
    </r>
    <r>
      <rPr>
        <sz val="10"/>
        <color rgb="FF000000"/>
        <rFont val="宋体"/>
        <family val="3"/>
        <charset val="134"/>
      </rPr>
      <t>号</t>
    </r>
  </si>
  <si>
    <r>
      <t>13</t>
    </r>
    <r>
      <rPr>
        <sz val="10"/>
        <color rgb="FF000000"/>
        <rFont val="宋体"/>
        <family val="3"/>
        <charset val="134"/>
      </rPr>
      <t>号</t>
    </r>
  </si>
  <si>
    <r>
      <t>7</t>
    </r>
    <r>
      <rPr>
        <sz val="10"/>
        <color rgb="FF000000"/>
        <rFont val="宋体"/>
        <family val="3"/>
        <charset val="134"/>
      </rPr>
      <t>层顶板浇筑</t>
    </r>
  </si>
  <si>
    <r>
      <t>14</t>
    </r>
    <r>
      <rPr>
        <sz val="10"/>
        <color rgb="FF000000"/>
        <rFont val="宋体"/>
        <family val="3"/>
        <charset val="134"/>
      </rPr>
      <t>号</t>
    </r>
  </si>
  <si>
    <r>
      <t>15</t>
    </r>
    <r>
      <rPr>
        <sz val="10"/>
        <color rgb="FF000000"/>
        <rFont val="宋体"/>
        <family val="3"/>
        <charset val="134"/>
      </rPr>
      <t>号</t>
    </r>
  </si>
  <si>
    <r>
      <t>16</t>
    </r>
    <r>
      <rPr>
        <sz val="10"/>
        <color rgb="FF000000"/>
        <rFont val="宋体"/>
        <family val="3"/>
        <charset val="134"/>
      </rPr>
      <t>号</t>
    </r>
  </si>
  <si>
    <r>
      <t>17</t>
    </r>
    <r>
      <rPr>
        <sz val="10"/>
        <color rgb="FF000000"/>
        <rFont val="宋体"/>
        <family val="3"/>
        <charset val="134"/>
      </rPr>
      <t>号</t>
    </r>
  </si>
  <si>
    <r>
      <t>18</t>
    </r>
    <r>
      <rPr>
        <sz val="10"/>
        <color rgb="FF000000"/>
        <rFont val="宋体"/>
        <family val="3"/>
        <charset val="134"/>
      </rPr>
      <t>号</t>
    </r>
  </si>
  <si>
    <r>
      <t>19</t>
    </r>
    <r>
      <rPr>
        <sz val="10"/>
        <color rgb="FF000000"/>
        <rFont val="宋体"/>
        <family val="3"/>
        <charset val="134"/>
      </rPr>
      <t>层顶板浇筑</t>
    </r>
  </si>
  <si>
    <r>
      <t>19</t>
    </r>
    <r>
      <rPr>
        <sz val="10"/>
        <color rgb="FF000000"/>
        <rFont val="宋体"/>
        <family val="3"/>
        <charset val="134"/>
      </rPr>
      <t>号</t>
    </r>
  </si>
  <si>
    <r>
      <t>20</t>
    </r>
    <r>
      <rPr>
        <sz val="10"/>
        <color rgb="FF000000"/>
        <rFont val="宋体"/>
        <family val="3"/>
        <charset val="134"/>
      </rPr>
      <t>号</t>
    </r>
  </si>
  <si>
    <t>通下水</t>
  </si>
  <si>
    <t>通讯</t>
  </si>
  <si>
    <t>燃气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</si>
</sst>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0" borderId="0" xfId="0" applyAlignment="1">
      <alignment wrapText="1"/>
    </xf>
    <xf numFmtId="0" fontId="19" fillId="0" borderId="0" xfId="0" applyFont="1" applyAlignment="1">
      <alignment wrapText="1"/>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center" vertical="center" wrapText="1"/>
    </xf>
    <xf numFmtId="184" fontId="137" fillId="0" borderId="70" xfId="0" applyNumberFormat="1" applyFont="1" applyFill="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99" fillId="0" borderId="0" xfId="0" applyFont="1">
      <alignment vertical="center"/>
    </xf>
    <xf numFmtId="0" fontId="113" fillId="0" borderId="1" xfId="0" applyFont="1" applyBorder="1" applyAlignment="1">
      <alignment horizontal="left" vertical="center"/>
    </xf>
    <xf numFmtId="0" fontId="105" fillId="0" borderId="1" xfId="0" applyFont="1" applyBorder="1" applyAlignment="1">
      <alignment horizontal="left" vertical="center"/>
    </xf>
    <xf numFmtId="0" fontId="105" fillId="0" borderId="1" xfId="0" applyFont="1" applyFill="1" applyBorder="1" applyAlignment="1">
      <alignment horizontal="left" vertical="center"/>
    </xf>
    <xf numFmtId="179" fontId="105" fillId="0" borderId="1" xfId="0" applyNumberFormat="1" applyFont="1" applyBorder="1" applyAlignment="1">
      <alignment horizontal="left" vertical="center"/>
    </xf>
    <xf numFmtId="0" fontId="105" fillId="0" borderId="1" xfId="0" applyFont="1" applyFill="1" applyBorder="1" applyAlignment="1">
      <alignment horizontal="left" vertical="center" wrapText="1"/>
    </xf>
    <xf numFmtId="0" fontId="105" fillId="7" borderId="1" xfId="0" applyFont="1" applyFill="1" applyBorder="1" applyAlignment="1">
      <alignment horizontal="left" vertical="center"/>
    </xf>
    <xf numFmtId="176" fontId="105" fillId="0" borderId="1" xfId="0" applyNumberFormat="1" applyFont="1" applyBorder="1" applyAlignment="1">
      <alignment horizontal="left" vertical="center"/>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49" fontId="178" fillId="0" borderId="23"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0" fillId="0" borderId="0" xfId="0" applyNumberFormat="1">
      <alignment vertical="center"/>
    </xf>
    <xf numFmtId="9" fontId="0" fillId="0" borderId="0" xfId="0" applyNumberFormat="1">
      <alignment vertical="center"/>
    </xf>
    <xf numFmtId="0" fontId="174" fillId="0" borderId="82" xfId="0" applyFont="1" applyBorder="1" applyAlignment="1">
      <alignment horizontal="left" vertical="center"/>
    </xf>
    <xf numFmtId="0" fontId="174" fillId="0" borderId="65" xfId="0" applyFont="1" applyBorder="1" applyAlignment="1">
      <alignment horizontal="left" vertical="center"/>
    </xf>
    <xf numFmtId="0" fontId="175" fillId="0" borderId="81" xfId="0" applyFont="1" applyBorder="1" applyAlignment="1">
      <alignment horizontal="left" vertical="center"/>
    </xf>
    <xf numFmtId="0" fontId="175" fillId="0" borderId="43" xfId="0" applyFont="1" applyBorder="1" applyAlignment="1">
      <alignment horizontal="left" vertical="center"/>
    </xf>
    <xf numFmtId="0" fontId="174" fillId="0" borderId="43" xfId="0" applyFont="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10</xdr:col>
      <xdr:colOff>40960</xdr:colOff>
      <xdr:row>83</xdr:row>
      <xdr:rowOff>25958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7600000" cy="5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1219</v>
      </c>
      <c r="B1" s="1585" t="s">
        <v>1298</v>
      </c>
    </row>
    <row r="2" spans="1:2" s="1590" customFormat="1" ht="16.2" thickTop="1">
      <c r="A2" s="1588" t="s">
        <v>1220</v>
      </c>
      <c r="B2" s="1589" t="str">
        <f>'预评函-封皮'!B37:I37</f>
        <v>浙江省湖州市吴兴区乌山单元02-06D号地块出让国有建设用地使用权及在建建筑物房地产抵押价值预评估</v>
      </c>
    </row>
    <row r="3" spans="1:2" s="1593" customFormat="1">
      <c r="A3" s="1591" t="s">
        <v>1221</v>
      </c>
      <c r="B3" s="1592" t="str">
        <f>'预评函-封皮'!B40</f>
        <v>湖州崇源房地产开发有限公司</v>
      </c>
    </row>
    <row r="4" spans="1:2" s="1593" customFormat="1">
      <c r="A4" s="1591" t="s">
        <v>1222</v>
      </c>
      <c r="B4" s="1592" t="str">
        <f ca="1">'预评函-封皮'!B46</f>
        <v>王鹏（注册号：1120050019)、崔锴（注册号：1120100036)</v>
      </c>
    </row>
    <row r="5" spans="1:2" s="1587" customFormat="1" ht="16.2" thickBot="1">
      <c r="A5" s="1594" t="s">
        <v>1223</v>
      </c>
      <c r="B5" s="1595" t="str">
        <f>'预评函-封皮'!B49</f>
        <v>康正预评字 2018-1-0652-P01DYGJ1号</v>
      </c>
    </row>
    <row r="6" spans="1:2" s="1590" customFormat="1" ht="16.2" thickTop="1">
      <c r="A6" s="1588" t="s">
        <v>1224</v>
      </c>
      <c r="B6" s="1589" t="str">
        <f>'预评函-1'!A4</f>
        <v>受贵公司委托，我公司对浙江省湖州市吴兴区乌山单元02-06D号地块出让国有建设用地使用权及在建建筑物房地产抵押价值进行了预评估。</v>
      </c>
    </row>
    <row r="7" spans="1:2" s="1593" customFormat="1">
      <c r="A7" s="1591" t="s">
        <v>1264</v>
      </c>
      <c r="B7" s="1592" t="str">
        <f>'预评函-1'!A7</f>
        <v>估价对象为浙江省湖州市吴兴区乌山单元02-06D号地块出让国有建设用地使用权及在建建筑物房地产，为湖州崇源房地产开发有限公司所有。根据《不动产权证书》[浙（2017）湖州市不动产权第0099760号]，估价对象（分摊）出让国有建设用地使用权面积为41386.63平方米。根据《房屋建筑面积测绘成果书》[编号：（预）2017-0126]，估价对象建筑面积为86753.5200000002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浙江省湖州市吴兴区乌山单元02-06D号地块出让国有建设用地使用权及在建建筑物房地产,属湖州崇源房地产开发有限公司开发建设的居住项目，该项目尚在开发建设中。根据《不动产权证书》[浙（2017）湖州市不动产权第0099760号]，估价对象（分摊）出让国有建设用地使用权面积为41386.63平方米。根据《房屋建筑面积测绘成果书》[编号：（预）2017-0126]，估价对象规划建筑面积为86753.5200000002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为估价委托人在向中诚信托办理贷款手续过程中，确定房地产抵押贷款额度提供参考依据而评估房地产抵押价值。</v>
      </c>
    </row>
    <row r="12" spans="1:2" s="1593" customFormat="1">
      <c r="A12" s="1591" t="s">
        <v>1226</v>
      </c>
      <c r="B12" s="1592" t="str">
        <f>'预评函-1'!A15</f>
        <v>2018年9月13日（评估专业人员实地查勘之日）</v>
      </c>
    </row>
    <row r="13" spans="1:2" s="1593" customFormat="1">
      <c r="A13" s="1591" t="s">
        <v>1227</v>
      </c>
      <c r="B13" s="1592" t="str">
        <f>'预评函-1'!A18</f>
        <v>本次估价的“房地产价值”是指在正常市场情况下，在价值时点2018年9月13日，估价对象规划用途为住宅、商业、仓储、地下车库，土地取得方式为出让，出让国有建设用地使用权剩余土地使用年限为住宅69.19、商业39.17、车库及储藏室49.18，假定未设立法定优先受偿款下的房地产市场价值。</v>
      </c>
    </row>
    <row r="14" spans="1:2" s="1593" customFormat="1">
      <c r="A14" s="1591" t="s">
        <v>1228</v>
      </c>
      <c r="B14" s="1592" t="str">
        <f>'预评函-1'!A19</f>
        <v>其中，“出让国有建设用地使用权价值”是指估价对象用途为住宅、商业、仓储、地下车库，实际开发程度为宗地红线外“七通”（即通路、通电、通上水、通下水、通讯、燃气、）、红线内场地平整条件下，剩余土地使用年限为住宅69.19、商业39.17、车库及储藏室49.18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1232</v>
      </c>
      <c r="B18" s="1595" t="str">
        <f>'预评函-1'!A24</f>
        <v>本次评估采用的主估价方法为成本法和假设开发法。</v>
      </c>
    </row>
    <row r="19" spans="1:2" s="1590" customFormat="1" ht="16.2"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86460</v>
      </c>
    </row>
    <row r="21" spans="1:2" s="1593" customFormat="1">
      <c r="A21" s="1591" t="s">
        <v>1235</v>
      </c>
      <c r="B21" s="1592">
        <f ca="1">'预评函-2'!D7</f>
        <v>9966</v>
      </c>
    </row>
    <row r="22" spans="1:2" s="1593" customFormat="1">
      <c r="A22" s="1591" t="s">
        <v>1236</v>
      </c>
      <c r="B22" s="1592" t="str">
        <f ca="1">'预评函-2'!D6</f>
        <v>捌亿陆仟肆佰陆拾万元整</v>
      </c>
    </row>
    <row r="23" spans="1:2" s="1593" customFormat="1">
      <c r="A23" s="1591" t="s">
        <v>1287</v>
      </c>
      <c r="B23" s="1592" t="str">
        <f>'预评函-2'!B8</f>
        <v>2.估价师知悉的法定优先受偿款</v>
      </c>
    </row>
    <row r="24" spans="1:2" s="1593" customFormat="1">
      <c r="A24" s="1591" t="s">
        <v>1293</v>
      </c>
      <c r="B24" s="1592">
        <f>'预评函-2'!D8</f>
        <v>30000</v>
      </c>
    </row>
    <row r="25" spans="1:2" s="1593" customFormat="1">
      <c r="A25" s="1591" t="s">
        <v>1237</v>
      </c>
      <c r="B25" s="1592" t="str">
        <f>'预评函-2'!D9</f>
        <v>叁亿元整</v>
      </c>
    </row>
    <row r="26" spans="1:2" s="1593" customFormat="1">
      <c r="A26" s="1591" t="s">
        <v>1238</v>
      </c>
      <c r="B26" s="1592">
        <f>'预评函-2'!D10</f>
        <v>0</v>
      </c>
    </row>
    <row r="27" spans="1:2" s="1593" customFormat="1">
      <c r="A27" s="1591" t="s">
        <v>1239</v>
      </c>
      <c r="B27" s="1592">
        <f>'预评函-2'!D11</f>
        <v>30000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56460</v>
      </c>
    </row>
    <row r="31" spans="1:2" s="1593" customFormat="1">
      <c r="A31" s="1591" t="s">
        <v>1274</v>
      </c>
      <c r="B31" s="1592">
        <f ca="1">'预评函-2'!D15</f>
        <v>6508</v>
      </c>
    </row>
    <row r="32" spans="1:2" s="1593" customFormat="1">
      <c r="A32" s="1591" t="s">
        <v>1241</v>
      </c>
      <c r="B32" s="1592" t="str">
        <f ca="1">'预评函-2'!D14</f>
        <v>伍亿陆仟肆佰陆拾万元整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4.抵押净值</v>
      </c>
    </row>
    <row r="38" spans="1:2" s="1593" customFormat="1">
      <c r="A38" s="1591" t="s">
        <v>1295</v>
      </c>
      <c r="B38" s="1592">
        <f ca="1">'预评函-2'!D19</f>
        <v>7480</v>
      </c>
    </row>
    <row r="39" spans="1:2" s="1593" customFormat="1">
      <c r="A39" s="1591" t="s">
        <v>1243</v>
      </c>
      <c r="B39" s="1592">
        <f ca="1">'预评函-2'!D21</f>
        <v>862</v>
      </c>
    </row>
    <row r="40" spans="1:2" s="1593" customFormat="1">
      <c r="A40" s="1591" t="s">
        <v>1244</v>
      </c>
      <c r="B40" s="1592" t="str">
        <f ca="1">'预评函-2'!D20</f>
        <v>柒仟肆佰捌拾万元整</v>
      </c>
    </row>
    <row r="41" spans="1:2" s="1593" customFormat="1">
      <c r="A41" s="1591" t="s">
        <v>1290</v>
      </c>
      <c r="B41" s="1592" t="str">
        <f>'预评函-3'!A4</f>
        <v>浙江省湖州市吴兴区乌山单元02-06D号地块出让国有建设用地使用权及在建建筑物房地产</v>
      </c>
    </row>
    <row r="42" spans="1:2" s="1593" customFormat="1" ht="31.2">
      <c r="A42" s="1591" t="s">
        <v>1288</v>
      </c>
      <c r="B42" s="1592" t="str">
        <f>'预评函-3'!B2</f>
        <v>建筑面积</v>
      </c>
    </row>
    <row r="43" spans="1:2" s="1593" customFormat="1">
      <c r="A43" s="1591" t="s">
        <v>1289</v>
      </c>
      <c r="B43" s="1592">
        <f>'预评函-3'!B4</f>
        <v>86753.520000000164</v>
      </c>
    </row>
    <row r="44" spans="1:2" s="1593" customFormat="1" ht="31.2">
      <c r="A44" s="1591" t="s">
        <v>1273</v>
      </c>
      <c r="B44" s="1592" t="str">
        <f>'预评函-3'!C2</f>
        <v>(分摊)土地面积</v>
      </c>
    </row>
    <row r="45" spans="1:2" s="1593" customFormat="1">
      <c r="A45" s="1591" t="s">
        <v>1245</v>
      </c>
      <c r="B45" s="1592">
        <f>'预评函-3'!C4</f>
        <v>41386.629999999997</v>
      </c>
    </row>
    <row r="46" spans="1:2" s="1593" customFormat="1">
      <c r="A46" s="1591" t="s">
        <v>1271</v>
      </c>
      <c r="B46" s="1592" t="str">
        <f>'预评函-3'!D2</f>
        <v>出让国有建设用地使用权价值</v>
      </c>
    </row>
    <row r="47" spans="1:2" s="1593" customFormat="1">
      <c r="A47" s="1591" t="s">
        <v>1246</v>
      </c>
      <c r="B47" s="1592">
        <f ca="1">'预评函-3'!D4</f>
        <v>67871</v>
      </c>
    </row>
    <row r="48" spans="1:2" s="1593" customFormat="1">
      <c r="A48" s="1591" t="s">
        <v>1247</v>
      </c>
      <c r="B48" s="1592">
        <f ca="1">'预评函-3'!E4</f>
        <v>7823</v>
      </c>
    </row>
    <row r="49" spans="1:2" s="1593" customFormat="1">
      <c r="A49" s="1591" t="s">
        <v>1248</v>
      </c>
      <c r="B49" s="1592" t="str">
        <f ca="1">'预评函-3'!D5</f>
        <v>陆亿柒仟捌佰柒拾壹万元整</v>
      </c>
    </row>
    <row r="50" spans="1:2" s="1593" customFormat="1">
      <c r="A50" s="1591" t="s">
        <v>1272</v>
      </c>
      <c r="B50" s="1592" t="str">
        <f>'预评函-3'!F2</f>
        <v>在建建筑物价值</v>
      </c>
    </row>
    <row r="51" spans="1:2" s="1593" customFormat="1">
      <c r="A51" s="1591" t="s">
        <v>1249</v>
      </c>
      <c r="B51" s="1592">
        <f ca="1">'预评函-3'!F4</f>
        <v>18589</v>
      </c>
    </row>
    <row r="52" spans="1:2" s="1593" customFormat="1">
      <c r="A52" s="1591" t="s">
        <v>1250</v>
      </c>
      <c r="B52" s="1592">
        <f ca="1">'预评函-3'!G4</f>
        <v>2143</v>
      </c>
    </row>
    <row r="53" spans="1:2" s="1593" customFormat="1">
      <c r="A53" s="1591" t="s">
        <v>1278</v>
      </c>
      <c r="B53" s="1592" t="str">
        <f ca="1">'预评函-3'!F5</f>
        <v>壹亿捌仟伍佰捌拾玖万元整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抵押净值</v>
      </c>
    </row>
    <row r="57" spans="1:2" s="1587" customFormat="1" ht="16.2" thickBot="1">
      <c r="A57" s="1594" t="s">
        <v>1297</v>
      </c>
      <c r="B57" s="1595" t="str">
        <f>'预评函-3'!A6</f>
        <v>估价师知悉的法定优先受偿款</v>
      </c>
    </row>
    <row r="58" spans="1:2" s="1590" customFormat="1" ht="16.2"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抵押权设定日期为2017年11月17日，权利人为大连银行股份有限公司上海分行，权利范围为土地，权利价值为42000。</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故，本次评估估价师知悉的法定优先受偿款为人民币30000万元整。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6.2" thickBot="1">
      <c r="A69" s="1594" t="s">
        <v>1259</v>
      </c>
      <c r="B69" s="1596">
        <f>'预评函-4'!C31</f>
        <v>42551</v>
      </c>
    </row>
    <row r="70" spans="1:2" ht="16.2" thickTop="1">
      <c r="A70" s="1597" t="s">
        <v>1260</v>
      </c>
      <c r="B70" s="1598" t="str">
        <f>'预评函-4'!A4</f>
        <v>王鹏</v>
      </c>
    </row>
    <row r="71" spans="1:2">
      <c r="A71" s="1591" t="s">
        <v>1261</v>
      </c>
      <c r="B71" s="1592">
        <f ca="1">'预评函-4'!B4</f>
        <v>1120050019</v>
      </c>
    </row>
    <row r="72" spans="1:2">
      <c r="A72" s="1591" t="s">
        <v>1262</v>
      </c>
      <c r="B72" s="1600" t="str">
        <f>'预评函-4'!A5</f>
        <v>崔锴</v>
      </c>
    </row>
    <row r="73" spans="1:2" s="1587" customFormat="1" ht="16.2" thickBot="1">
      <c r="A73" s="1594" t="s">
        <v>1263</v>
      </c>
      <c r="B73" s="1595">
        <f ca="1">'预评函-4'!B5</f>
        <v>1120100036</v>
      </c>
    </row>
    <row r="74" spans="1:2" ht="16.2"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4.4"/>
  <cols>
    <col min="1" max="1" width="13.44140625" style="2024" customWidth="1"/>
    <col min="2" max="2" width="23.21875" style="1975" customWidth="1"/>
    <col min="3" max="3" width="13" style="2019" hidden="1" customWidth="1"/>
    <col min="4" max="4" width="5.77734375" style="2016" hidden="1" customWidth="1"/>
    <col min="5" max="5" width="7.109375" style="2016" hidden="1" customWidth="1"/>
    <col min="6" max="6" width="10.6640625" style="2016" hidden="1" customWidth="1"/>
    <col min="7" max="7" width="7.44140625" style="2016" hidden="1" customWidth="1"/>
    <col min="8" max="8" width="9" style="2019" hidden="1" customWidth="1"/>
    <col min="9" max="9" width="11.6640625" style="2019" hidden="1" customWidth="1"/>
    <col min="10" max="10" width="9" style="2019" hidden="1" customWidth="1"/>
    <col min="11" max="19" width="9" style="2016" hidden="1" customWidth="1"/>
    <col min="20" max="22" width="9" style="2019" hidden="1" customWidth="1"/>
    <col min="23" max="23" width="9" style="2019" customWidth="1"/>
    <col min="24" max="24" width="21.109375" style="1975" customWidth="1"/>
    <col min="25" max="16384" width="9" style="1975"/>
  </cols>
  <sheetData>
    <row r="1" spans="1:23" s="2013" customFormat="1" ht="28.8">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3512</v>
      </c>
      <c r="C17" s="2015"/>
    </row>
    <row r="18" spans="1:3">
      <c r="A18" s="2014" t="s">
        <v>1767</v>
      </c>
      <c r="B18" s="2014" t="s">
        <v>3514</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崇源房地产开发有限公司拟使用浙江省湖州市吴兴区乌山单元02-06D号地块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13日，估价对象规划用途为住宅、商业、仓储、地下车库土地取得方式为出让，出让国有建设用地使用权剩余土地使用年限为XX年(多用途剩余年限尾数不同时，可只体现小数点后一位)，假定未设立法定优先受偿款下的房地产市场价值。</v>
      </c>
    </row>
    <row r="54" spans="1:4">
      <c r="A54" s="3024"/>
      <c r="B54" s="2022" t="s">
        <v>864</v>
      </c>
      <c r="C54" s="2019" t="s">
        <v>1281</v>
      </c>
    </row>
    <row r="55" spans="1:4">
      <c r="A55" s="3024"/>
      <c r="B55" s="2022" t="s">
        <v>865</v>
      </c>
      <c r="C55" s="2019" t="s">
        <v>1282</v>
      </c>
    </row>
    <row r="56" spans="1:4">
      <c r="A56" s="3024"/>
      <c r="B56" s="2022" t="s">
        <v>866</v>
      </c>
      <c r="C56" s="2019" t="s">
        <v>1286</v>
      </c>
    </row>
    <row r="57" spans="1:4">
      <c r="A57" s="302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37" sqref="J37"/>
    </sheetView>
  </sheetViews>
  <sheetFormatPr defaultColWidth="10" defaultRowHeight="18" customHeight="1"/>
  <cols>
    <col min="1" max="1" width="14.88671875" style="2032" customWidth="1"/>
    <col min="2" max="2" width="12.109375" style="2032" customWidth="1"/>
    <col min="3" max="3" width="11.44140625" style="2032" customWidth="1"/>
    <col min="4" max="4" width="11.5546875" style="2032" customWidth="1"/>
    <col min="5" max="6" width="10" style="2032" customWidth="1"/>
    <col min="7" max="7" width="10.77734375" style="2032" customWidth="1"/>
    <col min="8" max="8" width="10" style="2032" customWidth="1"/>
    <col min="9" max="9" width="11.10937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25" t="str">
        <f>IF(B10="北京市","北京市",C10)&amp;F10&amp;IF(结果表!G1="在建","出让国有建设用地使用权及在建建筑物",IF(结果表!G1="土地","出让国有建设用地使用权",))&amp;B9&amp;"预评估"</f>
        <v>浙江省湖州市吴兴区乌山单元02-06D号地块出让国有建设用地使用权及在建建筑物房地产抵押价值预评估</v>
      </c>
      <c r="C1" s="3026"/>
      <c r="D1" s="3026"/>
      <c r="E1" s="3026"/>
      <c r="F1" s="3026"/>
      <c r="G1" s="3026"/>
      <c r="H1" s="3026"/>
      <c r="I1" s="302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浙江省湖州市吴兴区乌山单元02-06D号地块出让国有建设用地使用权及在建建筑物房地产抵押价值</v>
      </c>
    </row>
    <row r="2" spans="1:19" ht="18" customHeight="1">
      <c r="A2" s="2026" t="s">
        <v>1777</v>
      </c>
      <c r="B2" s="1039" t="s">
        <v>3046</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浙江省湖州市吴兴区乌山单元02-06D号地块出让国有建设用地使用权及在建建筑物房地产</v>
      </c>
    </row>
    <row r="3" spans="1:19" ht="18" customHeight="1">
      <c r="A3" s="2035" t="s">
        <v>1778</v>
      </c>
      <c r="B3" s="2036">
        <v>43356</v>
      </c>
      <c r="C3" s="2037" t="s">
        <v>1779</v>
      </c>
      <c r="D3" s="2036">
        <f>B3</f>
        <v>43356</v>
      </c>
      <c r="E3" s="2026"/>
      <c r="F3" s="2026"/>
      <c r="G3" s="2026"/>
      <c r="H3" s="2026"/>
      <c r="I3" s="2026"/>
      <c r="J3" s="2026"/>
      <c r="K3" s="2027"/>
      <c r="L3" s="2028"/>
      <c r="M3" s="2028"/>
      <c r="N3" s="2029"/>
      <c r="O3" s="2030"/>
      <c r="P3" s="2029"/>
      <c r="Q3" s="2029"/>
      <c r="R3" s="2029"/>
      <c r="S3" s="2031"/>
    </row>
    <row r="4" spans="1:19" ht="18" customHeight="1" thickBot="1">
      <c r="A4" s="2038" t="s">
        <v>1780</v>
      </c>
      <c r="B4" s="2039" t="s">
        <v>3047</v>
      </c>
      <c r="C4" s="1037">
        <f ca="1">SUMIF(注册房地产估价师,B4,估价师及机构信息!B3:B24)</f>
        <v>1120050019</v>
      </c>
      <c r="D4" s="2039" t="s">
        <v>3048</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王鹏（注册号：1120050019)、崔锴（注册号：1120100036)</v>
      </c>
      <c r="L4" s="2028"/>
      <c r="M4" s="2028"/>
      <c r="N4" s="2029"/>
      <c r="O4" s="2030"/>
      <c r="P4" s="2029"/>
      <c r="Q4" s="2029"/>
      <c r="R4" s="2029"/>
      <c r="S4" s="2031"/>
    </row>
    <row r="5" spans="1:19" ht="47.4" thickTop="1">
      <c r="A5" s="2044" t="s">
        <v>1781</v>
      </c>
      <c r="B5" s="2937" t="s">
        <v>3557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38" t="s">
        <v>3049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051" t="str">
        <f>B5</f>
        <v>湖州崇源房地产开发有限公司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1784</v>
      </c>
      <c r="B8" s="2053" t="s">
        <v>3050</v>
      </c>
      <c r="C8" s="2054"/>
      <c r="D8" s="3028" t="s">
        <v>1785</v>
      </c>
      <c r="E8" s="2055" t="s">
        <v>3051</v>
      </c>
      <c r="F8" s="2056"/>
      <c r="G8" s="2026"/>
      <c r="H8" s="2026"/>
      <c r="I8" s="2026"/>
      <c r="J8" s="2042"/>
      <c r="K8" s="2043"/>
      <c r="L8" s="2028"/>
      <c r="M8" s="2028"/>
      <c r="N8" s="2029"/>
      <c r="O8" s="2030"/>
      <c r="P8" s="2029"/>
      <c r="Q8" s="2029"/>
      <c r="R8" s="2029"/>
    </row>
    <row r="9" spans="1:19" ht="18" customHeight="1" thickBot="1">
      <c r="A9" s="2040" t="s">
        <v>1786</v>
      </c>
      <c r="B9" s="2057" t="s">
        <v>3051</v>
      </c>
      <c r="C9" s="2058"/>
      <c r="D9" s="3029"/>
      <c r="E9" s="2057" t="s">
        <v>1285</v>
      </c>
      <c r="F9" s="2059"/>
      <c r="G9" s="2060"/>
      <c r="H9" s="2060"/>
      <c r="I9" s="2060"/>
      <c r="J9" s="2042"/>
      <c r="K9" s="2052"/>
      <c r="L9" s="2028"/>
      <c r="M9" s="2028"/>
      <c r="N9" s="2029"/>
      <c r="O9" s="2030"/>
      <c r="P9" s="2029"/>
      <c r="Q9" s="2029"/>
      <c r="R9" s="2029"/>
    </row>
    <row r="10" spans="1:19" ht="18" customHeight="1" thickTop="1">
      <c r="A10" s="2061" t="s">
        <v>1787</v>
      </c>
      <c r="B10" s="2062" t="s">
        <v>3052</v>
      </c>
      <c r="C10" s="2939" t="s">
        <v>3053</v>
      </c>
      <c r="D10" s="2046"/>
      <c r="E10" s="2063" t="s">
        <v>1788</v>
      </c>
      <c r="F10" s="2064" t="s">
        <v>3556</v>
      </c>
      <c r="G10" s="2065"/>
      <c r="H10" s="2066"/>
      <c r="I10" s="2046"/>
      <c r="J10" s="2042"/>
      <c r="K10" s="2052"/>
      <c r="L10" s="2028"/>
      <c r="M10" s="2028"/>
      <c r="N10" s="2029"/>
      <c r="O10" s="2030"/>
      <c r="P10" s="2029"/>
      <c r="Q10" s="2029"/>
      <c r="R10" s="2029"/>
    </row>
    <row r="11" spans="1:19" ht="18" customHeight="1">
      <c r="A11" s="2067" t="s">
        <v>1789</v>
      </c>
      <c r="B11" s="2068" t="s">
        <v>3054</v>
      </c>
      <c r="C11" s="2069" t="str">
        <f>B5</f>
        <v>湖州崇源房地产开发有限公司</v>
      </c>
      <c r="D11" s="2070"/>
      <c r="E11" s="2042"/>
      <c r="F11" s="2042"/>
      <c r="G11" s="2042"/>
      <c r="H11" s="2042"/>
      <c r="I11" s="2042"/>
      <c r="J11" s="2042"/>
      <c r="K11" s="2052"/>
      <c r="L11" s="2028"/>
      <c r="M11" s="2028"/>
      <c r="N11" s="2029"/>
      <c r="O11" s="2030"/>
      <c r="P11" s="2029"/>
      <c r="Q11" s="2029"/>
      <c r="R11" s="2029"/>
    </row>
    <row r="12" spans="1:19" ht="18" customHeight="1">
      <c r="A12" s="2071" t="s">
        <v>1790</v>
      </c>
      <c r="B12" s="2068" t="s">
        <v>3055</v>
      </c>
      <c r="C12" s="2072" t="s">
        <v>1791</v>
      </c>
      <c r="D12" s="2073" t="s">
        <v>1792</v>
      </c>
      <c r="E12" s="2073" t="s">
        <v>1793</v>
      </c>
      <c r="F12" s="2073" t="s">
        <v>1794</v>
      </c>
      <c r="G12" s="2073" t="s">
        <v>1795</v>
      </c>
      <c r="H12" s="2073" t="s">
        <v>1796</v>
      </c>
      <c r="I12" s="2073" t="s">
        <v>1797</v>
      </c>
      <c r="J12" s="2042"/>
      <c r="K12" s="2052"/>
      <c r="L12" s="2028"/>
      <c r="M12" s="2028"/>
      <c r="N12" s="2029"/>
      <c r="O12" s="2030"/>
      <c r="P12" s="2029"/>
      <c r="Q12" s="2029"/>
      <c r="R12" s="2029"/>
    </row>
    <row r="13" spans="1:19" ht="18" customHeight="1">
      <c r="A13" s="2074"/>
      <c r="B13" s="2075"/>
      <c r="C13" s="2076" t="s">
        <v>1798</v>
      </c>
      <c r="D13" s="2077">
        <v>68612</v>
      </c>
      <c r="E13" s="2077">
        <v>57655</v>
      </c>
      <c r="F13" s="2077"/>
      <c r="G13" s="2077">
        <v>61307</v>
      </c>
      <c r="H13" s="2077">
        <v>61307</v>
      </c>
      <c r="I13" s="1047"/>
      <c r="J13" s="2042"/>
      <c r="K13" s="2052"/>
      <c r="L13" s="2028"/>
      <c r="M13" s="2028"/>
      <c r="N13" s="2029"/>
      <c r="O13" s="2030"/>
      <c r="P13" s="2029"/>
      <c r="Q13" s="2029"/>
      <c r="R13" s="2029"/>
    </row>
    <row r="14" spans="1:19" ht="18" customHeight="1">
      <c r="A14" s="2074"/>
      <c r="B14" s="2075"/>
      <c r="C14" s="2076" t="s">
        <v>1799</v>
      </c>
      <c r="D14" s="1050">
        <v>70</v>
      </c>
      <c r="E14" s="1050">
        <v>40</v>
      </c>
      <c r="F14" s="1050"/>
      <c r="G14" s="1050">
        <v>50</v>
      </c>
      <c r="H14" s="1050">
        <v>50</v>
      </c>
      <c r="I14" s="1050"/>
      <c r="J14" s="2042"/>
      <c r="K14" s="2078"/>
      <c r="L14" s="2028"/>
      <c r="M14" s="2028"/>
      <c r="N14" s="2029"/>
      <c r="O14" s="2030"/>
      <c r="P14" s="2029"/>
      <c r="Q14" s="2029"/>
      <c r="R14" s="2029"/>
    </row>
    <row r="15" spans="1:19" ht="18" customHeight="1">
      <c r="A15" s="2061"/>
      <c r="B15" s="2079"/>
      <c r="C15" s="2076" t="s">
        <v>1800</v>
      </c>
      <c r="D15" s="1049">
        <f>IF(B12="出让",IF(D13="","",ROUNDDOWN(MIN((D13-$D$3)/365,D14),2)),D14)</f>
        <v>69.19</v>
      </c>
      <c r="E15" s="1049">
        <f>IF(B12="出让",IF(E13="","",ROUNDDOWN(MIN((E13-$D$3)/365,E14),2)),E14)</f>
        <v>39.17</v>
      </c>
      <c r="F15" s="1049" t="str">
        <f>IF(B12="出让",IF(F13="","",ROUNDDOWN(MIN((F13-$D$3)/365,F14),2)),F14)</f>
        <v/>
      </c>
      <c r="G15" s="1049">
        <f>IF(B12="出让",IF(G13="","",ROUNDDOWN(MIN((G13-$D$3)/365,G14),2)),G14)</f>
        <v>49.18</v>
      </c>
      <c r="H15" s="1049">
        <f>IF(B12="出让",IF(H13="","",ROUNDDOWN(MIN((H13-$D$3)/365,H14),2)),H14)</f>
        <v>49.18</v>
      </c>
      <c r="I15" s="1049" t="str">
        <f>IF(B12="出让",IF(I13="","",ROUNDDOWN(MIN((I13-$D$3)/365,I14),2)),I14)</f>
        <v/>
      </c>
      <c r="J15" s="2042"/>
      <c r="K15" s="2080"/>
      <c r="L15" s="2081"/>
      <c r="M15" s="2081"/>
      <c r="N15" s="2082"/>
      <c r="O15" s="2081"/>
      <c r="P15" s="2082"/>
      <c r="Q15" s="2029"/>
      <c r="R15" s="2029"/>
    </row>
    <row r="16" spans="1:19" ht="30.75" customHeight="1">
      <c r="A16" s="2063" t="s">
        <v>1801</v>
      </c>
      <c r="B16" s="3035" t="s">
        <v>3058</v>
      </c>
      <c r="C16" s="3036"/>
      <c r="D16" s="3037"/>
      <c r="E16" s="2083" t="s">
        <v>1802</v>
      </c>
      <c r="F16" s="3038" t="s">
        <v>3056</v>
      </c>
      <c r="G16" s="3039"/>
      <c r="H16" s="3039"/>
      <c r="I16" s="3040"/>
      <c r="J16" s="2029"/>
      <c r="K16" s="2080"/>
      <c r="L16" s="2081"/>
      <c r="M16" s="2081"/>
      <c r="N16" s="2082"/>
      <c r="O16" s="2081"/>
      <c r="P16" s="2082"/>
      <c r="Q16" s="2029"/>
      <c r="R16" s="2029"/>
    </row>
    <row r="17" spans="1:22" ht="18" customHeight="1">
      <c r="A17" s="2084" t="s">
        <v>1803</v>
      </c>
      <c r="B17" s="2035" t="s">
        <v>1804</v>
      </c>
      <c r="C17" s="1054">
        <f>'数据-汇总表'!E3</f>
        <v>86753.520000000164</v>
      </c>
      <c r="D17" s="2085" t="s">
        <v>1805</v>
      </c>
      <c r="E17" s="3041" t="s">
        <v>3059</v>
      </c>
      <c r="F17" s="3042"/>
      <c r="G17" s="3042"/>
      <c r="H17" s="3042"/>
      <c r="I17" s="3043"/>
      <c r="J17" s="2029"/>
      <c r="K17" s="2086"/>
      <c r="L17" s="2081"/>
      <c r="M17" s="2081"/>
      <c r="N17" s="2082"/>
      <c r="O17" s="2081"/>
      <c r="P17" s="2082"/>
      <c r="Q17" s="2029"/>
      <c r="R17" s="2029"/>
      <c r="S17" s="2029"/>
      <c r="T17" s="2029"/>
      <c r="U17" s="2029"/>
      <c r="V17" s="2029"/>
    </row>
    <row r="18" spans="1:22" ht="36" customHeight="1" thickBot="1">
      <c r="A18" s="2087" t="s">
        <v>70</v>
      </c>
      <c r="B18" s="2038" t="s">
        <v>1806</v>
      </c>
      <c r="C18" s="1444">
        <f>'数据-汇总表'!D3</f>
        <v>41386.629999999997</v>
      </c>
      <c r="D18" s="2088" t="s">
        <v>1805</v>
      </c>
      <c r="E18" s="3044" t="s">
        <v>3558</v>
      </c>
      <c r="F18" s="3045"/>
      <c r="G18" s="3045"/>
      <c r="H18" s="3045"/>
      <c r="I18" s="3046"/>
      <c r="J18" s="2029"/>
      <c r="K18" s="2086"/>
      <c r="L18" s="2081"/>
      <c r="M18" s="2081"/>
      <c r="N18" s="2082"/>
      <c r="O18" s="2081"/>
      <c r="P18" s="2082"/>
      <c r="Q18" s="2029"/>
      <c r="R18" s="2029"/>
      <c r="S18" s="2029"/>
      <c r="T18" s="2029"/>
      <c r="U18" s="2029"/>
      <c r="V18" s="2029"/>
    </row>
    <row r="19" spans="1:22" ht="37.5" customHeight="1" thickTop="1" thickBot="1">
      <c r="A19" s="373" t="s">
        <v>1807</v>
      </c>
      <c r="B19" s="352" t="s">
        <v>1808</v>
      </c>
      <c r="C19" s="2089" t="s">
        <v>3060</v>
      </c>
      <c r="D19" s="2090" t="s">
        <v>1809</v>
      </c>
      <c r="E19" s="2091" t="s">
        <v>3060</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1810</v>
      </c>
      <c r="B20" s="3031" t="s">
        <v>1811</v>
      </c>
      <c r="C20" s="3032"/>
      <c r="D20" s="3033" t="s">
        <v>1812</v>
      </c>
      <c r="E20" s="3034"/>
      <c r="F20" s="2095" t="s">
        <v>1813</v>
      </c>
      <c r="G20" s="2042"/>
      <c r="H20" s="2042"/>
      <c r="I20" s="2042"/>
      <c r="J20" s="2042"/>
      <c r="K20" s="3030" t="s">
        <v>1814</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2"/>
      <c r="O20" s="2081"/>
      <c r="P20" s="2082"/>
      <c r="Q20" s="2029"/>
      <c r="R20" s="2029"/>
      <c r="S20" s="2029"/>
      <c r="T20" s="2029"/>
      <c r="U20" s="2029"/>
      <c r="V20" s="2029"/>
    </row>
    <row r="21" spans="1:22" ht="24.75" customHeight="1">
      <c r="A21" s="2094"/>
      <c r="B21" s="2096" t="s">
        <v>1815</v>
      </c>
      <c r="C21" s="2097" t="s">
        <v>70</v>
      </c>
      <c r="D21" s="2940" t="s">
        <v>3062</v>
      </c>
      <c r="E21" s="2098" t="s">
        <v>3063</v>
      </c>
      <c r="F21" s="2099"/>
      <c r="G21" s="2042"/>
      <c r="H21" s="2042"/>
      <c r="I21" s="2042"/>
      <c r="J21" s="2042"/>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上述抵押权设定日期为2017年11月17日，权利人为大连银行股份有限公司上海分行，权利范围为土地，权利价值为42000。</v>
      </c>
      <c r="M21" s="2028"/>
      <c r="N21" s="2082"/>
      <c r="O21" s="2081"/>
      <c r="P21" s="2082"/>
      <c r="Q21" s="2029"/>
      <c r="R21" s="2029"/>
      <c r="S21" s="2029"/>
      <c r="T21" s="2029"/>
      <c r="U21" s="2029"/>
      <c r="V21" s="2029"/>
    </row>
    <row r="22" spans="1:22" ht="24.75" customHeight="1" thickBot="1">
      <c r="A22" s="2094"/>
      <c r="B22" s="2100" t="s">
        <v>1816</v>
      </c>
      <c r="C22" s="2097" t="s">
        <v>3061</v>
      </c>
      <c r="D22" s="2026"/>
      <c r="E22" s="2026"/>
      <c r="F22" s="2101"/>
      <c r="G22" s="2042"/>
      <c r="H22" s="2042"/>
      <c r="I22" s="2042"/>
      <c r="J22" s="2042"/>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2" t="s">
        <v>1817</v>
      </c>
      <c r="B23" s="183" t="s">
        <v>1818</v>
      </c>
      <c r="C23" s="2103">
        <v>43056</v>
      </c>
      <c r="D23" s="2104" t="s">
        <v>1818</v>
      </c>
      <c r="E23" s="2105"/>
      <c r="F23" s="2101"/>
      <c r="G23" s="2042"/>
      <c r="H23" s="2042"/>
      <c r="I23" s="2042"/>
      <c r="J23" s="2042"/>
      <c r="K23" s="2106"/>
      <c r="L23" s="748"/>
      <c r="M23" s="2028"/>
      <c r="N23" s="2082"/>
      <c r="O23" s="2081"/>
      <c r="P23" s="2082"/>
      <c r="Q23" s="2029"/>
      <c r="R23" s="2029"/>
      <c r="S23" s="2029"/>
      <c r="T23" s="2029"/>
      <c r="U23" s="2029"/>
      <c r="V23" s="2029"/>
    </row>
    <row r="24" spans="1:22" ht="18" customHeight="1">
      <c r="A24" s="2107"/>
      <c r="B24" s="183" t="s">
        <v>1819</v>
      </c>
      <c r="C24" s="2941" t="s">
        <v>3064</v>
      </c>
      <c r="D24" s="2102" t="s">
        <v>1819</v>
      </c>
      <c r="E24" s="2108"/>
      <c r="F24" s="2101"/>
      <c r="G24" s="2042"/>
      <c r="H24" s="2042"/>
      <c r="I24" s="2042"/>
      <c r="J24" s="2042"/>
      <c r="K24" s="2106"/>
      <c r="L24" s="748"/>
      <c r="M24" s="2028"/>
      <c r="N24" s="2082"/>
      <c r="O24" s="2081"/>
      <c r="P24" s="2082"/>
      <c r="Q24" s="2029"/>
      <c r="R24" s="2029"/>
      <c r="S24" s="2029"/>
      <c r="T24" s="2029"/>
      <c r="U24" s="2029"/>
      <c r="V24" s="2029"/>
    </row>
    <row r="25" spans="1:22" ht="18" customHeight="1">
      <c r="A25" s="2107"/>
      <c r="B25" s="183" t="s">
        <v>1820</v>
      </c>
      <c r="C25" s="2941" t="s">
        <v>3065</v>
      </c>
      <c r="D25" s="2102" t="s">
        <v>1820</v>
      </c>
      <c r="E25" s="2108"/>
      <c r="F25" s="2101"/>
      <c r="G25" s="2042"/>
      <c r="H25" s="2042"/>
      <c r="I25" s="2042"/>
      <c r="J25" s="2042"/>
      <c r="K25" s="2052"/>
      <c r="L25" s="2028"/>
      <c r="M25" s="2028"/>
      <c r="N25" s="2082"/>
      <c r="O25" s="2081"/>
      <c r="P25" s="2082"/>
      <c r="Q25" s="2029"/>
      <c r="R25" s="2029"/>
      <c r="S25" s="2029"/>
      <c r="T25" s="2029"/>
      <c r="U25" s="2029"/>
      <c r="V25" s="2029"/>
    </row>
    <row r="26" spans="1:22" ht="18" customHeight="1" thickBot="1">
      <c r="A26" s="2109"/>
      <c r="B26" s="2110" t="s">
        <v>1821</v>
      </c>
      <c r="C26" s="2111">
        <v>42000</v>
      </c>
      <c r="D26" s="2112" t="s">
        <v>1822</v>
      </c>
      <c r="E26" s="2113"/>
      <c r="F26" s="2114"/>
      <c r="G26" s="2060"/>
      <c r="H26" s="2060"/>
      <c r="I26" s="2060"/>
      <c r="J26" s="2042"/>
      <c r="K26" s="2052"/>
      <c r="L26" s="2028"/>
      <c r="M26" s="2028"/>
      <c r="N26" s="2082"/>
      <c r="O26" s="2081"/>
      <c r="P26" s="2082"/>
      <c r="Q26" s="2029"/>
      <c r="R26" s="2029"/>
      <c r="S26" s="2029"/>
      <c r="T26" s="2029"/>
      <c r="U26" s="2029"/>
      <c r="V26" s="2029"/>
    </row>
    <row r="27" spans="1:22" ht="18" customHeight="1" thickTop="1">
      <c r="A27" s="3048" t="s">
        <v>1823</v>
      </c>
      <c r="B27" s="2061" t="s">
        <v>1824</v>
      </c>
      <c r="C27" s="2115" t="s">
        <v>3066</v>
      </c>
      <c r="D27" s="2116"/>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48"/>
      <c r="B28" s="2035" t="s">
        <v>1825</v>
      </c>
      <c r="C28" s="2117" t="s">
        <v>3067</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48"/>
      <c r="B29" s="2035" t="s">
        <v>1826</v>
      </c>
      <c r="C29" s="2120" t="s">
        <v>3068</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49"/>
      <c r="B30" s="2035" t="s">
        <v>1827</v>
      </c>
      <c r="C30" s="3050"/>
      <c r="D30" s="3051"/>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52" t="s">
        <v>1828</v>
      </c>
      <c r="B31" s="2122" t="s">
        <v>3069</v>
      </c>
      <c r="C31" s="2123" t="str">
        <f>IF(B31="现房","成新及维护状况正常否",IF(B31="在建","工程状态是否正常",IF(B31="土地","是否闲置","-")))</f>
        <v>工程状态是否正常</v>
      </c>
      <c r="D31" s="2124"/>
      <c r="E31" s="2942" t="s">
        <v>3070</v>
      </c>
      <c r="F31" s="2042"/>
      <c r="G31" s="2042"/>
      <c r="H31" s="2042"/>
      <c r="I31" s="2042"/>
      <c r="J31" s="2042"/>
      <c r="K31" s="2050"/>
      <c r="L31" s="2028"/>
      <c r="M31" s="2028"/>
      <c r="N31" s="2029"/>
      <c r="O31" s="2030"/>
      <c r="P31" s="2029"/>
      <c r="Q31" s="2029"/>
      <c r="R31" s="2029"/>
      <c r="S31" s="2029"/>
      <c r="T31" s="2029"/>
      <c r="U31" s="2029"/>
      <c r="V31" s="2029"/>
    </row>
    <row r="32" spans="1:22" ht="18" customHeight="1">
      <c r="A32" s="3053"/>
      <c r="B32" s="2122"/>
      <c r="C32" s="2123" t="str">
        <f>IF(B32="现房","成新及维护状况是否正常",IF(B32="在建","工程状态是否正常",IF(B32="土地","是否闲置","-")))</f>
        <v>-</v>
      </c>
      <c r="D32" s="2124"/>
      <c r="E32" s="2125"/>
      <c r="F32" s="2042"/>
      <c r="G32" s="2042"/>
      <c r="H32" s="2042"/>
      <c r="I32" s="2042"/>
      <c r="J32" s="2042"/>
      <c r="K32" s="2052"/>
      <c r="L32" s="2028"/>
      <c r="M32" s="2028"/>
      <c r="N32" s="2029"/>
      <c r="O32" s="2030"/>
      <c r="P32" s="2029"/>
      <c r="Q32" s="2029"/>
      <c r="R32" s="2029"/>
      <c r="S32" s="2029"/>
      <c r="T32" s="2029"/>
      <c r="U32" s="2029"/>
      <c r="V32" s="2029"/>
    </row>
    <row r="33" spans="1:22" ht="18" customHeight="1">
      <c r="A33" s="3053"/>
      <c r="B33" s="2126"/>
      <c r="C33" s="2067" t="str">
        <f>IF(B33="现房","成新及维护状况是否正常",IF(B33="在建","工程状态是否正常",IF(B33="土地","是否闲置","-")))</f>
        <v>-</v>
      </c>
      <c r="D33" s="2127"/>
      <c r="E33" s="2128"/>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1829</v>
      </c>
      <c r="B34" s="2129" t="s">
        <v>3071</v>
      </c>
      <c r="C34" s="2129" t="s">
        <v>3072</v>
      </c>
      <c r="D34" s="2129" t="s">
        <v>3073</v>
      </c>
      <c r="E34" s="2129" t="s">
        <v>4568</v>
      </c>
      <c r="F34" s="2129" t="s">
        <v>4569</v>
      </c>
      <c r="G34" s="2129" t="s">
        <v>4570</v>
      </c>
      <c r="H34" s="2129"/>
      <c r="I34" s="2042"/>
      <c r="J34" s="2042"/>
      <c r="K34" s="1795">
        <f>COUNTIF(B34:H34,"——")</f>
        <v>0</v>
      </c>
      <c r="L34" s="2072" t="s">
        <v>1830</v>
      </c>
      <c r="M34" s="2072" t="s">
        <v>1831</v>
      </c>
      <c r="N34" s="2072" t="s">
        <v>1832</v>
      </c>
      <c r="O34" s="2072" t="s">
        <v>1833</v>
      </c>
      <c r="P34" s="2072" t="s">
        <v>1834</v>
      </c>
      <c r="Q34" s="2072" t="s">
        <v>1835</v>
      </c>
      <c r="R34" s="2072" t="s">
        <v>1836</v>
      </c>
      <c r="S34" s="3047" t="s">
        <v>1837</v>
      </c>
      <c r="T34" s="2130" t="str">
        <f>NUMBERSTRING(7-K34,1)&amp;"通"</f>
        <v>七通</v>
      </c>
      <c r="U34" s="2029"/>
      <c r="V34" s="2029"/>
    </row>
    <row r="35" spans="1:22" ht="18" customHeight="1">
      <c r="A35" s="2131"/>
      <c r="B35" s="3054" t="s">
        <v>1838</v>
      </c>
      <c r="C35" s="3054"/>
      <c r="D35" s="3054"/>
      <c r="E35" s="3054"/>
      <c r="F35" s="2132" t="str">
        <f>C10</f>
        <v>浙江省</v>
      </c>
      <c r="G35" s="2042"/>
      <c r="H35" s="2042"/>
      <c r="I35" s="2042"/>
      <c r="J35" s="2042"/>
      <c r="K35" s="2072"/>
      <c r="L35" s="2072"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47"/>
      <c r="T35" s="48" t="str">
        <f>IF(T34="一通",L35,IF(T34="二通",M35,IF(T34="三通",N35,IF(T34="四通",O35,IF(T34="五通",P35,IF(T34="六通",Q35,R35))))))</f>
        <v>通路、通电、通上水、通下水、通讯、燃气、</v>
      </c>
      <c r="U35" s="2029"/>
      <c r="V35" s="2029"/>
    </row>
    <row r="36" spans="1:22" ht="18" customHeight="1">
      <c r="A36" s="2133"/>
      <c r="B36" s="2132" t="s">
        <v>1839</v>
      </c>
      <c r="C36" s="2132" t="s">
        <v>1840</v>
      </c>
      <c r="D36" s="2132" t="s">
        <v>1841</v>
      </c>
      <c r="E36" s="2132" t="s">
        <v>1842</v>
      </c>
      <c r="F36" s="2134"/>
      <c r="G36" s="2042"/>
      <c r="H36" s="2042"/>
      <c r="I36" s="2042"/>
      <c r="J36" s="2042"/>
      <c r="K36" s="2052"/>
      <c r="L36" s="2028"/>
      <c r="M36" s="2028"/>
      <c r="N36" s="2029"/>
      <c r="O36" s="2030"/>
      <c r="P36" s="2029"/>
      <c r="Q36" s="2029"/>
      <c r="R36" s="2029"/>
      <c r="S36" s="2029"/>
      <c r="T36" s="2029"/>
      <c r="U36" s="2029"/>
      <c r="V36" s="2029"/>
    </row>
    <row r="37" spans="1:22" ht="18" customHeight="1">
      <c r="A37" s="2135" t="s">
        <v>1843</v>
      </c>
      <c r="B37" s="2136"/>
      <c r="C37" s="2136"/>
      <c r="D37" s="2136" t="s">
        <v>442</v>
      </c>
      <c r="E37" s="2136"/>
      <c r="F37" s="2134"/>
      <c r="G37" s="2042"/>
      <c r="H37" s="2042"/>
      <c r="I37" s="2042"/>
      <c r="J37" s="2042"/>
      <c r="K37" s="2052"/>
      <c r="L37" s="2028"/>
      <c r="M37" s="2028"/>
      <c r="N37" s="2029"/>
      <c r="O37" s="2030"/>
      <c r="P37" s="2029"/>
      <c r="Q37" s="2029"/>
      <c r="R37" s="2029"/>
      <c r="S37" s="2029"/>
      <c r="T37" s="2029"/>
      <c r="U37" s="2029"/>
      <c r="V37" s="2029"/>
    </row>
    <row r="38" spans="1:22" ht="18" customHeight="1" thickBot="1">
      <c r="A38" s="2137" t="s">
        <v>1844</v>
      </c>
      <c r="B38" s="2138"/>
      <c r="C38" s="2138"/>
      <c r="D38" s="2138"/>
      <c r="E38" s="2138"/>
      <c r="F38" s="2139"/>
      <c r="G38" s="2060"/>
      <c r="H38" s="2060"/>
      <c r="I38" s="2060"/>
      <c r="J38" s="2042"/>
      <c r="K38" s="2052"/>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2"/>
      <c r="K40" s="666"/>
      <c r="L40" s="2081"/>
      <c r="M40" s="2081"/>
      <c r="N40" s="2082"/>
      <c r="O40" s="2081"/>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48"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J1646"/>
  <sheetViews>
    <sheetView topLeftCell="A417" workbookViewId="0">
      <selection activeCell="B428" sqref="B428:B445"/>
    </sheetView>
  </sheetViews>
  <sheetFormatPr defaultRowHeight="14.4"/>
  <cols>
    <col min="1" max="1" width="5.88671875" customWidth="1"/>
    <col min="2" max="2" width="11.109375" customWidth="1"/>
    <col min="3" max="3" width="3.88671875" customWidth="1"/>
    <col min="4" max="4" width="11.6640625" customWidth="1"/>
    <col min="6" max="6" width="7.109375" customWidth="1"/>
    <col min="7" max="7" width="6.5546875" customWidth="1"/>
  </cols>
  <sheetData>
    <row r="1" spans="1:7" ht="15.6">
      <c r="A1" s="2973" t="s">
        <v>4519</v>
      </c>
      <c r="B1" s="2973" t="s">
        <v>3559</v>
      </c>
      <c r="C1" s="2973" t="s">
        <v>3560</v>
      </c>
      <c r="D1" s="2973" t="s">
        <v>3561</v>
      </c>
      <c r="E1" s="2973" t="s">
        <v>3562</v>
      </c>
      <c r="F1" s="2973" t="s">
        <v>3563</v>
      </c>
      <c r="G1" s="2974" t="s">
        <v>3564</v>
      </c>
    </row>
    <row r="2" spans="1:7" ht="15.6" hidden="1">
      <c r="A2" s="2973">
        <v>1</v>
      </c>
      <c r="B2" s="2973" t="s">
        <v>3565</v>
      </c>
      <c r="C2" s="2973">
        <v>-1</v>
      </c>
      <c r="D2" s="2973" t="s">
        <v>3566</v>
      </c>
      <c r="E2" s="2973">
        <v>70.37</v>
      </c>
      <c r="F2" s="2973" t="s">
        <v>3567</v>
      </c>
      <c r="G2" s="2974" t="s">
        <v>3568</v>
      </c>
    </row>
    <row r="3" spans="1:7" ht="15.6" hidden="1">
      <c r="A3" s="2973">
        <v>2</v>
      </c>
      <c r="B3" s="2973" t="s">
        <v>3565</v>
      </c>
      <c r="C3" s="2973">
        <v>-1</v>
      </c>
      <c r="D3" s="2973" t="s">
        <v>3569</v>
      </c>
      <c r="E3" s="2973">
        <v>64.02</v>
      </c>
      <c r="F3" s="2973" t="s">
        <v>3567</v>
      </c>
      <c r="G3" s="2974" t="s">
        <v>3568</v>
      </c>
    </row>
    <row r="4" spans="1:7" ht="15.6" hidden="1">
      <c r="A4" s="2973">
        <v>3</v>
      </c>
      <c r="B4" s="2973" t="s">
        <v>3565</v>
      </c>
      <c r="C4" s="2973">
        <v>-1</v>
      </c>
      <c r="D4" s="2973" t="s">
        <v>3570</v>
      </c>
      <c r="E4" s="2973">
        <v>64.02</v>
      </c>
      <c r="F4" s="2973" t="s">
        <v>3567</v>
      </c>
      <c r="G4" s="2974" t="s">
        <v>3568</v>
      </c>
    </row>
    <row r="5" spans="1:7" ht="15.6" hidden="1">
      <c r="A5" s="2973">
        <v>4</v>
      </c>
      <c r="B5" s="2973" t="s">
        <v>3565</v>
      </c>
      <c r="C5" s="2973">
        <v>-1</v>
      </c>
      <c r="D5" s="2973" t="s">
        <v>3571</v>
      </c>
      <c r="E5" s="2973">
        <v>64.02</v>
      </c>
      <c r="F5" s="2973" t="s">
        <v>3567</v>
      </c>
      <c r="G5" s="2974" t="s">
        <v>3568</v>
      </c>
    </row>
    <row r="6" spans="1:7" ht="15.6" hidden="1">
      <c r="A6" s="2973">
        <v>5</v>
      </c>
      <c r="B6" s="2973" t="s">
        <v>3565</v>
      </c>
      <c r="C6" s="2973">
        <v>-1</v>
      </c>
      <c r="D6" s="2973" t="s">
        <v>3572</v>
      </c>
      <c r="E6" s="2973">
        <v>64.02</v>
      </c>
      <c r="F6" s="2973" t="s">
        <v>3567</v>
      </c>
      <c r="G6" s="2974" t="s">
        <v>3568</v>
      </c>
    </row>
    <row r="7" spans="1:7" ht="15.6" hidden="1">
      <c r="A7" s="2973">
        <v>6</v>
      </c>
      <c r="B7" s="2973" t="s">
        <v>3565</v>
      </c>
      <c r="C7" s="2973">
        <v>-1</v>
      </c>
      <c r="D7" s="2973" t="s">
        <v>3573</v>
      </c>
      <c r="E7" s="2973">
        <v>70.37</v>
      </c>
      <c r="F7" s="2973" t="s">
        <v>3567</v>
      </c>
      <c r="G7" s="2974" t="s">
        <v>3568</v>
      </c>
    </row>
    <row r="8" spans="1:7" ht="15.6">
      <c r="A8" s="2973">
        <v>7</v>
      </c>
      <c r="B8" s="2973" t="s">
        <v>3565</v>
      </c>
      <c r="C8" s="2973">
        <v>1</v>
      </c>
      <c r="D8" s="2973" t="s">
        <v>3574</v>
      </c>
      <c r="E8" s="2973">
        <v>61.11</v>
      </c>
      <c r="F8" s="2973" t="s">
        <v>3575</v>
      </c>
      <c r="G8" s="2974" t="s">
        <v>3081</v>
      </c>
    </row>
    <row r="9" spans="1:7" ht="15.6">
      <c r="A9" s="2973">
        <v>8</v>
      </c>
      <c r="B9" s="2973" t="s">
        <v>3565</v>
      </c>
      <c r="C9" s="2973">
        <v>1</v>
      </c>
      <c r="D9" s="2973" t="s">
        <v>3576</v>
      </c>
      <c r="E9" s="2973">
        <v>55.22</v>
      </c>
      <c r="F9" s="2973" t="s">
        <v>3575</v>
      </c>
      <c r="G9" s="2974" t="s">
        <v>3081</v>
      </c>
    </row>
    <row r="10" spans="1:7" ht="15.6">
      <c r="A10" s="2973">
        <v>9</v>
      </c>
      <c r="B10" s="2973" t="s">
        <v>3565</v>
      </c>
      <c r="C10" s="2973">
        <v>1</v>
      </c>
      <c r="D10" s="2973" t="s">
        <v>3577</v>
      </c>
      <c r="E10" s="2973">
        <v>55.22</v>
      </c>
      <c r="F10" s="2973" t="s">
        <v>3575</v>
      </c>
      <c r="G10" s="2974" t="s">
        <v>3081</v>
      </c>
    </row>
    <row r="11" spans="1:7" ht="15.6">
      <c r="A11" s="2973">
        <v>10</v>
      </c>
      <c r="B11" s="2973" t="s">
        <v>3565</v>
      </c>
      <c r="C11" s="2973">
        <v>1</v>
      </c>
      <c r="D11" s="2973" t="s">
        <v>3578</v>
      </c>
      <c r="E11" s="2973">
        <v>55.22</v>
      </c>
      <c r="F11" s="2973" t="s">
        <v>3575</v>
      </c>
      <c r="G11" s="2974" t="s">
        <v>3081</v>
      </c>
    </row>
    <row r="12" spans="1:7" ht="15.6">
      <c r="A12" s="2973">
        <v>11</v>
      </c>
      <c r="B12" s="2973" t="s">
        <v>3565</v>
      </c>
      <c r="C12" s="2973">
        <v>1</v>
      </c>
      <c r="D12" s="2973" t="s">
        <v>3579</v>
      </c>
      <c r="E12" s="2973">
        <v>55.22</v>
      </c>
      <c r="F12" s="2973" t="s">
        <v>3575</v>
      </c>
      <c r="G12" s="2974" t="s">
        <v>3081</v>
      </c>
    </row>
    <row r="13" spans="1:7" ht="15.6">
      <c r="A13" s="2973">
        <v>12</v>
      </c>
      <c r="B13" s="2973" t="s">
        <v>3565</v>
      </c>
      <c r="C13" s="2973">
        <v>1</v>
      </c>
      <c r="D13" s="2973" t="s">
        <v>3580</v>
      </c>
      <c r="E13" s="2973">
        <v>61.11</v>
      </c>
      <c r="F13" s="2973" t="s">
        <v>3575</v>
      </c>
      <c r="G13" s="2974" t="s">
        <v>3081</v>
      </c>
    </row>
    <row r="14" spans="1:7" ht="15.6">
      <c r="A14" s="2973">
        <v>13</v>
      </c>
      <c r="B14" s="2973" t="s">
        <v>3565</v>
      </c>
      <c r="C14" s="2973">
        <v>2</v>
      </c>
      <c r="D14" s="2973" t="s">
        <v>3581</v>
      </c>
      <c r="E14" s="2973">
        <v>56.85</v>
      </c>
      <c r="F14" s="2973" t="s">
        <v>3575</v>
      </c>
      <c r="G14" s="2974" t="s">
        <v>3081</v>
      </c>
    </row>
    <row r="15" spans="1:7" ht="15.6">
      <c r="A15" s="2973">
        <v>14</v>
      </c>
      <c r="B15" s="2973" t="s">
        <v>3565</v>
      </c>
      <c r="C15" s="2973">
        <v>2</v>
      </c>
      <c r="D15" s="2973" t="s">
        <v>3582</v>
      </c>
      <c r="E15" s="2973">
        <v>51.97</v>
      </c>
      <c r="F15" s="2973" t="s">
        <v>3575</v>
      </c>
      <c r="G15" s="2974" t="s">
        <v>3081</v>
      </c>
    </row>
    <row r="16" spans="1:7" ht="15.6">
      <c r="A16" s="2973">
        <v>15</v>
      </c>
      <c r="B16" s="2973" t="s">
        <v>3565</v>
      </c>
      <c r="C16" s="2973">
        <v>2</v>
      </c>
      <c r="D16" s="2973" t="s">
        <v>3583</v>
      </c>
      <c r="E16" s="2973">
        <v>51.97</v>
      </c>
      <c r="F16" s="2973" t="s">
        <v>3575</v>
      </c>
      <c r="G16" s="2974" t="s">
        <v>3081</v>
      </c>
    </row>
    <row r="17" spans="1:7" ht="15.6">
      <c r="A17" s="2973">
        <v>16</v>
      </c>
      <c r="B17" s="2973" t="s">
        <v>3565</v>
      </c>
      <c r="C17" s="2973">
        <v>2</v>
      </c>
      <c r="D17" s="2973" t="s">
        <v>3584</v>
      </c>
      <c r="E17" s="2973">
        <v>51.97</v>
      </c>
      <c r="F17" s="2973" t="s">
        <v>3575</v>
      </c>
      <c r="G17" s="2974" t="s">
        <v>3081</v>
      </c>
    </row>
    <row r="18" spans="1:7" ht="15.6">
      <c r="A18" s="2973">
        <v>17</v>
      </c>
      <c r="B18" s="2973" t="s">
        <v>3565</v>
      </c>
      <c r="C18" s="2973">
        <v>2</v>
      </c>
      <c r="D18" s="2973" t="s">
        <v>3585</v>
      </c>
      <c r="E18" s="2973">
        <v>51.97</v>
      </c>
      <c r="F18" s="2973" t="s">
        <v>3575</v>
      </c>
      <c r="G18" s="2974" t="s">
        <v>3081</v>
      </c>
    </row>
    <row r="19" spans="1:7" ht="15.6">
      <c r="A19" s="2973">
        <v>18</v>
      </c>
      <c r="B19" s="2973" t="s">
        <v>3565</v>
      </c>
      <c r="C19" s="2973">
        <v>2</v>
      </c>
      <c r="D19" s="2973" t="s">
        <v>3586</v>
      </c>
      <c r="E19" s="2973">
        <v>56.85</v>
      </c>
      <c r="F19" s="2973" t="s">
        <v>3575</v>
      </c>
      <c r="G19" s="2974" t="s">
        <v>3081</v>
      </c>
    </row>
    <row r="20" spans="1:7" ht="15.6">
      <c r="A20" s="2973">
        <v>19</v>
      </c>
      <c r="B20" s="2973" t="s">
        <v>3565</v>
      </c>
      <c r="C20" s="2973">
        <v>3</v>
      </c>
      <c r="D20" s="2973" t="s">
        <v>3587</v>
      </c>
      <c r="E20" s="2973">
        <v>61.11</v>
      </c>
      <c r="F20" s="2973" t="s">
        <v>3575</v>
      </c>
      <c r="G20" s="2974" t="s">
        <v>3081</v>
      </c>
    </row>
    <row r="21" spans="1:7" ht="15.6">
      <c r="A21" s="2973">
        <v>20</v>
      </c>
      <c r="B21" s="2973" t="s">
        <v>3565</v>
      </c>
      <c r="C21" s="2973">
        <v>3</v>
      </c>
      <c r="D21" s="2973" t="s">
        <v>3588</v>
      </c>
      <c r="E21" s="2973">
        <v>55.22</v>
      </c>
      <c r="F21" s="2973" t="s">
        <v>3575</v>
      </c>
      <c r="G21" s="2974" t="s">
        <v>3081</v>
      </c>
    </row>
    <row r="22" spans="1:7" ht="15.6">
      <c r="A22" s="2973">
        <v>21</v>
      </c>
      <c r="B22" s="2973" t="s">
        <v>3565</v>
      </c>
      <c r="C22" s="2973">
        <v>3</v>
      </c>
      <c r="D22" s="2973" t="s">
        <v>3589</v>
      </c>
      <c r="E22" s="2973">
        <v>55.22</v>
      </c>
      <c r="F22" s="2973" t="s">
        <v>3575</v>
      </c>
      <c r="G22" s="2974" t="s">
        <v>3081</v>
      </c>
    </row>
    <row r="23" spans="1:7" ht="15.6">
      <c r="A23" s="2973">
        <v>22</v>
      </c>
      <c r="B23" s="2973" t="s">
        <v>3565</v>
      </c>
      <c r="C23" s="2973">
        <v>3</v>
      </c>
      <c r="D23" s="2973" t="s">
        <v>3590</v>
      </c>
      <c r="E23" s="2973">
        <v>55.22</v>
      </c>
      <c r="F23" s="2973" t="s">
        <v>3575</v>
      </c>
      <c r="G23" s="2974" t="s">
        <v>3081</v>
      </c>
    </row>
    <row r="24" spans="1:7" ht="15.6">
      <c r="A24" s="2973">
        <v>23</v>
      </c>
      <c r="B24" s="2973" t="s">
        <v>3565</v>
      </c>
      <c r="C24" s="2973">
        <v>3</v>
      </c>
      <c r="D24" s="2973" t="s">
        <v>3591</v>
      </c>
      <c r="E24" s="2973">
        <v>55.22</v>
      </c>
      <c r="F24" s="2973" t="s">
        <v>3575</v>
      </c>
      <c r="G24" s="2974" t="s">
        <v>3081</v>
      </c>
    </row>
    <row r="25" spans="1:7" ht="15.6">
      <c r="A25" s="2973">
        <v>24</v>
      </c>
      <c r="B25" s="2973" t="s">
        <v>3565</v>
      </c>
      <c r="C25" s="2973">
        <v>3</v>
      </c>
      <c r="D25" s="2973" t="s">
        <v>3592</v>
      </c>
      <c r="E25" s="2973">
        <v>61.11</v>
      </c>
      <c r="F25" s="2973" t="s">
        <v>3575</v>
      </c>
      <c r="G25" s="2974" t="s">
        <v>3081</v>
      </c>
    </row>
    <row r="26" spans="1:7" ht="15.6" hidden="1">
      <c r="A26" s="2973">
        <v>25</v>
      </c>
      <c r="B26" s="2973" t="s">
        <v>3593</v>
      </c>
      <c r="C26" s="2973">
        <v>-1</v>
      </c>
      <c r="D26" s="2973" t="s">
        <v>3566</v>
      </c>
      <c r="E26" s="2973">
        <v>70.22</v>
      </c>
      <c r="F26" s="2973" t="s">
        <v>3567</v>
      </c>
      <c r="G26" s="2974" t="s">
        <v>3568</v>
      </c>
    </row>
    <row r="27" spans="1:7" ht="15.6" hidden="1">
      <c r="A27" s="2973">
        <v>26</v>
      </c>
      <c r="B27" s="2973" t="s">
        <v>3593</v>
      </c>
      <c r="C27" s="2973">
        <v>-1</v>
      </c>
      <c r="D27" s="2973" t="s">
        <v>3569</v>
      </c>
      <c r="E27" s="2973">
        <v>63.87</v>
      </c>
      <c r="F27" s="2973" t="s">
        <v>3567</v>
      </c>
      <c r="G27" s="2974" t="s">
        <v>3568</v>
      </c>
    </row>
    <row r="28" spans="1:7" ht="15.6" hidden="1">
      <c r="A28" s="2973">
        <v>27</v>
      </c>
      <c r="B28" s="2973" t="s">
        <v>3593</v>
      </c>
      <c r="C28" s="2973">
        <v>-1</v>
      </c>
      <c r="D28" s="2973" t="s">
        <v>3570</v>
      </c>
      <c r="E28" s="2973">
        <v>63.87</v>
      </c>
      <c r="F28" s="2973" t="s">
        <v>3567</v>
      </c>
      <c r="G28" s="2974" t="s">
        <v>3568</v>
      </c>
    </row>
    <row r="29" spans="1:7" ht="15.6" hidden="1">
      <c r="A29" s="2973">
        <v>28</v>
      </c>
      <c r="B29" s="2973" t="s">
        <v>3593</v>
      </c>
      <c r="C29" s="2973">
        <v>-1</v>
      </c>
      <c r="D29" s="2973" t="s">
        <v>3571</v>
      </c>
      <c r="E29" s="2973">
        <v>63.87</v>
      </c>
      <c r="F29" s="2973" t="s">
        <v>3567</v>
      </c>
      <c r="G29" s="2974" t="s">
        <v>3568</v>
      </c>
    </row>
    <row r="30" spans="1:7" ht="15.6" hidden="1">
      <c r="A30" s="2973">
        <v>29</v>
      </c>
      <c r="B30" s="2973" t="s">
        <v>3593</v>
      </c>
      <c r="C30" s="2973">
        <v>-1</v>
      </c>
      <c r="D30" s="2973" t="s">
        <v>3572</v>
      </c>
      <c r="E30" s="2973">
        <v>63.87</v>
      </c>
      <c r="F30" s="2973" t="s">
        <v>3567</v>
      </c>
      <c r="G30" s="2974" t="s">
        <v>3568</v>
      </c>
    </row>
    <row r="31" spans="1:7" ht="15.6" hidden="1">
      <c r="A31" s="2973">
        <v>30</v>
      </c>
      <c r="B31" s="2973" t="s">
        <v>3593</v>
      </c>
      <c r="C31" s="2973">
        <v>-1</v>
      </c>
      <c r="D31" s="2973" t="s">
        <v>3573</v>
      </c>
      <c r="E31" s="2973">
        <v>63.87</v>
      </c>
      <c r="F31" s="2973" t="s">
        <v>3567</v>
      </c>
      <c r="G31" s="2974" t="s">
        <v>3568</v>
      </c>
    </row>
    <row r="32" spans="1:7" ht="15.6">
      <c r="A32" s="2973">
        <v>31</v>
      </c>
      <c r="B32" s="2973" t="s">
        <v>3593</v>
      </c>
      <c r="C32" s="2973">
        <v>1</v>
      </c>
      <c r="D32" s="2973" t="s">
        <v>3574</v>
      </c>
      <c r="E32" s="2973">
        <v>61.12</v>
      </c>
      <c r="F32" s="2973" t="s">
        <v>3575</v>
      </c>
      <c r="G32" s="2974" t="s">
        <v>3081</v>
      </c>
    </row>
    <row r="33" spans="1:7" ht="15.6">
      <c r="A33" s="2973">
        <v>32</v>
      </c>
      <c r="B33" s="2973" t="s">
        <v>3593</v>
      </c>
      <c r="C33" s="2973">
        <v>1</v>
      </c>
      <c r="D33" s="2973" t="s">
        <v>3576</v>
      </c>
      <c r="E33" s="2973">
        <v>55.24</v>
      </c>
      <c r="F33" s="2973" t="s">
        <v>3575</v>
      </c>
      <c r="G33" s="2974" t="s">
        <v>3081</v>
      </c>
    </row>
    <row r="34" spans="1:7" ht="15.6">
      <c r="A34" s="2973">
        <v>33</v>
      </c>
      <c r="B34" s="2973" t="s">
        <v>3593</v>
      </c>
      <c r="C34" s="2973">
        <v>1</v>
      </c>
      <c r="D34" s="2973" t="s">
        <v>3577</v>
      </c>
      <c r="E34" s="2973">
        <v>55.24</v>
      </c>
      <c r="F34" s="2973" t="s">
        <v>3575</v>
      </c>
      <c r="G34" s="2974" t="s">
        <v>3081</v>
      </c>
    </row>
    <row r="35" spans="1:7" ht="15.6">
      <c r="A35" s="2973">
        <v>34</v>
      </c>
      <c r="B35" s="2973" t="s">
        <v>3593</v>
      </c>
      <c r="C35" s="2973">
        <v>1</v>
      </c>
      <c r="D35" s="2973" t="s">
        <v>3578</v>
      </c>
      <c r="E35" s="2973">
        <v>55.24</v>
      </c>
      <c r="F35" s="2973" t="s">
        <v>3575</v>
      </c>
      <c r="G35" s="2974" t="s">
        <v>3081</v>
      </c>
    </row>
    <row r="36" spans="1:7" ht="15.6">
      <c r="A36" s="2973">
        <v>35</v>
      </c>
      <c r="B36" s="2973" t="s">
        <v>3593</v>
      </c>
      <c r="C36" s="2973">
        <v>1</v>
      </c>
      <c r="D36" s="2973" t="s">
        <v>3579</v>
      </c>
      <c r="E36" s="2973">
        <v>55.24</v>
      </c>
      <c r="F36" s="2973" t="s">
        <v>3575</v>
      </c>
      <c r="G36" s="2974" t="s">
        <v>3081</v>
      </c>
    </row>
    <row r="37" spans="1:7" ht="15.6">
      <c r="A37" s="2973">
        <v>36</v>
      </c>
      <c r="B37" s="2973" t="s">
        <v>3593</v>
      </c>
      <c r="C37" s="2973">
        <v>1</v>
      </c>
      <c r="D37" s="2973" t="s">
        <v>3580</v>
      </c>
      <c r="E37" s="2973">
        <v>55.24</v>
      </c>
      <c r="F37" s="2973" t="s">
        <v>3575</v>
      </c>
      <c r="G37" s="2974" t="s">
        <v>3081</v>
      </c>
    </row>
    <row r="38" spans="1:7" ht="15.6">
      <c r="A38" s="2973">
        <v>37</v>
      </c>
      <c r="B38" s="2973" t="s">
        <v>3593</v>
      </c>
      <c r="C38" s="2973">
        <v>2</v>
      </c>
      <c r="D38" s="2973" t="s">
        <v>3581</v>
      </c>
      <c r="E38" s="2973">
        <v>56.87</v>
      </c>
      <c r="F38" s="2973" t="s">
        <v>3575</v>
      </c>
      <c r="G38" s="2974" t="s">
        <v>3081</v>
      </c>
    </row>
    <row r="39" spans="1:7" ht="15.6">
      <c r="A39" s="2973">
        <v>38</v>
      </c>
      <c r="B39" s="2973" t="s">
        <v>3593</v>
      </c>
      <c r="C39" s="2973">
        <v>2</v>
      </c>
      <c r="D39" s="2973" t="s">
        <v>3582</v>
      </c>
      <c r="E39" s="2973">
        <v>51.99</v>
      </c>
      <c r="F39" s="2973" t="s">
        <v>3575</v>
      </c>
      <c r="G39" s="2974" t="s">
        <v>3081</v>
      </c>
    </row>
    <row r="40" spans="1:7" ht="15.6">
      <c r="A40" s="2973">
        <v>39</v>
      </c>
      <c r="B40" s="2973" t="s">
        <v>3593</v>
      </c>
      <c r="C40" s="2973">
        <v>2</v>
      </c>
      <c r="D40" s="2973" t="s">
        <v>3583</v>
      </c>
      <c r="E40" s="2973">
        <v>51.99</v>
      </c>
      <c r="F40" s="2973" t="s">
        <v>3575</v>
      </c>
      <c r="G40" s="2974" t="s">
        <v>3081</v>
      </c>
    </row>
    <row r="41" spans="1:7" ht="15.6">
      <c r="A41" s="2973">
        <v>40</v>
      </c>
      <c r="B41" s="2973" t="s">
        <v>3593</v>
      </c>
      <c r="C41" s="2973">
        <v>2</v>
      </c>
      <c r="D41" s="2973" t="s">
        <v>3584</v>
      </c>
      <c r="E41" s="2973">
        <v>51.99</v>
      </c>
      <c r="F41" s="2973" t="s">
        <v>3575</v>
      </c>
      <c r="G41" s="2974" t="s">
        <v>3081</v>
      </c>
    </row>
    <row r="42" spans="1:7" ht="15.6">
      <c r="A42" s="2973">
        <v>41</v>
      </c>
      <c r="B42" s="2973" t="s">
        <v>3593</v>
      </c>
      <c r="C42" s="2973">
        <v>2</v>
      </c>
      <c r="D42" s="2973" t="s">
        <v>3585</v>
      </c>
      <c r="E42" s="2973">
        <v>51.99</v>
      </c>
      <c r="F42" s="2973" t="s">
        <v>3575</v>
      </c>
      <c r="G42" s="2974" t="s">
        <v>3081</v>
      </c>
    </row>
    <row r="43" spans="1:7" ht="15.6">
      <c r="A43" s="2973">
        <v>42</v>
      </c>
      <c r="B43" s="2973" t="s">
        <v>3593</v>
      </c>
      <c r="C43" s="2973">
        <v>2</v>
      </c>
      <c r="D43" s="2973" t="s">
        <v>3586</v>
      </c>
      <c r="E43" s="2973">
        <v>52.14</v>
      </c>
      <c r="F43" s="2973" t="s">
        <v>3575</v>
      </c>
      <c r="G43" s="2974" t="s">
        <v>3081</v>
      </c>
    </row>
    <row r="44" spans="1:7" ht="15.6">
      <c r="A44" s="2973">
        <v>43</v>
      </c>
      <c r="B44" s="2973" t="s">
        <v>3593</v>
      </c>
      <c r="C44" s="2973">
        <v>3</v>
      </c>
      <c r="D44" s="2973" t="s">
        <v>3587</v>
      </c>
      <c r="E44" s="2973">
        <v>61.12</v>
      </c>
      <c r="F44" s="2973" t="s">
        <v>3575</v>
      </c>
      <c r="G44" s="2974" t="s">
        <v>3081</v>
      </c>
    </row>
    <row r="45" spans="1:7" ht="15.6">
      <c r="A45" s="2973">
        <v>44</v>
      </c>
      <c r="B45" s="2973" t="s">
        <v>3593</v>
      </c>
      <c r="C45" s="2973">
        <v>3</v>
      </c>
      <c r="D45" s="2973" t="s">
        <v>3588</v>
      </c>
      <c r="E45" s="2973">
        <v>55.24</v>
      </c>
      <c r="F45" s="2973" t="s">
        <v>3575</v>
      </c>
      <c r="G45" s="2974" t="s">
        <v>3081</v>
      </c>
    </row>
    <row r="46" spans="1:7" ht="15.6">
      <c r="A46" s="2973">
        <v>45</v>
      </c>
      <c r="B46" s="2973" t="s">
        <v>3593</v>
      </c>
      <c r="C46" s="2973">
        <v>3</v>
      </c>
      <c r="D46" s="2973" t="s">
        <v>3589</v>
      </c>
      <c r="E46" s="2973">
        <v>55.24</v>
      </c>
      <c r="F46" s="2973" t="s">
        <v>3575</v>
      </c>
      <c r="G46" s="2974" t="s">
        <v>3081</v>
      </c>
    </row>
    <row r="47" spans="1:7" ht="15.6">
      <c r="A47" s="2973">
        <v>46</v>
      </c>
      <c r="B47" s="2973" t="s">
        <v>3593</v>
      </c>
      <c r="C47" s="2973">
        <v>3</v>
      </c>
      <c r="D47" s="2973" t="s">
        <v>3590</v>
      </c>
      <c r="E47" s="2973">
        <v>55.24</v>
      </c>
      <c r="F47" s="2973" t="s">
        <v>3575</v>
      </c>
      <c r="G47" s="2974" t="s">
        <v>3081</v>
      </c>
    </row>
    <row r="48" spans="1:7" ht="15.6">
      <c r="A48" s="2973">
        <v>47</v>
      </c>
      <c r="B48" s="2973" t="s">
        <v>3593</v>
      </c>
      <c r="C48" s="2973">
        <v>3</v>
      </c>
      <c r="D48" s="2973" t="s">
        <v>3591</v>
      </c>
      <c r="E48" s="2973">
        <v>55.24</v>
      </c>
      <c r="F48" s="2973" t="s">
        <v>3575</v>
      </c>
      <c r="G48" s="2974" t="s">
        <v>3081</v>
      </c>
    </row>
    <row r="49" spans="1:7" ht="15.6">
      <c r="A49" s="2973">
        <v>48</v>
      </c>
      <c r="B49" s="2973" t="s">
        <v>3593</v>
      </c>
      <c r="C49" s="2973">
        <v>3</v>
      </c>
      <c r="D49" s="2973" t="s">
        <v>3592</v>
      </c>
      <c r="E49" s="2973">
        <v>55.24</v>
      </c>
      <c r="F49" s="2973" t="s">
        <v>3575</v>
      </c>
      <c r="G49" s="2974" t="s">
        <v>3081</v>
      </c>
    </row>
    <row r="50" spans="1:7" ht="15.6" hidden="1">
      <c r="A50" s="2973">
        <v>49</v>
      </c>
      <c r="B50" s="2974" t="s">
        <v>3594</v>
      </c>
      <c r="C50" s="2973">
        <v>-1</v>
      </c>
      <c r="D50" s="2973" t="s">
        <v>3595</v>
      </c>
      <c r="E50" s="2975">
        <v>7.95</v>
      </c>
      <c r="F50" s="2973" t="s">
        <v>3596</v>
      </c>
      <c r="G50" s="2974" t="s">
        <v>3568</v>
      </c>
    </row>
    <row r="51" spans="1:7" ht="15.6" hidden="1">
      <c r="A51" s="2973">
        <v>50</v>
      </c>
      <c r="B51" s="2974" t="s">
        <v>3594</v>
      </c>
      <c r="C51" s="2973">
        <v>-1</v>
      </c>
      <c r="D51" s="2973" t="s">
        <v>3597</v>
      </c>
      <c r="E51" s="2975">
        <v>8</v>
      </c>
      <c r="F51" s="2973" t="s">
        <v>3596</v>
      </c>
      <c r="G51" s="2974" t="s">
        <v>3568</v>
      </c>
    </row>
    <row r="52" spans="1:7" ht="15.6" hidden="1">
      <c r="A52" s="2973">
        <v>51</v>
      </c>
      <c r="B52" s="2974" t="s">
        <v>3594</v>
      </c>
      <c r="C52" s="2973">
        <v>-1</v>
      </c>
      <c r="D52" s="2973" t="s">
        <v>3598</v>
      </c>
      <c r="E52" s="2975">
        <v>8</v>
      </c>
      <c r="F52" s="2973" t="s">
        <v>3596</v>
      </c>
      <c r="G52" s="2974" t="s">
        <v>3568</v>
      </c>
    </row>
    <row r="53" spans="1:7" ht="15.6" hidden="1">
      <c r="A53" s="2973">
        <v>52</v>
      </c>
      <c r="B53" s="2974" t="s">
        <v>3594</v>
      </c>
      <c r="C53" s="2973">
        <v>-1</v>
      </c>
      <c r="D53" s="2973" t="s">
        <v>3599</v>
      </c>
      <c r="E53" s="2975">
        <v>5.81</v>
      </c>
      <c r="F53" s="2973" t="s">
        <v>3596</v>
      </c>
      <c r="G53" s="2974" t="s">
        <v>3568</v>
      </c>
    </row>
    <row r="54" spans="1:7" ht="15.6" hidden="1">
      <c r="A54" s="2973">
        <v>53</v>
      </c>
      <c r="B54" s="2974" t="s">
        <v>3594</v>
      </c>
      <c r="C54" s="2973">
        <v>-1</v>
      </c>
      <c r="D54" s="2973" t="s">
        <v>3600</v>
      </c>
      <c r="E54" s="2975">
        <v>5.81</v>
      </c>
      <c r="F54" s="2973" t="s">
        <v>3596</v>
      </c>
      <c r="G54" s="2974" t="s">
        <v>3568</v>
      </c>
    </row>
    <row r="55" spans="1:7" ht="15.6" hidden="1">
      <c r="A55" s="2973">
        <v>54</v>
      </c>
      <c r="B55" s="2974" t="s">
        <v>3594</v>
      </c>
      <c r="C55" s="2973">
        <v>-1</v>
      </c>
      <c r="D55" s="2973" t="s">
        <v>3601</v>
      </c>
      <c r="E55" s="2975">
        <v>17.11</v>
      </c>
      <c r="F55" s="2973" t="s">
        <v>3596</v>
      </c>
      <c r="G55" s="2974" t="s">
        <v>3568</v>
      </c>
    </row>
    <row r="56" spans="1:7" ht="15.6" hidden="1">
      <c r="A56" s="2973">
        <v>55</v>
      </c>
      <c r="B56" s="2974" t="s">
        <v>3594</v>
      </c>
      <c r="C56" s="2973">
        <v>-1</v>
      </c>
      <c r="D56" s="2973" t="s">
        <v>3602</v>
      </c>
      <c r="E56" s="2975">
        <v>11.73</v>
      </c>
      <c r="F56" s="2973" t="s">
        <v>3596</v>
      </c>
      <c r="G56" s="2974" t="s">
        <v>3568</v>
      </c>
    </row>
    <row r="57" spans="1:7" ht="15.6" hidden="1">
      <c r="A57" s="2973">
        <v>56</v>
      </c>
      <c r="B57" s="2974" t="s">
        <v>3594</v>
      </c>
      <c r="C57" s="2973">
        <v>-1</v>
      </c>
      <c r="D57" s="2973" t="s">
        <v>3603</v>
      </c>
      <c r="E57" s="2975">
        <v>10.79</v>
      </c>
      <c r="F57" s="2973" t="s">
        <v>3596</v>
      </c>
      <c r="G57" s="2974" t="s">
        <v>3568</v>
      </c>
    </row>
    <row r="58" spans="1:7" ht="15.6" hidden="1">
      <c r="A58" s="2973">
        <v>57</v>
      </c>
      <c r="B58" s="2974" t="s">
        <v>3594</v>
      </c>
      <c r="C58" s="2973">
        <v>-1</v>
      </c>
      <c r="D58" s="2973" t="s">
        <v>3604</v>
      </c>
      <c r="E58" s="2975">
        <v>11.73</v>
      </c>
      <c r="F58" s="2973" t="s">
        <v>3596</v>
      </c>
      <c r="G58" s="2974" t="s">
        <v>3568</v>
      </c>
    </row>
    <row r="59" spans="1:7" ht="15.6" hidden="1">
      <c r="A59" s="2973">
        <v>58</v>
      </c>
      <c r="B59" s="2974" t="s">
        <v>3594</v>
      </c>
      <c r="C59" s="2973">
        <v>-1</v>
      </c>
      <c r="D59" s="2973" t="s">
        <v>3605</v>
      </c>
      <c r="E59" s="2975">
        <v>17.11</v>
      </c>
      <c r="F59" s="2973" t="s">
        <v>3596</v>
      </c>
      <c r="G59" s="2974" t="s">
        <v>3568</v>
      </c>
    </row>
    <row r="60" spans="1:7" ht="15.6" hidden="1">
      <c r="A60" s="2973">
        <v>59</v>
      </c>
      <c r="B60" s="2974" t="s">
        <v>3594</v>
      </c>
      <c r="C60" s="2973">
        <v>-1</v>
      </c>
      <c r="D60" s="2973" t="s">
        <v>3606</v>
      </c>
      <c r="E60" s="2975">
        <v>9.51</v>
      </c>
      <c r="F60" s="2973" t="s">
        <v>3596</v>
      </c>
      <c r="G60" s="2974" t="s">
        <v>3568</v>
      </c>
    </row>
    <row r="61" spans="1:7" ht="15.6" hidden="1">
      <c r="A61" s="2973">
        <v>60</v>
      </c>
      <c r="B61" s="2974" t="s">
        <v>3594</v>
      </c>
      <c r="C61" s="2973">
        <v>-1</v>
      </c>
      <c r="D61" s="2973" t="s">
        <v>3607</v>
      </c>
      <c r="E61" s="2975">
        <v>9.92</v>
      </c>
      <c r="F61" s="2973" t="s">
        <v>3596</v>
      </c>
      <c r="G61" s="2974" t="s">
        <v>3568</v>
      </c>
    </row>
    <row r="62" spans="1:7" ht="15.6" hidden="1">
      <c r="A62" s="2973">
        <v>61</v>
      </c>
      <c r="B62" s="2974" t="s">
        <v>3594</v>
      </c>
      <c r="C62" s="2973">
        <v>-1</v>
      </c>
      <c r="D62" s="2973" t="s">
        <v>3608</v>
      </c>
      <c r="E62" s="2975">
        <v>6.22</v>
      </c>
      <c r="F62" s="2973" t="s">
        <v>3596</v>
      </c>
      <c r="G62" s="2974" t="s">
        <v>3568</v>
      </c>
    </row>
    <row r="63" spans="1:7" ht="15.6" hidden="1">
      <c r="A63" s="2973">
        <v>62</v>
      </c>
      <c r="B63" s="2974" t="s">
        <v>3594</v>
      </c>
      <c r="C63" s="2973">
        <v>-1</v>
      </c>
      <c r="D63" s="2973" t="s">
        <v>3609</v>
      </c>
      <c r="E63" s="2975">
        <v>6.4</v>
      </c>
      <c r="F63" s="2973" t="s">
        <v>3596</v>
      </c>
      <c r="G63" s="2974" t="s">
        <v>3568</v>
      </c>
    </row>
    <row r="64" spans="1:7" ht="15.6" hidden="1">
      <c r="A64" s="2973">
        <v>63</v>
      </c>
      <c r="B64" s="2974" t="s">
        <v>3594</v>
      </c>
      <c r="C64" s="2973">
        <v>-1</v>
      </c>
      <c r="D64" s="2973" t="s">
        <v>3610</v>
      </c>
      <c r="E64" s="2975">
        <v>10</v>
      </c>
      <c r="F64" s="2973" t="s">
        <v>3596</v>
      </c>
      <c r="G64" s="2974" t="s">
        <v>3568</v>
      </c>
    </row>
    <row r="65" spans="1:7" ht="15.6" hidden="1">
      <c r="A65" s="2973">
        <v>64</v>
      </c>
      <c r="B65" s="2974" t="s">
        <v>3594</v>
      </c>
      <c r="C65" s="2973">
        <v>-1</v>
      </c>
      <c r="D65" s="2973" t="s">
        <v>3611</v>
      </c>
      <c r="E65" s="2975">
        <v>9.4700000000000006</v>
      </c>
      <c r="F65" s="2973" t="s">
        <v>3596</v>
      </c>
      <c r="G65" s="2974" t="s">
        <v>3568</v>
      </c>
    </row>
    <row r="66" spans="1:7" ht="15.6" hidden="1">
      <c r="A66" s="2973">
        <v>65</v>
      </c>
      <c r="B66" s="2974" t="s">
        <v>3594</v>
      </c>
      <c r="C66" s="2973">
        <v>-1</v>
      </c>
      <c r="D66" s="2973" t="s">
        <v>3612</v>
      </c>
      <c r="E66" s="2975">
        <v>9.4700000000000006</v>
      </c>
      <c r="F66" s="2973" t="s">
        <v>3596</v>
      </c>
      <c r="G66" s="2974" t="s">
        <v>3568</v>
      </c>
    </row>
    <row r="67" spans="1:7" ht="15.6" hidden="1">
      <c r="A67" s="2973">
        <v>66</v>
      </c>
      <c r="B67" s="2974" t="s">
        <v>3594</v>
      </c>
      <c r="C67" s="2973">
        <v>-1</v>
      </c>
      <c r="D67" s="2973" t="s">
        <v>3613</v>
      </c>
      <c r="E67" s="2975">
        <v>10.08</v>
      </c>
      <c r="F67" s="2973" t="s">
        <v>3596</v>
      </c>
      <c r="G67" s="2974" t="s">
        <v>3568</v>
      </c>
    </row>
    <row r="68" spans="1:7" ht="15.6" hidden="1">
      <c r="A68" s="2973">
        <v>67</v>
      </c>
      <c r="B68" s="2974" t="s">
        <v>3594</v>
      </c>
      <c r="C68" s="2973">
        <v>-1</v>
      </c>
      <c r="D68" s="2973" t="s">
        <v>3614</v>
      </c>
      <c r="E68" s="2975">
        <v>6.97</v>
      </c>
      <c r="F68" s="2973" t="s">
        <v>3596</v>
      </c>
      <c r="G68" s="2974" t="s">
        <v>3568</v>
      </c>
    </row>
    <row r="69" spans="1:7" ht="15.6" hidden="1">
      <c r="A69" s="2973">
        <v>68</v>
      </c>
      <c r="B69" s="2974" t="s">
        <v>3594</v>
      </c>
      <c r="C69" s="2974">
        <v>1</v>
      </c>
      <c r="D69" s="2976">
        <v>101</v>
      </c>
      <c r="E69" s="2976">
        <v>116.66</v>
      </c>
      <c r="F69" s="2974" t="s">
        <v>3615</v>
      </c>
      <c r="G69" s="2974" t="s">
        <v>3616</v>
      </c>
    </row>
    <row r="70" spans="1:7" ht="15.6" hidden="1">
      <c r="A70" s="2973">
        <v>69</v>
      </c>
      <c r="B70" s="2974" t="s">
        <v>3594</v>
      </c>
      <c r="C70" s="2974">
        <v>1</v>
      </c>
      <c r="D70" s="2976">
        <v>102</v>
      </c>
      <c r="E70" s="2976">
        <v>104.03</v>
      </c>
      <c r="F70" s="2974" t="s">
        <v>3615</v>
      </c>
      <c r="G70" s="2974" t="s">
        <v>3616</v>
      </c>
    </row>
    <row r="71" spans="1:7" ht="15.6" hidden="1">
      <c r="A71" s="2973">
        <v>70</v>
      </c>
      <c r="B71" s="2974" t="s">
        <v>3594</v>
      </c>
      <c r="C71" s="2974">
        <v>1</v>
      </c>
      <c r="D71" s="2976">
        <v>103</v>
      </c>
      <c r="E71" s="2976">
        <v>104.03</v>
      </c>
      <c r="F71" s="2974" t="s">
        <v>3615</v>
      </c>
      <c r="G71" s="2974" t="s">
        <v>3616</v>
      </c>
    </row>
    <row r="72" spans="1:7" ht="15.6" hidden="1">
      <c r="A72" s="2973">
        <v>71</v>
      </c>
      <c r="B72" s="2974" t="s">
        <v>3594</v>
      </c>
      <c r="C72" s="2974">
        <v>1</v>
      </c>
      <c r="D72" s="2976">
        <v>104</v>
      </c>
      <c r="E72" s="2976">
        <v>116.66</v>
      </c>
      <c r="F72" s="2974" t="s">
        <v>3615</v>
      </c>
      <c r="G72" s="2974" t="s">
        <v>3616</v>
      </c>
    </row>
    <row r="73" spans="1:7" ht="15.6" hidden="1">
      <c r="A73" s="2973">
        <v>72</v>
      </c>
      <c r="B73" s="2974" t="s">
        <v>3594</v>
      </c>
      <c r="C73" s="2974">
        <v>2</v>
      </c>
      <c r="D73" s="2976">
        <v>201</v>
      </c>
      <c r="E73" s="2976">
        <v>116.66</v>
      </c>
      <c r="F73" s="2974" t="s">
        <v>3615</v>
      </c>
      <c r="G73" s="2974" t="s">
        <v>3616</v>
      </c>
    </row>
    <row r="74" spans="1:7" ht="15.6" hidden="1">
      <c r="A74" s="2973">
        <v>73</v>
      </c>
      <c r="B74" s="2974" t="s">
        <v>3594</v>
      </c>
      <c r="C74" s="2974">
        <v>2</v>
      </c>
      <c r="D74" s="2976">
        <v>202</v>
      </c>
      <c r="E74" s="2976">
        <v>117.48</v>
      </c>
      <c r="F74" s="2974" t="s">
        <v>3615</v>
      </c>
      <c r="G74" s="2974" t="s">
        <v>3616</v>
      </c>
    </row>
    <row r="75" spans="1:7" ht="15.6" hidden="1">
      <c r="A75" s="2973">
        <v>74</v>
      </c>
      <c r="B75" s="2974" t="s">
        <v>3594</v>
      </c>
      <c r="C75" s="2974">
        <v>2</v>
      </c>
      <c r="D75" s="2976">
        <v>203</v>
      </c>
      <c r="E75" s="2976">
        <v>117.48</v>
      </c>
      <c r="F75" s="2974" t="s">
        <v>3615</v>
      </c>
      <c r="G75" s="2974" t="s">
        <v>3616</v>
      </c>
    </row>
    <row r="76" spans="1:7" ht="15.6" hidden="1">
      <c r="A76" s="2973">
        <v>75</v>
      </c>
      <c r="B76" s="2974" t="s">
        <v>3594</v>
      </c>
      <c r="C76" s="2974">
        <v>2</v>
      </c>
      <c r="D76" s="2976">
        <v>204</v>
      </c>
      <c r="E76" s="2976">
        <v>116.66</v>
      </c>
      <c r="F76" s="2974" t="s">
        <v>3615</v>
      </c>
      <c r="G76" s="2974" t="s">
        <v>3616</v>
      </c>
    </row>
    <row r="77" spans="1:7" ht="15.6" hidden="1">
      <c r="A77" s="2973">
        <v>76</v>
      </c>
      <c r="B77" s="2974" t="s">
        <v>3594</v>
      </c>
      <c r="C77" s="2974">
        <v>3</v>
      </c>
      <c r="D77" s="2976">
        <v>301</v>
      </c>
      <c r="E77" s="2976">
        <v>116.66</v>
      </c>
      <c r="F77" s="2974" t="s">
        <v>3615</v>
      </c>
      <c r="G77" s="2974" t="s">
        <v>3616</v>
      </c>
    </row>
    <row r="78" spans="1:7" ht="15.6" hidden="1">
      <c r="A78" s="2973">
        <v>77</v>
      </c>
      <c r="B78" s="2974" t="s">
        <v>3594</v>
      </c>
      <c r="C78" s="2974">
        <v>3</v>
      </c>
      <c r="D78" s="2976">
        <v>302</v>
      </c>
      <c r="E78" s="2976">
        <v>117.48</v>
      </c>
      <c r="F78" s="2974" t="s">
        <v>3615</v>
      </c>
      <c r="G78" s="2974" t="s">
        <v>3616</v>
      </c>
    </row>
    <row r="79" spans="1:7" ht="15.6" hidden="1">
      <c r="A79" s="2973">
        <v>78</v>
      </c>
      <c r="B79" s="2974" t="s">
        <v>3594</v>
      </c>
      <c r="C79" s="2974">
        <v>3</v>
      </c>
      <c r="D79" s="2976">
        <v>303</v>
      </c>
      <c r="E79" s="2976">
        <v>117.48</v>
      </c>
      <c r="F79" s="2974" t="s">
        <v>3615</v>
      </c>
      <c r="G79" s="2974" t="s">
        <v>3616</v>
      </c>
    </row>
    <row r="80" spans="1:7" ht="15.6" hidden="1">
      <c r="A80" s="2973">
        <v>79</v>
      </c>
      <c r="B80" s="2974" t="s">
        <v>3594</v>
      </c>
      <c r="C80" s="2974">
        <v>3</v>
      </c>
      <c r="D80" s="2976">
        <v>304</v>
      </c>
      <c r="E80" s="2976">
        <v>116.66</v>
      </c>
      <c r="F80" s="2974" t="s">
        <v>3615</v>
      </c>
      <c r="G80" s="2974" t="s">
        <v>3616</v>
      </c>
    </row>
    <row r="81" spans="1:7" ht="15.6" hidden="1">
      <c r="A81" s="2973">
        <v>80</v>
      </c>
      <c r="B81" s="2974" t="s">
        <v>3594</v>
      </c>
      <c r="C81" s="2974">
        <v>4</v>
      </c>
      <c r="D81" s="2976">
        <v>401</v>
      </c>
      <c r="E81" s="2976">
        <v>116.66</v>
      </c>
      <c r="F81" s="2974" t="s">
        <v>3615</v>
      </c>
      <c r="G81" s="2974" t="s">
        <v>3616</v>
      </c>
    </row>
    <row r="82" spans="1:7" ht="15.6" hidden="1">
      <c r="A82" s="2973">
        <v>81</v>
      </c>
      <c r="B82" s="2974" t="s">
        <v>3594</v>
      </c>
      <c r="C82" s="2974">
        <v>4</v>
      </c>
      <c r="D82" s="2976">
        <v>402</v>
      </c>
      <c r="E82" s="2976">
        <v>117.48</v>
      </c>
      <c r="F82" s="2974" t="s">
        <v>3615</v>
      </c>
      <c r="G82" s="2974" t="s">
        <v>3616</v>
      </c>
    </row>
    <row r="83" spans="1:7" ht="15.6" hidden="1">
      <c r="A83" s="2973">
        <v>82</v>
      </c>
      <c r="B83" s="2974" t="s">
        <v>3594</v>
      </c>
      <c r="C83" s="2974">
        <v>4</v>
      </c>
      <c r="D83" s="2976">
        <v>403</v>
      </c>
      <c r="E83" s="2976">
        <v>117.48</v>
      </c>
      <c r="F83" s="2974" t="s">
        <v>3615</v>
      </c>
      <c r="G83" s="2974" t="s">
        <v>3616</v>
      </c>
    </row>
    <row r="84" spans="1:7" ht="15.6" hidden="1">
      <c r="A84" s="2973">
        <v>83</v>
      </c>
      <c r="B84" s="2974" t="s">
        <v>3594</v>
      </c>
      <c r="C84" s="2974">
        <v>4</v>
      </c>
      <c r="D84" s="2976">
        <v>404</v>
      </c>
      <c r="E84" s="2976">
        <v>116.66</v>
      </c>
      <c r="F84" s="2974" t="s">
        <v>3615</v>
      </c>
      <c r="G84" s="2974" t="s">
        <v>3616</v>
      </c>
    </row>
    <row r="85" spans="1:7" ht="15.6" hidden="1">
      <c r="A85" s="2973">
        <v>84</v>
      </c>
      <c r="B85" s="2974" t="s">
        <v>3594</v>
      </c>
      <c r="C85" s="2974">
        <v>5</v>
      </c>
      <c r="D85" s="2976">
        <v>501</v>
      </c>
      <c r="E85" s="2976">
        <v>116.66</v>
      </c>
      <c r="F85" s="2974" t="s">
        <v>3615</v>
      </c>
      <c r="G85" s="2974" t="s">
        <v>3616</v>
      </c>
    </row>
    <row r="86" spans="1:7" ht="15.6" hidden="1">
      <c r="A86" s="2973">
        <v>85</v>
      </c>
      <c r="B86" s="2974" t="s">
        <v>3594</v>
      </c>
      <c r="C86" s="2974">
        <v>5</v>
      </c>
      <c r="D86" s="2976">
        <v>502</v>
      </c>
      <c r="E86" s="2976">
        <v>117.48</v>
      </c>
      <c r="F86" s="2974" t="s">
        <v>3615</v>
      </c>
      <c r="G86" s="2974" t="s">
        <v>3616</v>
      </c>
    </row>
    <row r="87" spans="1:7" ht="15.6" hidden="1">
      <c r="A87" s="2973">
        <v>86</v>
      </c>
      <c r="B87" s="2974" t="s">
        <v>3594</v>
      </c>
      <c r="C87" s="2974">
        <v>5</v>
      </c>
      <c r="D87" s="2976">
        <v>503</v>
      </c>
      <c r="E87" s="2976">
        <v>117.48</v>
      </c>
      <c r="F87" s="2974" t="s">
        <v>3615</v>
      </c>
      <c r="G87" s="2974" t="s">
        <v>3616</v>
      </c>
    </row>
    <row r="88" spans="1:7" ht="15.6" hidden="1">
      <c r="A88" s="2973">
        <v>87</v>
      </c>
      <c r="B88" s="2974" t="s">
        <v>3594</v>
      </c>
      <c r="C88" s="2974">
        <v>5</v>
      </c>
      <c r="D88" s="2976">
        <v>504</v>
      </c>
      <c r="E88" s="2976">
        <v>116.66</v>
      </c>
      <c r="F88" s="2974" t="s">
        <v>3615</v>
      </c>
      <c r="G88" s="2974" t="s">
        <v>3616</v>
      </c>
    </row>
    <row r="89" spans="1:7" ht="15.6" hidden="1">
      <c r="A89" s="2973">
        <v>88</v>
      </c>
      <c r="B89" s="2974" t="s">
        <v>3594</v>
      </c>
      <c r="C89" s="2974">
        <v>6</v>
      </c>
      <c r="D89" s="2976">
        <v>601</v>
      </c>
      <c r="E89" s="2976">
        <v>116.66</v>
      </c>
      <c r="F89" s="2974" t="s">
        <v>3615</v>
      </c>
      <c r="G89" s="2974" t="s">
        <v>3616</v>
      </c>
    </row>
    <row r="90" spans="1:7" ht="15.6" hidden="1">
      <c r="A90" s="2973">
        <v>89</v>
      </c>
      <c r="B90" s="2974" t="s">
        <v>3594</v>
      </c>
      <c r="C90" s="2974">
        <v>6</v>
      </c>
      <c r="D90" s="2976">
        <v>602</v>
      </c>
      <c r="E90" s="2976">
        <v>117.48</v>
      </c>
      <c r="F90" s="2974" t="s">
        <v>3615</v>
      </c>
      <c r="G90" s="2974" t="s">
        <v>3616</v>
      </c>
    </row>
    <row r="91" spans="1:7" ht="15.6" hidden="1">
      <c r="A91" s="2973">
        <v>90</v>
      </c>
      <c r="B91" s="2974" t="s">
        <v>3594</v>
      </c>
      <c r="C91" s="2974">
        <v>6</v>
      </c>
      <c r="D91" s="2976">
        <v>603</v>
      </c>
      <c r="E91" s="2976">
        <v>117.48</v>
      </c>
      <c r="F91" s="2974" t="s">
        <v>3615</v>
      </c>
      <c r="G91" s="2974" t="s">
        <v>3616</v>
      </c>
    </row>
    <row r="92" spans="1:7" ht="15.6" hidden="1">
      <c r="A92" s="2973">
        <v>91</v>
      </c>
      <c r="B92" s="2974" t="s">
        <v>3594</v>
      </c>
      <c r="C92" s="2974">
        <v>6</v>
      </c>
      <c r="D92" s="2976">
        <v>604</v>
      </c>
      <c r="E92" s="2976">
        <v>116.66</v>
      </c>
      <c r="F92" s="2974" t="s">
        <v>3615</v>
      </c>
      <c r="G92" s="2974" t="s">
        <v>3616</v>
      </c>
    </row>
    <row r="93" spans="1:7" ht="15.6" hidden="1">
      <c r="A93" s="2973">
        <v>92</v>
      </c>
      <c r="B93" s="2974" t="s">
        <v>3594</v>
      </c>
      <c r="C93" s="2974">
        <v>7</v>
      </c>
      <c r="D93" s="2976">
        <v>701</v>
      </c>
      <c r="E93" s="2976">
        <v>116.66</v>
      </c>
      <c r="F93" s="2974" t="s">
        <v>3615</v>
      </c>
      <c r="G93" s="2974" t="s">
        <v>3616</v>
      </c>
    </row>
    <row r="94" spans="1:7" ht="15.6" hidden="1">
      <c r="A94" s="2973">
        <v>93</v>
      </c>
      <c r="B94" s="2974" t="s">
        <v>3594</v>
      </c>
      <c r="C94" s="2974">
        <v>7</v>
      </c>
      <c r="D94" s="2976">
        <v>702</v>
      </c>
      <c r="E94" s="2976">
        <v>117.48</v>
      </c>
      <c r="F94" s="2974" t="s">
        <v>3615</v>
      </c>
      <c r="G94" s="2974" t="s">
        <v>3616</v>
      </c>
    </row>
    <row r="95" spans="1:7" ht="15.6" hidden="1">
      <c r="A95" s="2973">
        <v>94</v>
      </c>
      <c r="B95" s="2974" t="s">
        <v>3594</v>
      </c>
      <c r="C95" s="2974">
        <v>7</v>
      </c>
      <c r="D95" s="2976">
        <v>703</v>
      </c>
      <c r="E95" s="2976">
        <v>117.48</v>
      </c>
      <c r="F95" s="2974" t="s">
        <v>3615</v>
      </c>
      <c r="G95" s="2974" t="s">
        <v>3616</v>
      </c>
    </row>
    <row r="96" spans="1:7" ht="15.6" hidden="1">
      <c r="A96" s="2973">
        <v>95</v>
      </c>
      <c r="B96" s="2974" t="s">
        <v>3594</v>
      </c>
      <c r="C96" s="2974">
        <v>7</v>
      </c>
      <c r="D96" s="2976">
        <v>704</v>
      </c>
      <c r="E96" s="2976">
        <v>116.66</v>
      </c>
      <c r="F96" s="2974" t="s">
        <v>3615</v>
      </c>
      <c r="G96" s="2974" t="s">
        <v>3616</v>
      </c>
    </row>
    <row r="97" spans="1:7" ht="15.6" hidden="1">
      <c r="A97" s="2973">
        <v>96</v>
      </c>
      <c r="B97" s="2974" t="s">
        <v>3594</v>
      </c>
      <c r="C97" s="2974">
        <v>8</v>
      </c>
      <c r="D97" s="2976">
        <v>801</v>
      </c>
      <c r="E97" s="2976">
        <v>116.66</v>
      </c>
      <c r="F97" s="2974" t="s">
        <v>3615</v>
      </c>
      <c r="G97" s="2974" t="s">
        <v>3616</v>
      </c>
    </row>
    <row r="98" spans="1:7" ht="15.6" hidden="1">
      <c r="A98" s="2973">
        <v>97</v>
      </c>
      <c r="B98" s="2974" t="s">
        <v>3594</v>
      </c>
      <c r="C98" s="2974">
        <v>8</v>
      </c>
      <c r="D98" s="2976">
        <v>802</v>
      </c>
      <c r="E98" s="2976">
        <v>117.48</v>
      </c>
      <c r="F98" s="2974" t="s">
        <v>3615</v>
      </c>
      <c r="G98" s="2974" t="s">
        <v>3616</v>
      </c>
    </row>
    <row r="99" spans="1:7" ht="15.6" hidden="1">
      <c r="A99" s="2973">
        <v>98</v>
      </c>
      <c r="B99" s="2974" t="s">
        <v>3594</v>
      </c>
      <c r="C99" s="2974">
        <v>8</v>
      </c>
      <c r="D99" s="2976">
        <v>803</v>
      </c>
      <c r="E99" s="2976">
        <v>117.48</v>
      </c>
      <c r="F99" s="2974" t="s">
        <v>3615</v>
      </c>
      <c r="G99" s="2974" t="s">
        <v>3616</v>
      </c>
    </row>
    <row r="100" spans="1:7" ht="15.6" hidden="1">
      <c r="A100" s="2973">
        <v>99</v>
      </c>
      <c r="B100" s="2974" t="s">
        <v>3594</v>
      </c>
      <c r="C100" s="2974">
        <v>8</v>
      </c>
      <c r="D100" s="2976">
        <v>804</v>
      </c>
      <c r="E100" s="2976">
        <v>116.66</v>
      </c>
      <c r="F100" s="2974" t="s">
        <v>3615</v>
      </c>
      <c r="G100" s="2974" t="s">
        <v>3616</v>
      </c>
    </row>
    <row r="101" spans="1:7" ht="15.6" hidden="1">
      <c r="A101" s="2973">
        <v>100</v>
      </c>
      <c r="B101" s="2974" t="s">
        <v>3594</v>
      </c>
      <c r="C101" s="2974">
        <v>9</v>
      </c>
      <c r="D101" s="2976">
        <v>901</v>
      </c>
      <c r="E101" s="2976">
        <v>105.68</v>
      </c>
      <c r="F101" s="2974" t="s">
        <v>3615</v>
      </c>
      <c r="G101" s="2974" t="s">
        <v>3616</v>
      </c>
    </row>
    <row r="102" spans="1:7" ht="15.6" hidden="1">
      <c r="A102" s="2973">
        <v>101</v>
      </c>
      <c r="B102" s="2974" t="s">
        <v>3594</v>
      </c>
      <c r="C102" s="2974">
        <v>9</v>
      </c>
      <c r="D102" s="2976">
        <v>902</v>
      </c>
      <c r="E102" s="2976">
        <v>106.54</v>
      </c>
      <c r="F102" s="2974" t="s">
        <v>3615</v>
      </c>
      <c r="G102" s="2974" t="s">
        <v>3616</v>
      </c>
    </row>
    <row r="103" spans="1:7" ht="15.6" hidden="1">
      <c r="A103" s="2973">
        <v>102</v>
      </c>
      <c r="B103" s="2974" t="s">
        <v>3594</v>
      </c>
      <c r="C103" s="2974">
        <v>9</v>
      </c>
      <c r="D103" s="2976">
        <v>903</v>
      </c>
      <c r="E103" s="2976">
        <v>106.54</v>
      </c>
      <c r="F103" s="2974" t="s">
        <v>3615</v>
      </c>
      <c r="G103" s="2974" t="s">
        <v>3616</v>
      </c>
    </row>
    <row r="104" spans="1:7" ht="15.6" hidden="1">
      <c r="A104" s="2973">
        <v>103</v>
      </c>
      <c r="B104" s="2974" t="s">
        <v>3594</v>
      </c>
      <c r="C104" s="2974">
        <v>9</v>
      </c>
      <c r="D104" s="2976">
        <v>904</v>
      </c>
      <c r="E104" s="2976">
        <v>105.68</v>
      </c>
      <c r="F104" s="2974" t="s">
        <v>3615</v>
      </c>
      <c r="G104" s="2974" t="s">
        <v>3616</v>
      </c>
    </row>
    <row r="105" spans="1:7" ht="15.6" hidden="1">
      <c r="A105" s="2973">
        <v>104</v>
      </c>
      <c r="B105" s="2974" t="s">
        <v>3617</v>
      </c>
      <c r="C105" s="2973">
        <v>-1</v>
      </c>
      <c r="D105" s="2973" t="s">
        <v>3618</v>
      </c>
      <c r="E105" s="2973">
        <v>5.29</v>
      </c>
      <c r="F105" s="2973" t="s">
        <v>3619</v>
      </c>
      <c r="G105" s="2974" t="s">
        <v>3620</v>
      </c>
    </row>
    <row r="106" spans="1:7" ht="15.6" hidden="1">
      <c r="A106" s="2973">
        <v>105</v>
      </c>
      <c r="B106" s="2974" t="s">
        <v>3617</v>
      </c>
      <c r="C106" s="2973">
        <v>-1</v>
      </c>
      <c r="D106" s="2973" t="s">
        <v>3621</v>
      </c>
      <c r="E106" s="2973">
        <v>5.05</v>
      </c>
      <c r="F106" s="2973" t="s">
        <v>3619</v>
      </c>
      <c r="G106" s="2974" t="s">
        <v>3620</v>
      </c>
    </row>
    <row r="107" spans="1:7" ht="15.6" hidden="1">
      <c r="A107" s="2973">
        <v>106</v>
      </c>
      <c r="B107" s="2974" t="s">
        <v>3617</v>
      </c>
      <c r="C107" s="2973">
        <v>-1</v>
      </c>
      <c r="D107" s="2973" t="s">
        <v>3622</v>
      </c>
      <c r="E107" s="2973">
        <v>5.81</v>
      </c>
      <c r="F107" s="2973" t="s">
        <v>3619</v>
      </c>
      <c r="G107" s="2974" t="s">
        <v>3620</v>
      </c>
    </row>
    <row r="108" spans="1:7" ht="15.6" hidden="1">
      <c r="A108" s="2973">
        <v>107</v>
      </c>
      <c r="B108" s="2974" t="s">
        <v>3617</v>
      </c>
      <c r="C108" s="2973">
        <v>-1</v>
      </c>
      <c r="D108" s="2973" t="s">
        <v>3623</v>
      </c>
      <c r="E108" s="2973">
        <v>13.8</v>
      </c>
      <c r="F108" s="2973" t="s">
        <v>3619</v>
      </c>
      <c r="G108" s="2974" t="s">
        <v>3620</v>
      </c>
    </row>
    <row r="109" spans="1:7" ht="15.6" hidden="1">
      <c r="A109" s="2973">
        <v>108</v>
      </c>
      <c r="B109" s="2974" t="s">
        <v>3617</v>
      </c>
      <c r="C109" s="2973">
        <v>-1</v>
      </c>
      <c r="D109" s="2973" t="s">
        <v>3624</v>
      </c>
      <c r="E109" s="2973">
        <v>5.78</v>
      </c>
      <c r="F109" s="2973" t="s">
        <v>3619</v>
      </c>
      <c r="G109" s="2974" t="s">
        <v>3620</v>
      </c>
    </row>
    <row r="110" spans="1:7" ht="15.6" hidden="1">
      <c r="A110" s="2973">
        <v>109</v>
      </c>
      <c r="B110" s="2974" t="s">
        <v>3617</v>
      </c>
      <c r="C110" s="2973">
        <v>-1</v>
      </c>
      <c r="D110" s="2973" t="s">
        <v>3625</v>
      </c>
      <c r="E110" s="2973">
        <v>9.58</v>
      </c>
      <c r="F110" s="2973" t="s">
        <v>3619</v>
      </c>
      <c r="G110" s="2974" t="s">
        <v>3620</v>
      </c>
    </row>
    <row r="111" spans="1:7" ht="15.6" hidden="1">
      <c r="A111" s="2973">
        <v>110</v>
      </c>
      <c r="B111" s="2974" t="s">
        <v>3617</v>
      </c>
      <c r="C111" s="2973">
        <v>-1</v>
      </c>
      <c r="D111" s="2973" t="s">
        <v>3626</v>
      </c>
      <c r="E111" s="2973">
        <v>13.79</v>
      </c>
      <c r="F111" s="2973" t="s">
        <v>3619</v>
      </c>
      <c r="G111" s="2974" t="s">
        <v>3620</v>
      </c>
    </row>
    <row r="112" spans="1:7" ht="15.6" hidden="1">
      <c r="A112" s="2973">
        <v>111</v>
      </c>
      <c r="B112" s="2974" t="s">
        <v>3617</v>
      </c>
      <c r="C112" s="2973">
        <v>-1</v>
      </c>
      <c r="D112" s="2973" t="s">
        <v>3627</v>
      </c>
      <c r="E112" s="2973">
        <v>9.48</v>
      </c>
      <c r="F112" s="2973" t="s">
        <v>3619</v>
      </c>
      <c r="G112" s="2974" t="s">
        <v>3620</v>
      </c>
    </row>
    <row r="113" spans="1:7" ht="15.6" hidden="1">
      <c r="A113" s="2973">
        <v>112</v>
      </c>
      <c r="B113" s="2974" t="s">
        <v>3617</v>
      </c>
      <c r="C113" s="2973">
        <v>-1</v>
      </c>
      <c r="D113" s="2973" t="s">
        <v>3628</v>
      </c>
      <c r="E113" s="2973">
        <v>9.35</v>
      </c>
      <c r="F113" s="2973" t="s">
        <v>3619</v>
      </c>
      <c r="G113" s="2974" t="s">
        <v>3620</v>
      </c>
    </row>
    <row r="114" spans="1:7" ht="15.6" hidden="1">
      <c r="A114" s="2973">
        <v>113</v>
      </c>
      <c r="B114" s="2974" t="s">
        <v>3617</v>
      </c>
      <c r="C114" s="2973">
        <v>-1</v>
      </c>
      <c r="D114" s="2973" t="s">
        <v>3629</v>
      </c>
      <c r="E114" s="2973">
        <v>10.29</v>
      </c>
      <c r="F114" s="2973" t="s">
        <v>3619</v>
      </c>
      <c r="G114" s="2974" t="s">
        <v>3620</v>
      </c>
    </row>
    <row r="115" spans="1:7" ht="15.6" hidden="1">
      <c r="A115" s="2973">
        <v>114</v>
      </c>
      <c r="B115" s="2974" t="s">
        <v>3617</v>
      </c>
      <c r="C115" s="2973">
        <v>-1</v>
      </c>
      <c r="D115" s="2973" t="s">
        <v>3630</v>
      </c>
      <c r="E115" s="2973">
        <v>9.75</v>
      </c>
      <c r="F115" s="2973" t="s">
        <v>3619</v>
      </c>
      <c r="G115" s="2974" t="s">
        <v>3620</v>
      </c>
    </row>
    <row r="116" spans="1:7" ht="15.6" hidden="1">
      <c r="A116" s="2973">
        <v>115</v>
      </c>
      <c r="B116" s="2974" t="s">
        <v>3617</v>
      </c>
      <c r="C116" s="2973">
        <v>-1</v>
      </c>
      <c r="D116" s="2973" t="s">
        <v>3631</v>
      </c>
      <c r="E116" s="2973">
        <v>9.75</v>
      </c>
      <c r="F116" s="2973" t="s">
        <v>3619</v>
      </c>
      <c r="G116" s="2974" t="s">
        <v>3620</v>
      </c>
    </row>
    <row r="117" spans="1:7" ht="15.6" hidden="1">
      <c r="A117" s="2973">
        <v>116</v>
      </c>
      <c r="B117" s="2974" t="s">
        <v>3617</v>
      </c>
      <c r="C117" s="2973">
        <v>-1</v>
      </c>
      <c r="D117" s="2973" t="s">
        <v>3632</v>
      </c>
      <c r="E117" s="2973">
        <v>10.3</v>
      </c>
      <c r="F117" s="2973" t="s">
        <v>3619</v>
      </c>
      <c r="G117" s="2974" t="s">
        <v>3620</v>
      </c>
    </row>
    <row r="118" spans="1:7" ht="15.6" hidden="1">
      <c r="A118" s="2973">
        <v>117</v>
      </c>
      <c r="B118" s="2974" t="s">
        <v>3617</v>
      </c>
      <c r="C118" s="2973">
        <v>-1</v>
      </c>
      <c r="D118" s="2973" t="s">
        <v>3633</v>
      </c>
      <c r="E118" s="2973">
        <v>6.6</v>
      </c>
      <c r="F118" s="2973" t="s">
        <v>3619</v>
      </c>
      <c r="G118" s="2974" t="s">
        <v>3620</v>
      </c>
    </row>
    <row r="119" spans="1:7" ht="15.6" hidden="1">
      <c r="A119" s="2973">
        <v>118</v>
      </c>
      <c r="B119" s="2974" t="s">
        <v>3617</v>
      </c>
      <c r="C119" s="2973">
        <v>-1</v>
      </c>
      <c r="D119" s="2973" t="s">
        <v>3634</v>
      </c>
      <c r="E119" s="2973">
        <v>9.25</v>
      </c>
      <c r="F119" s="2973" t="s">
        <v>3619</v>
      </c>
      <c r="G119" s="2974" t="s">
        <v>3620</v>
      </c>
    </row>
    <row r="120" spans="1:7" ht="15.6" hidden="1">
      <c r="A120" s="2973">
        <v>119</v>
      </c>
      <c r="B120" s="2974" t="s">
        <v>3617</v>
      </c>
      <c r="C120" s="2973">
        <v>-1</v>
      </c>
      <c r="D120" s="2973" t="s">
        <v>3635</v>
      </c>
      <c r="E120" s="2973">
        <v>9.57</v>
      </c>
      <c r="F120" s="2973" t="s">
        <v>3619</v>
      </c>
      <c r="G120" s="2974" t="s">
        <v>3620</v>
      </c>
    </row>
    <row r="121" spans="1:7" ht="15.6" hidden="1">
      <c r="A121" s="2973">
        <v>120</v>
      </c>
      <c r="B121" s="2974" t="s">
        <v>3617</v>
      </c>
      <c r="C121" s="2973">
        <v>-1</v>
      </c>
      <c r="D121" s="2973" t="s">
        <v>3636</v>
      </c>
      <c r="E121" s="2973">
        <v>9.57</v>
      </c>
      <c r="F121" s="2973" t="s">
        <v>3619</v>
      </c>
      <c r="G121" s="2974" t="s">
        <v>3620</v>
      </c>
    </row>
    <row r="122" spans="1:7" ht="15.6" hidden="1">
      <c r="A122" s="2973">
        <v>121</v>
      </c>
      <c r="B122" s="2974" t="s">
        <v>3617</v>
      </c>
      <c r="C122" s="2973">
        <v>-1</v>
      </c>
      <c r="D122" s="2973" t="s">
        <v>3637</v>
      </c>
      <c r="E122" s="2973">
        <v>4.8</v>
      </c>
      <c r="F122" s="2973" t="s">
        <v>3619</v>
      </c>
      <c r="G122" s="2974" t="s">
        <v>3620</v>
      </c>
    </row>
    <row r="123" spans="1:7" ht="15.6" hidden="1">
      <c r="A123" s="2973">
        <v>122</v>
      </c>
      <c r="B123" s="2974" t="s">
        <v>3617</v>
      </c>
      <c r="C123" s="2973">
        <v>1</v>
      </c>
      <c r="D123" s="2977" t="s">
        <v>3638</v>
      </c>
      <c r="E123" s="2973">
        <v>44.29</v>
      </c>
      <c r="F123" s="2973" t="s">
        <v>3639</v>
      </c>
      <c r="G123" s="2974" t="s">
        <v>3620</v>
      </c>
    </row>
    <row r="124" spans="1:7" ht="15.6" hidden="1">
      <c r="A124" s="2973">
        <v>123</v>
      </c>
      <c r="B124" s="2974" t="s">
        <v>3617</v>
      </c>
      <c r="C124" s="2973">
        <v>1</v>
      </c>
      <c r="D124" s="2977" t="s">
        <v>3640</v>
      </c>
      <c r="E124" s="2973">
        <v>30.35</v>
      </c>
      <c r="F124" s="2973" t="s">
        <v>3639</v>
      </c>
      <c r="G124" s="2974" t="s">
        <v>3620</v>
      </c>
    </row>
    <row r="125" spans="1:7" ht="15.6" hidden="1">
      <c r="A125" s="2973">
        <v>124</v>
      </c>
      <c r="B125" s="2974" t="s">
        <v>3617</v>
      </c>
      <c r="C125" s="2973">
        <v>1</v>
      </c>
      <c r="D125" s="2977" t="s">
        <v>3641</v>
      </c>
      <c r="E125" s="2973">
        <v>47.01</v>
      </c>
      <c r="F125" s="2973" t="s">
        <v>3639</v>
      </c>
      <c r="G125" s="2974" t="s">
        <v>3620</v>
      </c>
    </row>
    <row r="126" spans="1:7" ht="15.6" hidden="1">
      <c r="A126" s="2973">
        <v>125</v>
      </c>
      <c r="B126" s="2974" t="s">
        <v>3617</v>
      </c>
      <c r="C126" s="2973">
        <v>1</v>
      </c>
      <c r="D126" s="2977" t="s">
        <v>3642</v>
      </c>
      <c r="E126" s="2973">
        <v>30.19</v>
      </c>
      <c r="F126" s="2973" t="s">
        <v>3639</v>
      </c>
      <c r="G126" s="2974" t="s">
        <v>3620</v>
      </c>
    </row>
    <row r="127" spans="1:7" ht="15.6" hidden="1">
      <c r="A127" s="2973">
        <v>126</v>
      </c>
      <c r="B127" s="2974" t="s">
        <v>3617</v>
      </c>
      <c r="C127" s="2973">
        <v>1</v>
      </c>
      <c r="D127" s="2977" t="s">
        <v>3643</v>
      </c>
      <c r="E127" s="2977">
        <v>50.83</v>
      </c>
      <c r="F127" s="2973" t="s">
        <v>3639</v>
      </c>
      <c r="G127" s="2974" t="s">
        <v>3620</v>
      </c>
    </row>
    <row r="128" spans="1:7" ht="15.6" hidden="1">
      <c r="A128" s="2973">
        <v>127</v>
      </c>
      <c r="B128" s="2974" t="s">
        <v>3617</v>
      </c>
      <c r="C128" s="2973">
        <v>1</v>
      </c>
      <c r="D128" s="2977" t="s">
        <v>3644</v>
      </c>
      <c r="E128" s="2977">
        <v>50.38</v>
      </c>
      <c r="F128" s="2973" t="s">
        <v>3639</v>
      </c>
      <c r="G128" s="2974" t="s">
        <v>3620</v>
      </c>
    </row>
    <row r="129" spans="1:7" ht="15.6" hidden="1">
      <c r="A129" s="2973">
        <v>128</v>
      </c>
      <c r="B129" s="2974" t="s">
        <v>3617</v>
      </c>
      <c r="C129" s="2973">
        <v>1</v>
      </c>
      <c r="D129" s="2977" t="s">
        <v>3645</v>
      </c>
      <c r="E129" s="2977">
        <v>49.38</v>
      </c>
      <c r="F129" s="2973" t="s">
        <v>3639</v>
      </c>
      <c r="G129" s="2974" t="s">
        <v>3620</v>
      </c>
    </row>
    <row r="130" spans="1:7" ht="15.6" hidden="1">
      <c r="A130" s="2973">
        <v>129</v>
      </c>
      <c r="B130" s="2974" t="s">
        <v>3617</v>
      </c>
      <c r="C130" s="2973">
        <v>1</v>
      </c>
      <c r="D130" s="2977" t="s">
        <v>3646</v>
      </c>
      <c r="E130" s="2977">
        <v>30.66</v>
      </c>
      <c r="F130" s="2973" t="s">
        <v>3639</v>
      </c>
      <c r="G130" s="2974" t="s">
        <v>3620</v>
      </c>
    </row>
    <row r="131" spans="1:7" ht="15.6" hidden="1">
      <c r="A131" s="2973">
        <v>130</v>
      </c>
      <c r="B131" s="2974" t="s">
        <v>3617</v>
      </c>
      <c r="C131" s="2973">
        <v>1</v>
      </c>
      <c r="D131" s="2977" t="s">
        <v>3647</v>
      </c>
      <c r="E131" s="2977">
        <v>30.66</v>
      </c>
      <c r="F131" s="2973" t="s">
        <v>3648</v>
      </c>
      <c r="G131" s="2974" t="s">
        <v>3649</v>
      </c>
    </row>
    <row r="132" spans="1:7" ht="15.6" hidden="1">
      <c r="A132" s="2973">
        <v>131</v>
      </c>
      <c r="B132" s="2974" t="s">
        <v>3650</v>
      </c>
      <c r="C132" s="2973">
        <v>1</v>
      </c>
      <c r="D132" s="2977" t="s">
        <v>3651</v>
      </c>
      <c r="E132" s="2977">
        <v>30.66</v>
      </c>
      <c r="F132" s="2973" t="s">
        <v>3648</v>
      </c>
      <c r="G132" s="2974" t="s">
        <v>3649</v>
      </c>
    </row>
    <row r="133" spans="1:7" ht="15.6" hidden="1">
      <c r="A133" s="2973">
        <v>132</v>
      </c>
      <c r="B133" s="2974" t="s">
        <v>3650</v>
      </c>
      <c r="C133" s="2973">
        <v>-1</v>
      </c>
      <c r="D133" s="2977" t="s">
        <v>3652</v>
      </c>
      <c r="E133" s="2977">
        <v>33.22</v>
      </c>
      <c r="F133" s="2973" t="s">
        <v>3648</v>
      </c>
      <c r="G133" s="2974" t="s">
        <v>3649</v>
      </c>
    </row>
    <row r="134" spans="1:7" ht="15.6" hidden="1">
      <c r="A134" s="2973">
        <v>133</v>
      </c>
      <c r="B134" s="2974" t="s">
        <v>3650</v>
      </c>
      <c r="C134" s="2974">
        <v>1</v>
      </c>
      <c r="D134" s="2976">
        <v>101</v>
      </c>
      <c r="E134" s="2976">
        <v>115.91</v>
      </c>
      <c r="F134" s="2974" t="s">
        <v>3653</v>
      </c>
      <c r="G134" s="2974" t="s">
        <v>3654</v>
      </c>
    </row>
    <row r="135" spans="1:7" ht="15.6" hidden="1">
      <c r="A135" s="2973">
        <v>134</v>
      </c>
      <c r="B135" s="2974" t="s">
        <v>3650</v>
      </c>
      <c r="C135" s="2974">
        <v>1</v>
      </c>
      <c r="D135" s="2976">
        <v>102</v>
      </c>
      <c r="E135" s="2976">
        <v>103.36</v>
      </c>
      <c r="F135" s="2974" t="s">
        <v>3653</v>
      </c>
      <c r="G135" s="2974" t="s">
        <v>3654</v>
      </c>
    </row>
    <row r="136" spans="1:7" ht="15.6" hidden="1">
      <c r="A136" s="2973">
        <v>135</v>
      </c>
      <c r="B136" s="2974" t="s">
        <v>3650</v>
      </c>
      <c r="C136" s="2974">
        <v>1</v>
      </c>
      <c r="D136" s="2976">
        <v>103</v>
      </c>
      <c r="E136" s="2976">
        <v>103.36</v>
      </c>
      <c r="F136" s="2974" t="s">
        <v>3653</v>
      </c>
      <c r="G136" s="2974" t="s">
        <v>3654</v>
      </c>
    </row>
    <row r="137" spans="1:7" ht="15.6" hidden="1">
      <c r="A137" s="2973">
        <v>136</v>
      </c>
      <c r="B137" s="2974" t="s">
        <v>3650</v>
      </c>
      <c r="C137" s="2974">
        <v>2</v>
      </c>
      <c r="D137" s="2976">
        <v>201</v>
      </c>
      <c r="E137" s="2976">
        <v>115.91</v>
      </c>
      <c r="F137" s="2974" t="s">
        <v>3653</v>
      </c>
      <c r="G137" s="2974" t="s">
        <v>3654</v>
      </c>
    </row>
    <row r="138" spans="1:7" ht="15.6" hidden="1">
      <c r="A138" s="2973">
        <v>137</v>
      </c>
      <c r="B138" s="2974" t="s">
        <v>3650</v>
      </c>
      <c r="C138" s="2974">
        <v>2</v>
      </c>
      <c r="D138" s="2976">
        <v>202</v>
      </c>
      <c r="E138" s="2976">
        <v>116.72</v>
      </c>
      <c r="F138" s="2974" t="s">
        <v>3653</v>
      </c>
      <c r="G138" s="2974" t="s">
        <v>3654</v>
      </c>
    </row>
    <row r="139" spans="1:7" ht="15.6" hidden="1">
      <c r="A139" s="2973">
        <v>138</v>
      </c>
      <c r="B139" s="2974" t="s">
        <v>3650</v>
      </c>
      <c r="C139" s="2974">
        <v>2</v>
      </c>
      <c r="D139" s="2976">
        <v>203</v>
      </c>
      <c r="E139" s="2976">
        <v>116.72</v>
      </c>
      <c r="F139" s="2974" t="s">
        <v>3653</v>
      </c>
      <c r="G139" s="2974" t="s">
        <v>3654</v>
      </c>
    </row>
    <row r="140" spans="1:7" ht="15.6" hidden="1">
      <c r="A140" s="2973">
        <v>139</v>
      </c>
      <c r="B140" s="2974" t="s">
        <v>3650</v>
      </c>
      <c r="C140" s="2974">
        <v>2</v>
      </c>
      <c r="D140" s="2976">
        <v>204</v>
      </c>
      <c r="E140" s="2976">
        <v>102.21</v>
      </c>
      <c r="F140" s="2974" t="s">
        <v>3653</v>
      </c>
      <c r="G140" s="2974" t="s">
        <v>3654</v>
      </c>
    </row>
    <row r="141" spans="1:7" ht="15.6" hidden="1">
      <c r="A141" s="2973">
        <v>140</v>
      </c>
      <c r="B141" s="2974" t="s">
        <v>3650</v>
      </c>
      <c r="C141" s="2974">
        <v>3</v>
      </c>
      <c r="D141" s="2976">
        <v>301</v>
      </c>
      <c r="E141" s="2976">
        <v>115.91</v>
      </c>
      <c r="F141" s="2974" t="s">
        <v>3653</v>
      </c>
      <c r="G141" s="2974" t="s">
        <v>3654</v>
      </c>
    </row>
    <row r="142" spans="1:7" ht="15.6" hidden="1">
      <c r="A142" s="2973">
        <v>141</v>
      </c>
      <c r="B142" s="2974" t="s">
        <v>3650</v>
      </c>
      <c r="C142" s="2974">
        <v>3</v>
      </c>
      <c r="D142" s="2976">
        <v>302</v>
      </c>
      <c r="E142" s="2976">
        <v>116.72</v>
      </c>
      <c r="F142" s="2974" t="s">
        <v>3653</v>
      </c>
      <c r="G142" s="2974" t="s">
        <v>3654</v>
      </c>
    </row>
    <row r="143" spans="1:7" ht="15.6" hidden="1">
      <c r="A143" s="2973">
        <v>142</v>
      </c>
      <c r="B143" s="2974" t="s">
        <v>3650</v>
      </c>
      <c r="C143" s="2974">
        <v>3</v>
      </c>
      <c r="D143" s="2976">
        <v>303</v>
      </c>
      <c r="E143" s="2976">
        <v>116.72</v>
      </c>
      <c r="F143" s="2974" t="s">
        <v>3653</v>
      </c>
      <c r="G143" s="2974" t="s">
        <v>3654</v>
      </c>
    </row>
    <row r="144" spans="1:7" ht="15.6" hidden="1">
      <c r="A144" s="2973">
        <v>143</v>
      </c>
      <c r="B144" s="2974" t="s">
        <v>3650</v>
      </c>
      <c r="C144" s="2974">
        <v>3</v>
      </c>
      <c r="D144" s="2976">
        <v>304</v>
      </c>
      <c r="E144" s="2976">
        <v>102.21</v>
      </c>
      <c r="F144" s="2974" t="s">
        <v>3653</v>
      </c>
      <c r="G144" s="2974" t="s">
        <v>3654</v>
      </c>
    </row>
    <row r="145" spans="1:7" ht="15.6" hidden="1">
      <c r="A145" s="2973">
        <v>144</v>
      </c>
      <c r="B145" s="2974" t="s">
        <v>3650</v>
      </c>
      <c r="C145" s="2974">
        <v>4</v>
      </c>
      <c r="D145" s="2976">
        <v>401</v>
      </c>
      <c r="E145" s="2976">
        <v>115.91</v>
      </c>
      <c r="F145" s="2974" t="s">
        <v>3653</v>
      </c>
      <c r="G145" s="2974" t="s">
        <v>3654</v>
      </c>
    </row>
    <row r="146" spans="1:7" ht="15.6" hidden="1">
      <c r="A146" s="2973">
        <v>145</v>
      </c>
      <c r="B146" s="2974" t="s">
        <v>3650</v>
      </c>
      <c r="C146" s="2974">
        <v>4</v>
      </c>
      <c r="D146" s="2976">
        <v>402</v>
      </c>
      <c r="E146" s="2976">
        <v>116.72</v>
      </c>
      <c r="F146" s="2974" t="s">
        <v>3653</v>
      </c>
      <c r="G146" s="2974" t="s">
        <v>3654</v>
      </c>
    </row>
    <row r="147" spans="1:7" ht="15.6" hidden="1">
      <c r="A147" s="2973">
        <v>146</v>
      </c>
      <c r="B147" s="2974" t="s">
        <v>3650</v>
      </c>
      <c r="C147" s="2974">
        <v>4</v>
      </c>
      <c r="D147" s="2976">
        <v>403</v>
      </c>
      <c r="E147" s="2976">
        <v>116.72</v>
      </c>
      <c r="F147" s="2974" t="s">
        <v>3653</v>
      </c>
      <c r="G147" s="2974" t="s">
        <v>3654</v>
      </c>
    </row>
    <row r="148" spans="1:7" ht="15.6" hidden="1">
      <c r="A148" s="2973">
        <v>147</v>
      </c>
      <c r="B148" s="2974" t="s">
        <v>3650</v>
      </c>
      <c r="C148" s="2974">
        <v>4</v>
      </c>
      <c r="D148" s="2976">
        <v>404</v>
      </c>
      <c r="E148" s="2976">
        <v>102.21</v>
      </c>
      <c r="F148" s="2974" t="s">
        <v>3653</v>
      </c>
      <c r="G148" s="2974" t="s">
        <v>3654</v>
      </c>
    </row>
    <row r="149" spans="1:7" ht="15.6" hidden="1">
      <c r="A149" s="2973">
        <v>148</v>
      </c>
      <c r="B149" s="2974" t="s">
        <v>3650</v>
      </c>
      <c r="C149" s="2974">
        <v>5</v>
      </c>
      <c r="D149" s="2976">
        <v>501</v>
      </c>
      <c r="E149" s="2976">
        <v>115.91</v>
      </c>
      <c r="F149" s="2974" t="s">
        <v>3653</v>
      </c>
      <c r="G149" s="2974" t="s">
        <v>3654</v>
      </c>
    </row>
    <row r="150" spans="1:7" ht="15.6" hidden="1">
      <c r="A150" s="2973">
        <v>149</v>
      </c>
      <c r="B150" s="2974" t="s">
        <v>3650</v>
      </c>
      <c r="C150" s="2974">
        <v>5</v>
      </c>
      <c r="D150" s="2976">
        <v>502</v>
      </c>
      <c r="E150" s="2976">
        <v>116.72</v>
      </c>
      <c r="F150" s="2974" t="s">
        <v>3653</v>
      </c>
      <c r="G150" s="2974" t="s">
        <v>3654</v>
      </c>
    </row>
    <row r="151" spans="1:7" ht="15.6" hidden="1">
      <c r="A151" s="2973">
        <v>150</v>
      </c>
      <c r="B151" s="2974" t="s">
        <v>3650</v>
      </c>
      <c r="C151" s="2974">
        <v>5</v>
      </c>
      <c r="D151" s="2976">
        <v>503</v>
      </c>
      <c r="E151" s="2976">
        <v>116.72</v>
      </c>
      <c r="F151" s="2974" t="s">
        <v>3653</v>
      </c>
      <c r="G151" s="2974" t="s">
        <v>3654</v>
      </c>
    </row>
    <row r="152" spans="1:7" ht="15.6" hidden="1">
      <c r="A152" s="2973">
        <v>151</v>
      </c>
      <c r="B152" s="2974" t="s">
        <v>3650</v>
      </c>
      <c r="C152" s="2974">
        <v>5</v>
      </c>
      <c r="D152" s="2976">
        <v>504</v>
      </c>
      <c r="E152" s="2976">
        <v>102.21</v>
      </c>
      <c r="F152" s="2974" t="s">
        <v>3653</v>
      </c>
      <c r="G152" s="2974" t="s">
        <v>3654</v>
      </c>
    </row>
    <row r="153" spans="1:7" ht="15.6" hidden="1">
      <c r="A153" s="2973">
        <v>152</v>
      </c>
      <c r="B153" s="2974" t="s">
        <v>3650</v>
      </c>
      <c r="C153" s="2974">
        <v>6</v>
      </c>
      <c r="D153" s="2976">
        <v>601</v>
      </c>
      <c r="E153" s="2976">
        <v>115.91</v>
      </c>
      <c r="F153" s="2974" t="s">
        <v>3653</v>
      </c>
      <c r="G153" s="2974" t="s">
        <v>3654</v>
      </c>
    </row>
    <row r="154" spans="1:7" ht="15.6" hidden="1">
      <c r="A154" s="2973">
        <v>153</v>
      </c>
      <c r="B154" s="2974" t="s">
        <v>3650</v>
      </c>
      <c r="C154" s="2974">
        <v>6</v>
      </c>
      <c r="D154" s="2976">
        <v>602</v>
      </c>
      <c r="E154" s="2976">
        <v>116.72</v>
      </c>
      <c r="F154" s="2974" t="s">
        <v>3653</v>
      </c>
      <c r="G154" s="2974" t="s">
        <v>3654</v>
      </c>
    </row>
    <row r="155" spans="1:7" ht="15.6" hidden="1">
      <c r="A155" s="2973">
        <v>154</v>
      </c>
      <c r="B155" s="2974" t="s">
        <v>3650</v>
      </c>
      <c r="C155" s="2974">
        <v>6</v>
      </c>
      <c r="D155" s="2976">
        <v>603</v>
      </c>
      <c r="E155" s="2976">
        <v>116.72</v>
      </c>
      <c r="F155" s="2974" t="s">
        <v>3653</v>
      </c>
      <c r="G155" s="2974" t="s">
        <v>3654</v>
      </c>
    </row>
    <row r="156" spans="1:7" ht="15.6" hidden="1">
      <c r="A156" s="2973">
        <v>155</v>
      </c>
      <c r="B156" s="2974" t="s">
        <v>3650</v>
      </c>
      <c r="C156" s="2974">
        <v>6</v>
      </c>
      <c r="D156" s="2976">
        <v>604</v>
      </c>
      <c r="E156" s="2976">
        <v>102.21</v>
      </c>
      <c r="F156" s="2974" t="s">
        <v>3653</v>
      </c>
      <c r="G156" s="2974" t="s">
        <v>3654</v>
      </c>
    </row>
    <row r="157" spans="1:7" ht="15.6" hidden="1">
      <c r="A157" s="2973">
        <v>156</v>
      </c>
      <c r="B157" s="2974" t="s">
        <v>3650</v>
      </c>
      <c r="C157" s="2974">
        <v>7</v>
      </c>
      <c r="D157" s="2976">
        <v>701</v>
      </c>
      <c r="E157" s="2976">
        <v>115.91</v>
      </c>
      <c r="F157" s="2974" t="s">
        <v>3653</v>
      </c>
      <c r="G157" s="2974" t="s">
        <v>3654</v>
      </c>
    </row>
    <row r="158" spans="1:7" ht="15.6" hidden="1">
      <c r="A158" s="2973">
        <v>157</v>
      </c>
      <c r="B158" s="2974" t="s">
        <v>3650</v>
      </c>
      <c r="C158" s="2974">
        <v>7</v>
      </c>
      <c r="D158" s="2976">
        <v>702</v>
      </c>
      <c r="E158" s="2976">
        <v>116.72</v>
      </c>
      <c r="F158" s="2974" t="s">
        <v>3653</v>
      </c>
      <c r="G158" s="2974" t="s">
        <v>3654</v>
      </c>
    </row>
    <row r="159" spans="1:7" ht="15.6" hidden="1">
      <c r="A159" s="2973">
        <v>158</v>
      </c>
      <c r="B159" s="2974" t="s">
        <v>3650</v>
      </c>
      <c r="C159" s="2974">
        <v>7</v>
      </c>
      <c r="D159" s="2976">
        <v>703</v>
      </c>
      <c r="E159" s="2976">
        <v>116.72</v>
      </c>
      <c r="F159" s="2974" t="s">
        <v>3653</v>
      </c>
      <c r="G159" s="2974" t="s">
        <v>3654</v>
      </c>
    </row>
    <row r="160" spans="1:7" ht="15.6" hidden="1">
      <c r="A160" s="2973">
        <v>159</v>
      </c>
      <c r="B160" s="2974" t="s">
        <v>3650</v>
      </c>
      <c r="C160" s="2974">
        <v>7</v>
      </c>
      <c r="D160" s="2976">
        <v>704</v>
      </c>
      <c r="E160" s="2976">
        <v>102.21</v>
      </c>
      <c r="F160" s="2974" t="s">
        <v>3653</v>
      </c>
      <c r="G160" s="2974" t="s">
        <v>3654</v>
      </c>
    </row>
    <row r="161" spans="1:7" ht="15.6" hidden="1">
      <c r="A161" s="2973">
        <v>160</v>
      </c>
      <c r="B161" s="2974" t="s">
        <v>3650</v>
      </c>
      <c r="C161" s="2974">
        <v>8</v>
      </c>
      <c r="D161" s="2976">
        <v>801</v>
      </c>
      <c r="E161" s="2976">
        <v>115.91</v>
      </c>
      <c r="F161" s="2974" t="s">
        <v>3653</v>
      </c>
      <c r="G161" s="2974" t="s">
        <v>3654</v>
      </c>
    </row>
    <row r="162" spans="1:7" ht="15.6" hidden="1">
      <c r="A162" s="2973">
        <v>161</v>
      </c>
      <c r="B162" s="2974" t="s">
        <v>3650</v>
      </c>
      <c r="C162" s="2974">
        <v>8</v>
      </c>
      <c r="D162" s="2976">
        <v>802</v>
      </c>
      <c r="E162" s="2976">
        <v>116.72</v>
      </c>
      <c r="F162" s="2974" t="s">
        <v>3653</v>
      </c>
      <c r="G162" s="2974" t="s">
        <v>3654</v>
      </c>
    </row>
    <row r="163" spans="1:7" ht="15.6" hidden="1">
      <c r="A163" s="2973">
        <v>162</v>
      </c>
      <c r="B163" s="2974" t="s">
        <v>3650</v>
      </c>
      <c r="C163" s="2974">
        <v>8</v>
      </c>
      <c r="D163" s="2976">
        <v>803</v>
      </c>
      <c r="E163" s="2976">
        <v>116.72</v>
      </c>
      <c r="F163" s="2974" t="s">
        <v>3653</v>
      </c>
      <c r="G163" s="2974" t="s">
        <v>3654</v>
      </c>
    </row>
    <row r="164" spans="1:7" ht="15.6" hidden="1">
      <c r="A164" s="2973">
        <v>163</v>
      </c>
      <c r="B164" s="2974" t="s">
        <v>3650</v>
      </c>
      <c r="C164" s="2974">
        <v>8</v>
      </c>
      <c r="D164" s="2976">
        <v>804</v>
      </c>
      <c r="E164" s="2976">
        <v>102.21</v>
      </c>
      <c r="F164" s="2974" t="s">
        <v>3653</v>
      </c>
      <c r="G164" s="2974" t="s">
        <v>3654</v>
      </c>
    </row>
    <row r="165" spans="1:7" ht="15.6" hidden="1">
      <c r="A165" s="2973">
        <v>164</v>
      </c>
      <c r="B165" s="2974" t="s">
        <v>3650</v>
      </c>
      <c r="C165" s="2974">
        <v>9</v>
      </c>
      <c r="D165" s="2976">
        <v>901</v>
      </c>
      <c r="E165" s="2976">
        <v>104.93</v>
      </c>
      <c r="F165" s="2974" t="s">
        <v>3653</v>
      </c>
      <c r="G165" s="2974" t="s">
        <v>3654</v>
      </c>
    </row>
    <row r="166" spans="1:7" ht="15.6" hidden="1">
      <c r="A166" s="2973">
        <v>165</v>
      </c>
      <c r="B166" s="2974" t="s">
        <v>3650</v>
      </c>
      <c r="C166" s="2974">
        <v>9</v>
      </c>
      <c r="D166" s="2976">
        <v>902</v>
      </c>
      <c r="E166" s="2976">
        <v>105.86</v>
      </c>
      <c r="F166" s="2974" t="s">
        <v>3653</v>
      </c>
      <c r="G166" s="2974" t="s">
        <v>3654</v>
      </c>
    </row>
    <row r="167" spans="1:7" ht="15.6" hidden="1">
      <c r="A167" s="2973">
        <v>166</v>
      </c>
      <c r="B167" s="2974" t="s">
        <v>3650</v>
      </c>
      <c r="C167" s="2974">
        <v>9</v>
      </c>
      <c r="D167" s="2976">
        <v>903</v>
      </c>
      <c r="E167" s="2976">
        <v>106.82</v>
      </c>
      <c r="F167" s="2974" t="s">
        <v>3653</v>
      </c>
      <c r="G167" s="2974" t="s">
        <v>3654</v>
      </c>
    </row>
    <row r="168" spans="1:7" ht="15.6" hidden="1">
      <c r="A168" s="2973">
        <v>167</v>
      </c>
      <c r="B168" s="2974" t="s">
        <v>3650</v>
      </c>
      <c r="C168" s="2974">
        <v>9</v>
      </c>
      <c r="D168" s="2976">
        <v>904</v>
      </c>
      <c r="E168" s="2976">
        <v>89.02</v>
      </c>
      <c r="F168" s="2974" t="s">
        <v>3653</v>
      </c>
      <c r="G168" s="2974" t="s">
        <v>3654</v>
      </c>
    </row>
    <row r="169" spans="1:7" ht="15.6" hidden="1">
      <c r="A169" s="2973">
        <v>168</v>
      </c>
      <c r="B169" s="2974" t="s">
        <v>3655</v>
      </c>
      <c r="C169" s="2973">
        <v>-1</v>
      </c>
      <c r="D169" s="2973" t="s">
        <v>3656</v>
      </c>
      <c r="E169" s="2973">
        <v>35.35</v>
      </c>
      <c r="F169" s="2973" t="s">
        <v>3657</v>
      </c>
      <c r="G169" s="2974" t="s">
        <v>3649</v>
      </c>
    </row>
    <row r="170" spans="1:7" ht="15.6" hidden="1">
      <c r="A170" s="2973">
        <v>169</v>
      </c>
      <c r="B170" s="2974" t="s">
        <v>3655</v>
      </c>
      <c r="C170" s="2973">
        <v>-1</v>
      </c>
      <c r="D170" s="2973" t="s">
        <v>3658</v>
      </c>
      <c r="E170" s="2973">
        <v>32.31</v>
      </c>
      <c r="F170" s="2973" t="s">
        <v>3657</v>
      </c>
      <c r="G170" s="2974" t="s">
        <v>3649</v>
      </c>
    </row>
    <row r="171" spans="1:7" ht="15.6" hidden="1">
      <c r="A171" s="2973">
        <v>170</v>
      </c>
      <c r="B171" s="2974" t="s">
        <v>3655</v>
      </c>
      <c r="C171" s="2973">
        <v>-1</v>
      </c>
      <c r="D171" s="2973" t="s">
        <v>3570</v>
      </c>
      <c r="E171" s="2973">
        <v>32.31</v>
      </c>
      <c r="F171" s="2973" t="s">
        <v>3567</v>
      </c>
      <c r="G171" s="2974" t="s">
        <v>3568</v>
      </c>
    </row>
    <row r="172" spans="1:7" ht="15.6" hidden="1">
      <c r="A172" s="2973">
        <v>171</v>
      </c>
      <c r="B172" s="2974" t="s">
        <v>3659</v>
      </c>
      <c r="C172" s="2973">
        <v>-1</v>
      </c>
      <c r="D172" s="2973" t="s">
        <v>3571</v>
      </c>
      <c r="E172" s="2973">
        <v>32.31</v>
      </c>
      <c r="F172" s="2973" t="s">
        <v>3567</v>
      </c>
      <c r="G172" s="2974" t="s">
        <v>3568</v>
      </c>
    </row>
    <row r="173" spans="1:7" ht="15.6" hidden="1">
      <c r="A173" s="2973">
        <v>172</v>
      </c>
      <c r="B173" s="2974" t="s">
        <v>3659</v>
      </c>
      <c r="C173" s="2973">
        <v>-1</v>
      </c>
      <c r="D173" s="2973" t="s">
        <v>3572</v>
      </c>
      <c r="E173" s="2973">
        <v>32.31</v>
      </c>
      <c r="F173" s="2973" t="s">
        <v>3567</v>
      </c>
      <c r="G173" s="2974" t="s">
        <v>3568</v>
      </c>
    </row>
    <row r="174" spans="1:7" ht="15.6" hidden="1">
      <c r="A174" s="2973">
        <v>173</v>
      </c>
      <c r="B174" s="2974" t="s">
        <v>3659</v>
      </c>
      <c r="C174" s="2973">
        <v>-1</v>
      </c>
      <c r="D174" s="2973" t="s">
        <v>3573</v>
      </c>
      <c r="E174" s="2973">
        <v>35.35</v>
      </c>
      <c r="F174" s="2973" t="s">
        <v>3567</v>
      </c>
      <c r="G174" s="2974" t="s">
        <v>3568</v>
      </c>
    </row>
    <row r="175" spans="1:7" ht="15.6">
      <c r="A175" s="2973">
        <v>174</v>
      </c>
      <c r="B175" s="2974" t="s">
        <v>3659</v>
      </c>
      <c r="C175" s="2973">
        <v>1</v>
      </c>
      <c r="D175" s="2973" t="s">
        <v>3574</v>
      </c>
      <c r="E175" s="2973">
        <v>61.11</v>
      </c>
      <c r="F175" s="2973" t="s">
        <v>3575</v>
      </c>
      <c r="G175" s="2973" t="s">
        <v>3081</v>
      </c>
    </row>
    <row r="176" spans="1:7" ht="15.6">
      <c r="A176" s="2973">
        <v>175</v>
      </c>
      <c r="B176" s="2974" t="s">
        <v>3659</v>
      </c>
      <c r="C176" s="2973">
        <v>1</v>
      </c>
      <c r="D176" s="2973" t="s">
        <v>3576</v>
      </c>
      <c r="E176" s="2973">
        <v>55.22</v>
      </c>
      <c r="F176" s="2973" t="s">
        <v>3575</v>
      </c>
      <c r="G176" s="2973" t="s">
        <v>3081</v>
      </c>
    </row>
    <row r="177" spans="1:7" ht="15.6">
      <c r="A177" s="2973">
        <v>176</v>
      </c>
      <c r="B177" s="2974" t="s">
        <v>3659</v>
      </c>
      <c r="C177" s="2973">
        <v>1</v>
      </c>
      <c r="D177" s="2973" t="s">
        <v>3577</v>
      </c>
      <c r="E177" s="2973">
        <v>55.22</v>
      </c>
      <c r="F177" s="2973" t="s">
        <v>3575</v>
      </c>
      <c r="G177" s="2973" t="s">
        <v>3081</v>
      </c>
    </row>
    <row r="178" spans="1:7" ht="15.6">
      <c r="A178" s="2973">
        <v>177</v>
      </c>
      <c r="B178" s="2974" t="s">
        <v>3659</v>
      </c>
      <c r="C178" s="2973">
        <v>1</v>
      </c>
      <c r="D178" s="2973" t="s">
        <v>3578</v>
      </c>
      <c r="E178" s="2973">
        <v>55.22</v>
      </c>
      <c r="F178" s="2973" t="s">
        <v>3575</v>
      </c>
      <c r="G178" s="2973" t="s">
        <v>3081</v>
      </c>
    </row>
    <row r="179" spans="1:7" ht="15.6">
      <c r="A179" s="2973">
        <v>178</v>
      </c>
      <c r="B179" s="2974" t="s">
        <v>3659</v>
      </c>
      <c r="C179" s="2973">
        <v>1</v>
      </c>
      <c r="D179" s="2973" t="s">
        <v>3579</v>
      </c>
      <c r="E179" s="2973">
        <v>55.22</v>
      </c>
      <c r="F179" s="2973" t="s">
        <v>3575</v>
      </c>
      <c r="G179" s="2973" t="s">
        <v>3081</v>
      </c>
    </row>
    <row r="180" spans="1:7" ht="15.6">
      <c r="A180" s="2973">
        <v>179</v>
      </c>
      <c r="B180" s="2974" t="s">
        <v>3659</v>
      </c>
      <c r="C180" s="2973">
        <v>1</v>
      </c>
      <c r="D180" s="2973" t="s">
        <v>3580</v>
      </c>
      <c r="E180" s="2973">
        <v>61.11</v>
      </c>
      <c r="F180" s="2973" t="s">
        <v>3575</v>
      </c>
      <c r="G180" s="2973" t="s">
        <v>3081</v>
      </c>
    </row>
    <row r="181" spans="1:7" ht="15.6">
      <c r="A181" s="2973">
        <v>180</v>
      </c>
      <c r="B181" s="2974" t="s">
        <v>3659</v>
      </c>
      <c r="C181" s="2973">
        <v>2</v>
      </c>
      <c r="D181" s="2973" t="s">
        <v>3581</v>
      </c>
      <c r="E181" s="2973">
        <v>56.85</v>
      </c>
      <c r="F181" s="2973" t="s">
        <v>3575</v>
      </c>
      <c r="G181" s="2973" t="s">
        <v>3081</v>
      </c>
    </row>
    <row r="182" spans="1:7" ht="15.6">
      <c r="A182" s="2973">
        <v>181</v>
      </c>
      <c r="B182" s="2974" t="s">
        <v>3659</v>
      </c>
      <c r="C182" s="2973">
        <v>2</v>
      </c>
      <c r="D182" s="2973" t="s">
        <v>3582</v>
      </c>
      <c r="E182" s="2973">
        <v>51.97</v>
      </c>
      <c r="F182" s="2973" t="s">
        <v>3575</v>
      </c>
      <c r="G182" s="2973" t="s">
        <v>3081</v>
      </c>
    </row>
    <row r="183" spans="1:7" ht="15.6">
      <c r="A183" s="2973">
        <v>182</v>
      </c>
      <c r="B183" s="2974" t="s">
        <v>3659</v>
      </c>
      <c r="C183" s="2973">
        <v>2</v>
      </c>
      <c r="D183" s="2973" t="s">
        <v>3583</v>
      </c>
      <c r="E183" s="2973">
        <v>51.97</v>
      </c>
      <c r="F183" s="2973" t="s">
        <v>3575</v>
      </c>
      <c r="G183" s="2973" t="s">
        <v>3081</v>
      </c>
    </row>
    <row r="184" spans="1:7" ht="15.6">
      <c r="A184" s="2973">
        <v>183</v>
      </c>
      <c r="B184" s="2974" t="s">
        <v>3659</v>
      </c>
      <c r="C184" s="2973">
        <v>2</v>
      </c>
      <c r="D184" s="2973" t="s">
        <v>3584</v>
      </c>
      <c r="E184" s="2973">
        <v>51.97</v>
      </c>
      <c r="F184" s="2973" t="s">
        <v>3575</v>
      </c>
      <c r="G184" s="2973" t="s">
        <v>3081</v>
      </c>
    </row>
    <row r="185" spans="1:7" ht="15.6">
      <c r="A185" s="2973">
        <v>184</v>
      </c>
      <c r="B185" s="2974" t="s">
        <v>3659</v>
      </c>
      <c r="C185" s="2973">
        <v>2</v>
      </c>
      <c r="D185" s="2973" t="s">
        <v>3585</v>
      </c>
      <c r="E185" s="2973">
        <v>51.97</v>
      </c>
      <c r="F185" s="2973" t="s">
        <v>3575</v>
      </c>
      <c r="G185" s="2973" t="s">
        <v>3081</v>
      </c>
    </row>
    <row r="186" spans="1:7" ht="15.6">
      <c r="A186" s="2973">
        <v>185</v>
      </c>
      <c r="B186" s="2974" t="s">
        <v>3659</v>
      </c>
      <c r="C186" s="2973">
        <v>2</v>
      </c>
      <c r="D186" s="2973" t="s">
        <v>3586</v>
      </c>
      <c r="E186" s="2973">
        <v>56.85</v>
      </c>
      <c r="F186" s="2973" t="s">
        <v>3575</v>
      </c>
      <c r="G186" s="2973" t="s">
        <v>3081</v>
      </c>
    </row>
    <row r="187" spans="1:7" ht="15.6">
      <c r="A187" s="2973">
        <v>186</v>
      </c>
      <c r="B187" s="2974" t="s">
        <v>3659</v>
      </c>
      <c r="C187" s="2973">
        <v>3</v>
      </c>
      <c r="D187" s="2973" t="s">
        <v>3587</v>
      </c>
      <c r="E187" s="2973">
        <v>61.11</v>
      </c>
      <c r="F187" s="2973" t="s">
        <v>3575</v>
      </c>
      <c r="G187" s="2973" t="s">
        <v>3081</v>
      </c>
    </row>
    <row r="188" spans="1:7" ht="15.6">
      <c r="A188" s="2973">
        <v>187</v>
      </c>
      <c r="B188" s="2974" t="s">
        <v>3659</v>
      </c>
      <c r="C188" s="2973">
        <v>3</v>
      </c>
      <c r="D188" s="2973" t="s">
        <v>3588</v>
      </c>
      <c r="E188" s="2973">
        <v>55.22</v>
      </c>
      <c r="F188" s="2973" t="s">
        <v>3575</v>
      </c>
      <c r="G188" s="2973" t="s">
        <v>3081</v>
      </c>
    </row>
    <row r="189" spans="1:7" ht="15.6">
      <c r="A189" s="2973">
        <v>188</v>
      </c>
      <c r="B189" s="2974" t="s">
        <v>3659</v>
      </c>
      <c r="C189" s="2973">
        <v>3</v>
      </c>
      <c r="D189" s="2973" t="s">
        <v>3589</v>
      </c>
      <c r="E189" s="2973">
        <v>55.22</v>
      </c>
      <c r="F189" s="2973" t="s">
        <v>3575</v>
      </c>
      <c r="G189" s="2973" t="s">
        <v>3081</v>
      </c>
    </row>
    <row r="190" spans="1:7" ht="15.6">
      <c r="A190" s="2973">
        <v>189</v>
      </c>
      <c r="B190" s="2974" t="s">
        <v>3659</v>
      </c>
      <c r="C190" s="2973">
        <v>3</v>
      </c>
      <c r="D190" s="2973" t="s">
        <v>3590</v>
      </c>
      <c r="E190" s="2973">
        <v>55.22</v>
      </c>
      <c r="F190" s="2973" t="s">
        <v>3575</v>
      </c>
      <c r="G190" s="2973" t="s">
        <v>3081</v>
      </c>
    </row>
    <row r="191" spans="1:7" ht="15.6">
      <c r="A191" s="2973">
        <v>190</v>
      </c>
      <c r="B191" s="2974" t="s">
        <v>3659</v>
      </c>
      <c r="C191" s="2973">
        <v>3</v>
      </c>
      <c r="D191" s="2973" t="s">
        <v>3591</v>
      </c>
      <c r="E191" s="2973">
        <v>55.22</v>
      </c>
      <c r="F191" s="2973" t="s">
        <v>3575</v>
      </c>
      <c r="G191" s="2973" t="s">
        <v>3081</v>
      </c>
    </row>
    <row r="192" spans="1:7" ht="15.6">
      <c r="A192" s="2973">
        <v>191</v>
      </c>
      <c r="B192" s="2974" t="s">
        <v>3659</v>
      </c>
      <c r="C192" s="2973">
        <v>3</v>
      </c>
      <c r="D192" s="2973" t="s">
        <v>3592</v>
      </c>
      <c r="E192" s="2973">
        <v>61.11</v>
      </c>
      <c r="F192" s="2973" t="s">
        <v>3575</v>
      </c>
      <c r="G192" s="2973" t="s">
        <v>3081</v>
      </c>
    </row>
    <row r="193" spans="1:7" ht="15.6" hidden="1">
      <c r="A193" s="2973">
        <v>192</v>
      </c>
      <c r="B193" s="2974" t="s">
        <v>3660</v>
      </c>
      <c r="C193" s="2973">
        <v>-1</v>
      </c>
      <c r="D193" s="2973" t="s">
        <v>3566</v>
      </c>
      <c r="E193" s="2978">
        <v>35.28</v>
      </c>
      <c r="F193" s="2973" t="s">
        <v>3567</v>
      </c>
      <c r="G193" s="2974" t="s">
        <v>3568</v>
      </c>
    </row>
    <row r="194" spans="1:7" ht="15.6" hidden="1">
      <c r="A194" s="2973">
        <v>193</v>
      </c>
      <c r="B194" s="2974" t="s">
        <v>3660</v>
      </c>
      <c r="C194" s="2973">
        <v>-1</v>
      </c>
      <c r="D194" s="2973" t="s">
        <v>3569</v>
      </c>
      <c r="E194" s="2978">
        <v>32.24</v>
      </c>
      <c r="F194" s="2973" t="s">
        <v>3567</v>
      </c>
      <c r="G194" s="2974" t="s">
        <v>3568</v>
      </c>
    </row>
    <row r="195" spans="1:7" ht="15.6" hidden="1">
      <c r="A195" s="2973">
        <v>194</v>
      </c>
      <c r="B195" s="2974" t="s">
        <v>3660</v>
      </c>
      <c r="C195" s="2973">
        <v>-1</v>
      </c>
      <c r="D195" s="2973" t="s">
        <v>3570</v>
      </c>
      <c r="E195" s="2978">
        <v>32.24</v>
      </c>
      <c r="F195" s="2973" t="s">
        <v>3567</v>
      </c>
      <c r="G195" s="2974" t="s">
        <v>3568</v>
      </c>
    </row>
    <row r="196" spans="1:7" ht="15.6" hidden="1">
      <c r="A196" s="2973">
        <v>195</v>
      </c>
      <c r="B196" s="2974" t="s">
        <v>3660</v>
      </c>
      <c r="C196" s="2973">
        <v>-1</v>
      </c>
      <c r="D196" s="2973" t="s">
        <v>3571</v>
      </c>
      <c r="E196" s="2978">
        <v>32.24</v>
      </c>
      <c r="F196" s="2973" t="s">
        <v>3567</v>
      </c>
      <c r="G196" s="2974" t="s">
        <v>3568</v>
      </c>
    </row>
    <row r="197" spans="1:7" ht="15.6" hidden="1">
      <c r="A197" s="2973">
        <v>196</v>
      </c>
      <c r="B197" s="2974" t="s">
        <v>3660</v>
      </c>
      <c r="C197" s="2973">
        <v>-1</v>
      </c>
      <c r="D197" s="2973" t="s">
        <v>3572</v>
      </c>
      <c r="E197" s="2978">
        <v>32.24</v>
      </c>
      <c r="F197" s="2973" t="s">
        <v>3567</v>
      </c>
      <c r="G197" s="2974" t="s">
        <v>3568</v>
      </c>
    </row>
    <row r="198" spans="1:7" ht="15.6" hidden="1">
      <c r="A198" s="2973">
        <v>197</v>
      </c>
      <c r="B198" s="2974" t="s">
        <v>3660</v>
      </c>
      <c r="C198" s="2973">
        <v>-1</v>
      </c>
      <c r="D198" s="2973" t="s">
        <v>3573</v>
      </c>
      <c r="E198" s="2978">
        <v>35.28</v>
      </c>
      <c r="F198" s="2973" t="s">
        <v>3567</v>
      </c>
      <c r="G198" s="2974" t="s">
        <v>3568</v>
      </c>
    </row>
    <row r="199" spans="1:7" ht="15.6">
      <c r="A199" s="2973">
        <v>198</v>
      </c>
      <c r="B199" s="2974" t="s">
        <v>3660</v>
      </c>
      <c r="C199" s="2973">
        <v>1</v>
      </c>
      <c r="D199" s="2973" t="s">
        <v>3574</v>
      </c>
      <c r="E199" s="2973">
        <v>61.11</v>
      </c>
      <c r="F199" s="2973" t="s">
        <v>3575</v>
      </c>
      <c r="G199" s="2973" t="s">
        <v>3081</v>
      </c>
    </row>
    <row r="200" spans="1:7" ht="15.6">
      <c r="A200" s="2973">
        <v>199</v>
      </c>
      <c r="B200" s="2974" t="s">
        <v>3660</v>
      </c>
      <c r="C200" s="2973">
        <v>1</v>
      </c>
      <c r="D200" s="2973" t="s">
        <v>3576</v>
      </c>
      <c r="E200" s="2973">
        <v>55.22</v>
      </c>
      <c r="F200" s="2973" t="s">
        <v>3575</v>
      </c>
      <c r="G200" s="2973" t="s">
        <v>3081</v>
      </c>
    </row>
    <row r="201" spans="1:7" ht="15.6">
      <c r="A201" s="2973">
        <v>200</v>
      </c>
      <c r="B201" s="2974" t="s">
        <v>3660</v>
      </c>
      <c r="C201" s="2973">
        <v>1</v>
      </c>
      <c r="D201" s="2973" t="s">
        <v>3577</v>
      </c>
      <c r="E201" s="2973">
        <v>55.22</v>
      </c>
      <c r="F201" s="2973" t="s">
        <v>3575</v>
      </c>
      <c r="G201" s="2973" t="s">
        <v>3081</v>
      </c>
    </row>
    <row r="202" spans="1:7" ht="15.6">
      <c r="A202" s="2973">
        <v>201</v>
      </c>
      <c r="B202" s="2974" t="s">
        <v>3660</v>
      </c>
      <c r="C202" s="2973">
        <v>1</v>
      </c>
      <c r="D202" s="2973" t="s">
        <v>3578</v>
      </c>
      <c r="E202" s="2973">
        <v>55.22</v>
      </c>
      <c r="F202" s="2973" t="s">
        <v>3575</v>
      </c>
      <c r="G202" s="2973" t="s">
        <v>3081</v>
      </c>
    </row>
    <row r="203" spans="1:7" ht="15.6">
      <c r="A203" s="2973">
        <v>202</v>
      </c>
      <c r="B203" s="2974" t="s">
        <v>3660</v>
      </c>
      <c r="C203" s="2973">
        <v>1</v>
      </c>
      <c r="D203" s="2973" t="s">
        <v>3579</v>
      </c>
      <c r="E203" s="2973">
        <v>55.22</v>
      </c>
      <c r="F203" s="2973" t="s">
        <v>3575</v>
      </c>
      <c r="G203" s="2973" t="s">
        <v>3081</v>
      </c>
    </row>
    <row r="204" spans="1:7" ht="15.6">
      <c r="A204" s="2973">
        <v>203</v>
      </c>
      <c r="B204" s="2974" t="s">
        <v>3660</v>
      </c>
      <c r="C204" s="2973">
        <v>1</v>
      </c>
      <c r="D204" s="2973" t="s">
        <v>3580</v>
      </c>
      <c r="E204" s="2973">
        <v>61.11</v>
      </c>
      <c r="F204" s="2973" t="s">
        <v>3575</v>
      </c>
      <c r="G204" s="2973" t="s">
        <v>3081</v>
      </c>
    </row>
    <row r="205" spans="1:7" ht="15.6">
      <c r="A205" s="2973">
        <v>204</v>
      </c>
      <c r="B205" s="2974" t="s">
        <v>3660</v>
      </c>
      <c r="C205" s="2973">
        <v>2</v>
      </c>
      <c r="D205" s="2973" t="s">
        <v>3581</v>
      </c>
      <c r="E205" s="2973">
        <v>56.85</v>
      </c>
      <c r="F205" s="2973" t="s">
        <v>3575</v>
      </c>
      <c r="G205" s="2973" t="s">
        <v>3081</v>
      </c>
    </row>
    <row r="206" spans="1:7" ht="15.6">
      <c r="A206" s="2973">
        <v>205</v>
      </c>
      <c r="B206" s="2974" t="s">
        <v>3660</v>
      </c>
      <c r="C206" s="2973">
        <v>2</v>
      </c>
      <c r="D206" s="2973" t="s">
        <v>3582</v>
      </c>
      <c r="E206" s="2973">
        <v>51.97</v>
      </c>
      <c r="F206" s="2973" t="s">
        <v>3575</v>
      </c>
      <c r="G206" s="2973" t="s">
        <v>3081</v>
      </c>
    </row>
    <row r="207" spans="1:7" ht="15.6">
      <c r="A207" s="2973">
        <v>206</v>
      </c>
      <c r="B207" s="2974" t="s">
        <v>3660</v>
      </c>
      <c r="C207" s="2973">
        <v>2</v>
      </c>
      <c r="D207" s="2973" t="s">
        <v>3583</v>
      </c>
      <c r="E207" s="2973">
        <v>51.97</v>
      </c>
      <c r="F207" s="2973" t="s">
        <v>3575</v>
      </c>
      <c r="G207" s="2973" t="s">
        <v>3081</v>
      </c>
    </row>
    <row r="208" spans="1:7" ht="15.6">
      <c r="A208" s="2973">
        <v>207</v>
      </c>
      <c r="B208" s="2974" t="s">
        <v>3660</v>
      </c>
      <c r="C208" s="2973">
        <v>2</v>
      </c>
      <c r="D208" s="2973" t="s">
        <v>3584</v>
      </c>
      <c r="E208" s="2973">
        <v>51.97</v>
      </c>
      <c r="F208" s="2973" t="s">
        <v>3575</v>
      </c>
      <c r="G208" s="2973" t="s">
        <v>3081</v>
      </c>
    </row>
    <row r="209" spans="1:7" ht="15.6">
      <c r="A209" s="2973">
        <v>208</v>
      </c>
      <c r="B209" s="2974" t="s">
        <v>3660</v>
      </c>
      <c r="C209" s="2973">
        <v>2</v>
      </c>
      <c r="D209" s="2973" t="s">
        <v>3585</v>
      </c>
      <c r="E209" s="2973">
        <v>51.97</v>
      </c>
      <c r="F209" s="2973" t="s">
        <v>3575</v>
      </c>
      <c r="G209" s="2973" t="s">
        <v>3081</v>
      </c>
    </row>
    <row r="210" spans="1:7" ht="15.6">
      <c r="A210" s="2973">
        <v>209</v>
      </c>
      <c r="B210" s="2974" t="s">
        <v>3660</v>
      </c>
      <c r="C210" s="2973">
        <v>2</v>
      </c>
      <c r="D210" s="2973" t="s">
        <v>3586</v>
      </c>
      <c r="E210" s="2973">
        <v>56.85</v>
      </c>
      <c r="F210" s="2973" t="s">
        <v>3575</v>
      </c>
      <c r="G210" s="2973" t="s">
        <v>3081</v>
      </c>
    </row>
    <row r="211" spans="1:7" ht="15.6">
      <c r="A211" s="2973">
        <v>210</v>
      </c>
      <c r="B211" s="2974" t="s">
        <v>3660</v>
      </c>
      <c r="C211" s="2973">
        <v>3</v>
      </c>
      <c r="D211" s="2973" t="s">
        <v>3587</v>
      </c>
      <c r="E211" s="2973">
        <v>61.11</v>
      </c>
      <c r="F211" s="2973" t="s">
        <v>3575</v>
      </c>
      <c r="G211" s="2973" t="s">
        <v>3081</v>
      </c>
    </row>
    <row r="212" spans="1:7" ht="15.6">
      <c r="A212" s="2973">
        <v>211</v>
      </c>
      <c r="B212" s="2974" t="s">
        <v>3660</v>
      </c>
      <c r="C212" s="2973">
        <v>3</v>
      </c>
      <c r="D212" s="2973" t="s">
        <v>3588</v>
      </c>
      <c r="E212" s="2973">
        <v>55.22</v>
      </c>
      <c r="F212" s="2973" t="s">
        <v>3575</v>
      </c>
      <c r="G212" s="2973" t="s">
        <v>3081</v>
      </c>
    </row>
    <row r="213" spans="1:7" ht="15.6">
      <c r="A213" s="2973">
        <v>212</v>
      </c>
      <c r="B213" s="2974" t="s">
        <v>3660</v>
      </c>
      <c r="C213" s="2973">
        <v>3</v>
      </c>
      <c r="D213" s="2973" t="s">
        <v>3589</v>
      </c>
      <c r="E213" s="2973">
        <v>55.22</v>
      </c>
      <c r="F213" s="2973" t="s">
        <v>3575</v>
      </c>
      <c r="G213" s="2973" t="s">
        <v>3081</v>
      </c>
    </row>
    <row r="214" spans="1:7" ht="15.6">
      <c r="A214" s="2973">
        <v>213</v>
      </c>
      <c r="B214" s="2974" t="s">
        <v>3660</v>
      </c>
      <c r="C214" s="2973">
        <v>3</v>
      </c>
      <c r="D214" s="2973" t="s">
        <v>3590</v>
      </c>
      <c r="E214" s="2973">
        <v>55.22</v>
      </c>
      <c r="F214" s="2973" t="s">
        <v>3575</v>
      </c>
      <c r="G214" s="2973" t="s">
        <v>3081</v>
      </c>
    </row>
    <row r="215" spans="1:7" ht="15.6">
      <c r="A215" s="2973">
        <v>214</v>
      </c>
      <c r="B215" s="2974" t="s">
        <v>3660</v>
      </c>
      <c r="C215" s="2973">
        <v>3</v>
      </c>
      <c r="D215" s="2973" t="s">
        <v>3591</v>
      </c>
      <c r="E215" s="2973">
        <v>55.22</v>
      </c>
      <c r="F215" s="2973" t="s">
        <v>3575</v>
      </c>
      <c r="G215" s="2973" t="s">
        <v>3081</v>
      </c>
    </row>
    <row r="216" spans="1:7" ht="15.6">
      <c r="A216" s="2973">
        <v>215</v>
      </c>
      <c r="B216" s="2974" t="s">
        <v>3660</v>
      </c>
      <c r="C216" s="2973">
        <v>3</v>
      </c>
      <c r="D216" s="2973" t="s">
        <v>3592</v>
      </c>
      <c r="E216" s="2973">
        <v>61.11</v>
      </c>
      <c r="F216" s="2973" t="s">
        <v>3575</v>
      </c>
      <c r="G216" s="2973" t="s">
        <v>3081</v>
      </c>
    </row>
    <row r="217" spans="1:7" ht="15.6" hidden="1">
      <c r="A217" s="2973">
        <v>216</v>
      </c>
      <c r="B217" s="2974" t="s">
        <v>3661</v>
      </c>
      <c r="C217" s="2973">
        <v>-1</v>
      </c>
      <c r="D217" s="2973" t="s">
        <v>3566</v>
      </c>
      <c r="E217" s="2973">
        <v>35.35</v>
      </c>
      <c r="F217" s="2973" t="s">
        <v>3567</v>
      </c>
      <c r="G217" s="2974" t="s">
        <v>3568</v>
      </c>
    </row>
    <row r="218" spans="1:7" ht="15.6" hidden="1">
      <c r="A218" s="2973">
        <v>217</v>
      </c>
      <c r="B218" s="2974" t="s">
        <v>3661</v>
      </c>
      <c r="C218" s="2973">
        <v>-1</v>
      </c>
      <c r="D218" s="2973" t="s">
        <v>3569</v>
      </c>
      <c r="E218" s="2973">
        <v>32.31</v>
      </c>
      <c r="F218" s="2973" t="s">
        <v>3567</v>
      </c>
      <c r="G218" s="2974" t="s">
        <v>3568</v>
      </c>
    </row>
    <row r="219" spans="1:7" ht="15.6" hidden="1">
      <c r="A219" s="2973">
        <v>218</v>
      </c>
      <c r="B219" s="2974" t="s">
        <v>3661</v>
      </c>
      <c r="C219" s="2973">
        <v>-1</v>
      </c>
      <c r="D219" s="2973" t="s">
        <v>3570</v>
      </c>
      <c r="E219" s="2973">
        <v>32.31</v>
      </c>
      <c r="F219" s="2973" t="s">
        <v>3567</v>
      </c>
      <c r="G219" s="2974" t="s">
        <v>3568</v>
      </c>
    </row>
    <row r="220" spans="1:7" ht="15.6" hidden="1">
      <c r="A220" s="2973">
        <v>219</v>
      </c>
      <c r="B220" s="2974" t="s">
        <v>3661</v>
      </c>
      <c r="C220" s="2973">
        <v>-1</v>
      </c>
      <c r="D220" s="2973" t="s">
        <v>3571</v>
      </c>
      <c r="E220" s="2973">
        <v>32.31</v>
      </c>
      <c r="F220" s="2973" t="s">
        <v>3567</v>
      </c>
      <c r="G220" s="2974" t="s">
        <v>3568</v>
      </c>
    </row>
    <row r="221" spans="1:7" ht="15.6" hidden="1">
      <c r="A221" s="2973">
        <v>220</v>
      </c>
      <c r="B221" s="2974" t="s">
        <v>3661</v>
      </c>
      <c r="C221" s="2973">
        <v>-1</v>
      </c>
      <c r="D221" s="2973" t="s">
        <v>3572</v>
      </c>
      <c r="E221" s="2973">
        <v>32.31</v>
      </c>
      <c r="F221" s="2973" t="s">
        <v>3567</v>
      </c>
      <c r="G221" s="2974" t="s">
        <v>3568</v>
      </c>
    </row>
    <row r="222" spans="1:7" ht="15.6" hidden="1">
      <c r="A222" s="2973">
        <v>221</v>
      </c>
      <c r="B222" s="2974" t="s">
        <v>3661</v>
      </c>
      <c r="C222" s="2973">
        <v>-1</v>
      </c>
      <c r="D222" s="2973" t="s">
        <v>3573</v>
      </c>
      <c r="E222" s="2973">
        <v>35.35</v>
      </c>
      <c r="F222" s="2973" t="s">
        <v>3567</v>
      </c>
      <c r="G222" s="2974" t="s">
        <v>3568</v>
      </c>
    </row>
    <row r="223" spans="1:7" ht="15.6">
      <c r="A223" s="2973">
        <v>222</v>
      </c>
      <c r="B223" s="2974" t="s">
        <v>3661</v>
      </c>
      <c r="C223" s="2973">
        <v>1</v>
      </c>
      <c r="D223" s="2973" t="s">
        <v>3574</v>
      </c>
      <c r="E223" s="2973">
        <v>61.11</v>
      </c>
      <c r="F223" s="2973" t="s">
        <v>3575</v>
      </c>
      <c r="G223" s="2973" t="s">
        <v>3081</v>
      </c>
    </row>
    <row r="224" spans="1:7" ht="15.6">
      <c r="A224" s="2973">
        <v>223</v>
      </c>
      <c r="B224" s="2974" t="s">
        <v>3661</v>
      </c>
      <c r="C224" s="2973">
        <v>1</v>
      </c>
      <c r="D224" s="2973" t="s">
        <v>3576</v>
      </c>
      <c r="E224" s="2973">
        <v>55.22</v>
      </c>
      <c r="F224" s="2973" t="s">
        <v>3575</v>
      </c>
      <c r="G224" s="2973" t="s">
        <v>3081</v>
      </c>
    </row>
    <row r="225" spans="1:7" ht="15.6">
      <c r="A225" s="2973">
        <v>224</v>
      </c>
      <c r="B225" s="2974" t="s">
        <v>3661</v>
      </c>
      <c r="C225" s="2973">
        <v>1</v>
      </c>
      <c r="D225" s="2973" t="s">
        <v>3577</v>
      </c>
      <c r="E225" s="2973">
        <v>55.22</v>
      </c>
      <c r="F225" s="2973" t="s">
        <v>3575</v>
      </c>
      <c r="G225" s="2973" t="s">
        <v>3081</v>
      </c>
    </row>
    <row r="226" spans="1:7" ht="15.6">
      <c r="A226" s="2973">
        <v>225</v>
      </c>
      <c r="B226" s="2974" t="s">
        <v>3661</v>
      </c>
      <c r="C226" s="2973">
        <v>1</v>
      </c>
      <c r="D226" s="2973" t="s">
        <v>3578</v>
      </c>
      <c r="E226" s="2973">
        <v>55.22</v>
      </c>
      <c r="F226" s="2973" t="s">
        <v>3575</v>
      </c>
      <c r="G226" s="2973" t="s">
        <v>3081</v>
      </c>
    </row>
    <row r="227" spans="1:7" ht="15.6">
      <c r="A227" s="2973">
        <v>226</v>
      </c>
      <c r="B227" s="2974" t="s">
        <v>3661</v>
      </c>
      <c r="C227" s="2973">
        <v>1</v>
      </c>
      <c r="D227" s="2973" t="s">
        <v>3579</v>
      </c>
      <c r="E227" s="2973">
        <v>55.22</v>
      </c>
      <c r="F227" s="2973" t="s">
        <v>3575</v>
      </c>
      <c r="G227" s="2973" t="s">
        <v>3081</v>
      </c>
    </row>
    <row r="228" spans="1:7" ht="15.6">
      <c r="A228" s="2973">
        <v>227</v>
      </c>
      <c r="B228" s="2974" t="s">
        <v>3661</v>
      </c>
      <c r="C228" s="2973">
        <v>1</v>
      </c>
      <c r="D228" s="2973" t="s">
        <v>3580</v>
      </c>
      <c r="E228" s="2973">
        <v>61.11</v>
      </c>
      <c r="F228" s="2973" t="s">
        <v>3575</v>
      </c>
      <c r="G228" s="2973" t="s">
        <v>3081</v>
      </c>
    </row>
    <row r="229" spans="1:7" ht="15.6">
      <c r="A229" s="2973">
        <v>228</v>
      </c>
      <c r="B229" s="2974" t="s">
        <v>3661</v>
      </c>
      <c r="C229" s="2973">
        <v>2</v>
      </c>
      <c r="D229" s="2973" t="s">
        <v>3581</v>
      </c>
      <c r="E229" s="2973">
        <v>56.85</v>
      </c>
      <c r="F229" s="2973" t="s">
        <v>3575</v>
      </c>
      <c r="G229" s="2973" t="s">
        <v>3081</v>
      </c>
    </row>
    <row r="230" spans="1:7" ht="15.6">
      <c r="A230" s="2973">
        <v>229</v>
      </c>
      <c r="B230" s="2974" t="s">
        <v>3661</v>
      </c>
      <c r="C230" s="2973">
        <v>2</v>
      </c>
      <c r="D230" s="2973" t="s">
        <v>3582</v>
      </c>
      <c r="E230" s="2973">
        <v>51.97</v>
      </c>
      <c r="F230" s="2973" t="s">
        <v>3575</v>
      </c>
      <c r="G230" s="2973" t="s">
        <v>3081</v>
      </c>
    </row>
    <row r="231" spans="1:7" ht="15.6">
      <c r="A231" s="2973">
        <v>230</v>
      </c>
      <c r="B231" s="2974" t="s">
        <v>3661</v>
      </c>
      <c r="C231" s="2973">
        <v>2</v>
      </c>
      <c r="D231" s="2973" t="s">
        <v>3583</v>
      </c>
      <c r="E231" s="2973">
        <v>51.97</v>
      </c>
      <c r="F231" s="2973" t="s">
        <v>3575</v>
      </c>
      <c r="G231" s="2973" t="s">
        <v>3081</v>
      </c>
    </row>
    <row r="232" spans="1:7" ht="15.6">
      <c r="A232" s="2973">
        <v>231</v>
      </c>
      <c r="B232" s="2974" t="s">
        <v>3661</v>
      </c>
      <c r="C232" s="2973">
        <v>2</v>
      </c>
      <c r="D232" s="2973" t="s">
        <v>3584</v>
      </c>
      <c r="E232" s="2973">
        <v>51.97</v>
      </c>
      <c r="F232" s="2973" t="s">
        <v>3575</v>
      </c>
      <c r="G232" s="2973" t="s">
        <v>3081</v>
      </c>
    </row>
    <row r="233" spans="1:7" ht="15.6">
      <c r="A233" s="2973">
        <v>232</v>
      </c>
      <c r="B233" s="2974" t="s">
        <v>3661</v>
      </c>
      <c r="C233" s="2973">
        <v>2</v>
      </c>
      <c r="D233" s="2973" t="s">
        <v>3585</v>
      </c>
      <c r="E233" s="2973">
        <v>51.97</v>
      </c>
      <c r="F233" s="2973" t="s">
        <v>3575</v>
      </c>
      <c r="G233" s="2973" t="s">
        <v>3081</v>
      </c>
    </row>
    <row r="234" spans="1:7" ht="15.6">
      <c r="A234" s="2973">
        <v>233</v>
      </c>
      <c r="B234" s="2974" t="s">
        <v>3661</v>
      </c>
      <c r="C234" s="2973">
        <v>2</v>
      </c>
      <c r="D234" s="2973" t="s">
        <v>3586</v>
      </c>
      <c r="E234" s="2973">
        <v>56.85</v>
      </c>
      <c r="F234" s="2973" t="s">
        <v>3575</v>
      </c>
      <c r="G234" s="2973" t="s">
        <v>3081</v>
      </c>
    </row>
    <row r="235" spans="1:7" ht="15.6">
      <c r="A235" s="2973">
        <v>234</v>
      </c>
      <c r="B235" s="2974" t="s">
        <v>3661</v>
      </c>
      <c r="C235" s="2973">
        <v>3</v>
      </c>
      <c r="D235" s="2973" t="s">
        <v>3587</v>
      </c>
      <c r="E235" s="2973">
        <v>61.11</v>
      </c>
      <c r="F235" s="2973" t="s">
        <v>3575</v>
      </c>
      <c r="G235" s="2973" t="s">
        <v>3081</v>
      </c>
    </row>
    <row r="236" spans="1:7" ht="15.6">
      <c r="A236" s="2973">
        <v>235</v>
      </c>
      <c r="B236" s="2974" t="s">
        <v>3661</v>
      </c>
      <c r="C236" s="2973">
        <v>3</v>
      </c>
      <c r="D236" s="2973" t="s">
        <v>3588</v>
      </c>
      <c r="E236" s="2973">
        <v>55.22</v>
      </c>
      <c r="F236" s="2973" t="s">
        <v>3575</v>
      </c>
      <c r="G236" s="2973" t="s">
        <v>3081</v>
      </c>
    </row>
    <row r="237" spans="1:7" ht="15.6">
      <c r="A237" s="2973">
        <v>236</v>
      </c>
      <c r="B237" s="2974" t="s">
        <v>3661</v>
      </c>
      <c r="C237" s="2973">
        <v>3</v>
      </c>
      <c r="D237" s="2973" t="s">
        <v>3589</v>
      </c>
      <c r="E237" s="2973">
        <v>55.22</v>
      </c>
      <c r="F237" s="2973" t="s">
        <v>3575</v>
      </c>
      <c r="G237" s="2973" t="s">
        <v>3081</v>
      </c>
    </row>
    <row r="238" spans="1:7" ht="15.6">
      <c r="A238" s="2973">
        <v>237</v>
      </c>
      <c r="B238" s="2974" t="s">
        <v>3661</v>
      </c>
      <c r="C238" s="2973">
        <v>3</v>
      </c>
      <c r="D238" s="2973" t="s">
        <v>3590</v>
      </c>
      <c r="E238" s="2973">
        <v>55.22</v>
      </c>
      <c r="F238" s="2973" t="s">
        <v>3575</v>
      </c>
      <c r="G238" s="2973" t="s">
        <v>3081</v>
      </c>
    </row>
    <row r="239" spans="1:7" ht="15.6">
      <c r="A239" s="2973">
        <v>238</v>
      </c>
      <c r="B239" s="2974" t="s">
        <v>3661</v>
      </c>
      <c r="C239" s="2973">
        <v>3</v>
      </c>
      <c r="D239" s="2973" t="s">
        <v>3591</v>
      </c>
      <c r="E239" s="2973">
        <v>55.22</v>
      </c>
      <c r="F239" s="2973" t="s">
        <v>3575</v>
      </c>
      <c r="G239" s="2973" t="s">
        <v>3081</v>
      </c>
    </row>
    <row r="240" spans="1:7" ht="15.6">
      <c r="A240" s="2973">
        <v>239</v>
      </c>
      <c r="B240" s="2974" t="s">
        <v>3661</v>
      </c>
      <c r="C240" s="2973">
        <v>3</v>
      </c>
      <c r="D240" s="2973" t="s">
        <v>3592</v>
      </c>
      <c r="E240" s="2973">
        <v>61.11</v>
      </c>
      <c r="F240" s="2973" t="s">
        <v>3575</v>
      </c>
      <c r="G240" s="2973" t="s">
        <v>3081</v>
      </c>
    </row>
    <row r="241" spans="1:7" ht="15.6" hidden="1">
      <c r="A241" s="2973">
        <v>240</v>
      </c>
      <c r="B241" s="2974" t="s">
        <v>3662</v>
      </c>
      <c r="C241" s="2973">
        <v>-1</v>
      </c>
      <c r="D241" s="2973" t="s">
        <v>3566</v>
      </c>
      <c r="E241" s="2978">
        <v>35.28</v>
      </c>
      <c r="F241" s="2973" t="s">
        <v>3567</v>
      </c>
      <c r="G241" s="2974" t="s">
        <v>3568</v>
      </c>
    </row>
    <row r="242" spans="1:7" ht="15.6" hidden="1">
      <c r="A242" s="2973">
        <v>241</v>
      </c>
      <c r="B242" s="2974" t="s">
        <v>3662</v>
      </c>
      <c r="C242" s="2973">
        <v>-1</v>
      </c>
      <c r="D242" s="2973" t="s">
        <v>3569</v>
      </c>
      <c r="E242" s="2978">
        <v>32.24</v>
      </c>
      <c r="F242" s="2973" t="s">
        <v>3567</v>
      </c>
      <c r="G242" s="2974" t="s">
        <v>3568</v>
      </c>
    </row>
    <row r="243" spans="1:7" ht="15.6" hidden="1">
      <c r="A243" s="2973">
        <v>242</v>
      </c>
      <c r="B243" s="2974" t="s">
        <v>3662</v>
      </c>
      <c r="C243" s="2973">
        <v>-1</v>
      </c>
      <c r="D243" s="2973" t="s">
        <v>3570</v>
      </c>
      <c r="E243" s="2978">
        <v>32.24</v>
      </c>
      <c r="F243" s="2973" t="s">
        <v>3567</v>
      </c>
      <c r="G243" s="2974" t="s">
        <v>3568</v>
      </c>
    </row>
    <row r="244" spans="1:7" ht="15.6" hidden="1">
      <c r="A244" s="2973">
        <v>243</v>
      </c>
      <c r="B244" s="2974" t="s">
        <v>3662</v>
      </c>
      <c r="C244" s="2973">
        <v>-1</v>
      </c>
      <c r="D244" s="2973" t="s">
        <v>3571</v>
      </c>
      <c r="E244" s="2978">
        <v>32.24</v>
      </c>
      <c r="F244" s="2973" t="s">
        <v>3567</v>
      </c>
      <c r="G244" s="2974" t="s">
        <v>3568</v>
      </c>
    </row>
    <row r="245" spans="1:7" ht="15.6" hidden="1">
      <c r="A245" s="2973">
        <v>244</v>
      </c>
      <c r="B245" s="2974" t="s">
        <v>3662</v>
      </c>
      <c r="C245" s="2973">
        <v>-1</v>
      </c>
      <c r="D245" s="2973" t="s">
        <v>3572</v>
      </c>
      <c r="E245" s="2978">
        <v>35.28</v>
      </c>
      <c r="F245" s="2973" t="s">
        <v>3567</v>
      </c>
      <c r="G245" s="2974" t="s">
        <v>3568</v>
      </c>
    </row>
    <row r="246" spans="1:7" ht="15.6">
      <c r="A246" s="2973">
        <v>245</v>
      </c>
      <c r="B246" s="2974" t="s">
        <v>3662</v>
      </c>
      <c r="C246" s="2973">
        <v>1</v>
      </c>
      <c r="D246" s="2973" t="s">
        <v>3574</v>
      </c>
      <c r="E246" s="2973">
        <v>61.24</v>
      </c>
      <c r="F246" s="2973" t="s">
        <v>3575</v>
      </c>
      <c r="G246" s="2973" t="s">
        <v>3081</v>
      </c>
    </row>
    <row r="247" spans="1:7" ht="15.6">
      <c r="A247" s="2973">
        <v>246</v>
      </c>
      <c r="B247" s="2974" t="s">
        <v>3662</v>
      </c>
      <c r="C247" s="2973">
        <v>1</v>
      </c>
      <c r="D247" s="2973" t="s">
        <v>3576</v>
      </c>
      <c r="E247" s="2973">
        <v>55.34</v>
      </c>
      <c r="F247" s="2973" t="s">
        <v>3575</v>
      </c>
      <c r="G247" s="2973" t="s">
        <v>3081</v>
      </c>
    </row>
    <row r="248" spans="1:7" ht="15.6">
      <c r="A248" s="2973">
        <v>247</v>
      </c>
      <c r="B248" s="2974" t="s">
        <v>3662</v>
      </c>
      <c r="C248" s="2973">
        <v>1</v>
      </c>
      <c r="D248" s="2973" t="s">
        <v>3577</v>
      </c>
      <c r="E248" s="2973">
        <v>55.34</v>
      </c>
      <c r="F248" s="2973" t="s">
        <v>3575</v>
      </c>
      <c r="G248" s="2973" t="s">
        <v>3081</v>
      </c>
    </row>
    <row r="249" spans="1:7" ht="15.6">
      <c r="A249" s="2973">
        <v>248</v>
      </c>
      <c r="B249" s="2974" t="s">
        <v>3662</v>
      </c>
      <c r="C249" s="2973">
        <v>1</v>
      </c>
      <c r="D249" s="2973" t="s">
        <v>3578</v>
      </c>
      <c r="E249" s="2973">
        <v>55.34</v>
      </c>
      <c r="F249" s="2973" t="s">
        <v>3575</v>
      </c>
      <c r="G249" s="2973" t="s">
        <v>3081</v>
      </c>
    </row>
    <row r="250" spans="1:7" ht="15.6">
      <c r="A250" s="2973">
        <v>249</v>
      </c>
      <c r="B250" s="2974" t="s">
        <v>3662</v>
      </c>
      <c r="C250" s="2973">
        <v>1</v>
      </c>
      <c r="D250" s="2973" t="s">
        <v>3579</v>
      </c>
      <c r="E250" s="2973">
        <v>61.24</v>
      </c>
      <c r="F250" s="2973" t="s">
        <v>3575</v>
      </c>
      <c r="G250" s="2973" t="s">
        <v>3081</v>
      </c>
    </row>
    <row r="251" spans="1:7" ht="15.6">
      <c r="A251" s="2973">
        <v>250</v>
      </c>
      <c r="B251" s="2974" t="s">
        <v>3662</v>
      </c>
      <c r="C251" s="2973">
        <v>2</v>
      </c>
      <c r="D251" s="2973" t="s">
        <v>3581</v>
      </c>
      <c r="E251" s="2973">
        <v>56.97</v>
      </c>
      <c r="F251" s="2973" t="s">
        <v>3575</v>
      </c>
      <c r="G251" s="2973" t="s">
        <v>3081</v>
      </c>
    </row>
    <row r="252" spans="1:7" ht="15.6">
      <c r="A252" s="2973">
        <v>251</v>
      </c>
      <c r="B252" s="2974" t="s">
        <v>3662</v>
      </c>
      <c r="C252" s="2973">
        <v>2</v>
      </c>
      <c r="D252" s="2973" t="s">
        <v>3582</v>
      </c>
      <c r="E252" s="2973">
        <v>52.13</v>
      </c>
      <c r="F252" s="2973" t="s">
        <v>3575</v>
      </c>
      <c r="G252" s="2973" t="s">
        <v>3081</v>
      </c>
    </row>
    <row r="253" spans="1:7" ht="15.6">
      <c r="A253" s="2973">
        <v>252</v>
      </c>
      <c r="B253" s="2974" t="s">
        <v>3662</v>
      </c>
      <c r="C253" s="2973">
        <v>2</v>
      </c>
      <c r="D253" s="2973" t="s">
        <v>3583</v>
      </c>
      <c r="E253" s="2973">
        <v>52.09</v>
      </c>
      <c r="F253" s="2973" t="s">
        <v>3575</v>
      </c>
      <c r="G253" s="2973" t="s">
        <v>3081</v>
      </c>
    </row>
    <row r="254" spans="1:7" ht="15.6">
      <c r="A254" s="2973">
        <v>253</v>
      </c>
      <c r="B254" s="2974" t="s">
        <v>3662</v>
      </c>
      <c r="C254" s="2973">
        <v>2</v>
      </c>
      <c r="D254" s="2973" t="s">
        <v>3584</v>
      </c>
      <c r="E254" s="2973">
        <v>52.09</v>
      </c>
      <c r="F254" s="2973" t="s">
        <v>3575</v>
      </c>
      <c r="G254" s="2973" t="s">
        <v>3081</v>
      </c>
    </row>
    <row r="255" spans="1:7" ht="15.6">
      <c r="A255" s="2973">
        <v>254</v>
      </c>
      <c r="B255" s="2974" t="s">
        <v>3662</v>
      </c>
      <c r="C255" s="2973">
        <v>2</v>
      </c>
      <c r="D255" s="2973" t="s">
        <v>3585</v>
      </c>
      <c r="E255" s="2973">
        <v>56.97</v>
      </c>
      <c r="F255" s="2973" t="s">
        <v>3575</v>
      </c>
      <c r="G255" s="2973" t="s">
        <v>3081</v>
      </c>
    </row>
    <row r="256" spans="1:7" ht="15.6">
      <c r="A256" s="2973">
        <v>255</v>
      </c>
      <c r="B256" s="2974" t="s">
        <v>3662</v>
      </c>
      <c r="C256" s="2973">
        <v>3</v>
      </c>
      <c r="D256" s="2973" t="s">
        <v>3587</v>
      </c>
      <c r="E256" s="2973">
        <v>61.24</v>
      </c>
      <c r="F256" s="2973" t="s">
        <v>3575</v>
      </c>
      <c r="G256" s="2973" t="s">
        <v>3081</v>
      </c>
    </row>
    <row r="257" spans="1:7" ht="15.6">
      <c r="A257" s="2973">
        <v>256</v>
      </c>
      <c r="B257" s="2974" t="s">
        <v>3662</v>
      </c>
      <c r="C257" s="2973">
        <v>3</v>
      </c>
      <c r="D257" s="2973" t="s">
        <v>3588</v>
      </c>
      <c r="E257" s="2973">
        <v>55.34</v>
      </c>
      <c r="F257" s="2973" t="s">
        <v>3575</v>
      </c>
      <c r="G257" s="2973" t="s">
        <v>3081</v>
      </c>
    </row>
    <row r="258" spans="1:7" ht="15.6">
      <c r="A258" s="2973">
        <v>257</v>
      </c>
      <c r="B258" s="2974" t="s">
        <v>3662</v>
      </c>
      <c r="C258" s="2973">
        <v>3</v>
      </c>
      <c r="D258" s="2973" t="s">
        <v>3589</v>
      </c>
      <c r="E258" s="2973">
        <v>55.34</v>
      </c>
      <c r="F258" s="2973" t="s">
        <v>3575</v>
      </c>
      <c r="G258" s="2973" t="s">
        <v>3081</v>
      </c>
    </row>
    <row r="259" spans="1:7" ht="15.6">
      <c r="A259" s="2973">
        <v>258</v>
      </c>
      <c r="B259" s="2974" t="s">
        <v>3662</v>
      </c>
      <c r="C259" s="2973">
        <v>3</v>
      </c>
      <c r="D259" s="2973" t="s">
        <v>3590</v>
      </c>
      <c r="E259" s="2973">
        <v>55.34</v>
      </c>
      <c r="F259" s="2973" t="s">
        <v>3575</v>
      </c>
      <c r="G259" s="2973" t="s">
        <v>3081</v>
      </c>
    </row>
    <row r="260" spans="1:7" ht="15.6">
      <c r="A260" s="2973">
        <v>259</v>
      </c>
      <c r="B260" s="2974" t="s">
        <v>3662</v>
      </c>
      <c r="C260" s="2973">
        <v>3</v>
      </c>
      <c r="D260" s="2973" t="s">
        <v>3591</v>
      </c>
      <c r="E260" s="2973">
        <v>61.24</v>
      </c>
      <c r="F260" s="2973" t="s">
        <v>3575</v>
      </c>
      <c r="G260" s="2973" t="s">
        <v>3081</v>
      </c>
    </row>
    <row r="261" spans="1:7" ht="15.6" hidden="1">
      <c r="A261" s="2973">
        <v>260</v>
      </c>
      <c r="B261" s="2974" t="s">
        <v>3663</v>
      </c>
      <c r="C261" s="2973">
        <v>-1</v>
      </c>
      <c r="D261" s="2973" t="s">
        <v>3664</v>
      </c>
      <c r="E261" s="2975">
        <v>11.89</v>
      </c>
      <c r="F261" s="2973" t="s">
        <v>3596</v>
      </c>
      <c r="G261" s="2974" t="s">
        <v>3568</v>
      </c>
    </row>
    <row r="262" spans="1:7" ht="15.6" hidden="1">
      <c r="A262" s="2973">
        <v>261</v>
      </c>
      <c r="B262" s="2974" t="s">
        <v>3663</v>
      </c>
      <c r="C262" s="2973">
        <v>-1</v>
      </c>
      <c r="D262" s="2973" t="s">
        <v>3665</v>
      </c>
      <c r="E262" s="2975">
        <v>11.88</v>
      </c>
      <c r="F262" s="2973" t="s">
        <v>3596</v>
      </c>
      <c r="G262" s="2974" t="s">
        <v>3568</v>
      </c>
    </row>
    <row r="263" spans="1:7" ht="15.6" hidden="1">
      <c r="A263" s="2973">
        <v>262</v>
      </c>
      <c r="B263" s="2974" t="s">
        <v>3663</v>
      </c>
      <c r="C263" s="2973">
        <v>-1</v>
      </c>
      <c r="D263" s="2973" t="s">
        <v>3666</v>
      </c>
      <c r="E263" s="2975">
        <v>7.41</v>
      </c>
      <c r="F263" s="2973" t="s">
        <v>3596</v>
      </c>
      <c r="G263" s="2974" t="s">
        <v>3568</v>
      </c>
    </row>
    <row r="264" spans="1:7" ht="15.6" hidden="1">
      <c r="A264" s="2973">
        <v>263</v>
      </c>
      <c r="B264" s="2974" t="s">
        <v>3663</v>
      </c>
      <c r="C264" s="2973">
        <v>-1</v>
      </c>
      <c r="D264" s="2973" t="s">
        <v>3667</v>
      </c>
      <c r="E264" s="2975">
        <v>7.28</v>
      </c>
      <c r="F264" s="2973" t="s">
        <v>3596</v>
      </c>
      <c r="G264" s="2974" t="s">
        <v>3568</v>
      </c>
    </row>
    <row r="265" spans="1:7" ht="15.6" hidden="1">
      <c r="A265" s="2973">
        <v>264</v>
      </c>
      <c r="B265" s="2974" t="s">
        <v>3663</v>
      </c>
      <c r="C265" s="2973">
        <v>-1</v>
      </c>
      <c r="D265" s="2973" t="s">
        <v>3668</v>
      </c>
      <c r="E265" s="2975">
        <v>13.08</v>
      </c>
      <c r="F265" s="2973" t="s">
        <v>3596</v>
      </c>
      <c r="G265" s="2974" t="s">
        <v>3568</v>
      </c>
    </row>
    <row r="266" spans="1:7" ht="15.6" hidden="1">
      <c r="A266" s="2973">
        <v>265</v>
      </c>
      <c r="B266" s="2974" t="s">
        <v>3663</v>
      </c>
      <c r="C266" s="2973">
        <v>-1</v>
      </c>
      <c r="D266" s="2973" t="s">
        <v>3669</v>
      </c>
      <c r="E266" s="2975">
        <v>15.15</v>
      </c>
      <c r="F266" s="2973" t="s">
        <v>3596</v>
      </c>
      <c r="G266" s="2974" t="s">
        <v>3568</v>
      </c>
    </row>
    <row r="267" spans="1:7" ht="15.6" hidden="1">
      <c r="A267" s="2973">
        <v>266</v>
      </c>
      <c r="B267" s="2974" t="s">
        <v>3663</v>
      </c>
      <c r="C267" s="2973">
        <v>-1</v>
      </c>
      <c r="D267" s="2973" t="s">
        <v>3670</v>
      </c>
      <c r="E267" s="2975">
        <v>9.0299999999999994</v>
      </c>
      <c r="F267" s="2973" t="s">
        <v>3596</v>
      </c>
      <c r="G267" s="2974" t="s">
        <v>3568</v>
      </c>
    </row>
    <row r="268" spans="1:7" ht="15.6" hidden="1">
      <c r="A268" s="2973">
        <v>267</v>
      </c>
      <c r="B268" s="2974" t="s">
        <v>3663</v>
      </c>
      <c r="C268" s="2973">
        <v>-1</v>
      </c>
      <c r="D268" s="2973" t="s">
        <v>3671</v>
      </c>
      <c r="E268" s="2975">
        <v>10.59</v>
      </c>
      <c r="F268" s="2973" t="s">
        <v>3596</v>
      </c>
      <c r="G268" s="2974" t="s">
        <v>3568</v>
      </c>
    </row>
    <row r="269" spans="1:7" ht="15.6" hidden="1">
      <c r="A269" s="2973">
        <v>268</v>
      </c>
      <c r="B269" s="2974" t="s">
        <v>3663</v>
      </c>
      <c r="C269" s="2973">
        <v>-1</v>
      </c>
      <c r="D269" s="2973" t="s">
        <v>3672</v>
      </c>
      <c r="E269" s="2975">
        <v>13.97</v>
      </c>
      <c r="F269" s="2973" t="s">
        <v>3596</v>
      </c>
      <c r="G269" s="2974" t="s">
        <v>3568</v>
      </c>
    </row>
    <row r="270" spans="1:7" ht="15.6" hidden="1">
      <c r="A270" s="2973">
        <v>269</v>
      </c>
      <c r="B270" s="2974" t="s">
        <v>3663</v>
      </c>
      <c r="C270" s="2973">
        <v>-1</v>
      </c>
      <c r="D270" s="2973" t="s">
        <v>3673</v>
      </c>
      <c r="E270" s="2975">
        <v>8.2799999999999994</v>
      </c>
      <c r="F270" s="2973" t="s">
        <v>3596</v>
      </c>
      <c r="G270" s="2974" t="s">
        <v>3568</v>
      </c>
    </row>
    <row r="271" spans="1:7" ht="15.6" hidden="1">
      <c r="A271" s="2973">
        <v>270</v>
      </c>
      <c r="B271" s="2974" t="s">
        <v>3663</v>
      </c>
      <c r="C271" s="2973">
        <v>-1</v>
      </c>
      <c r="D271" s="2973" t="s">
        <v>3674</v>
      </c>
      <c r="E271" s="2975">
        <v>16.21</v>
      </c>
      <c r="F271" s="2973" t="s">
        <v>3596</v>
      </c>
      <c r="G271" s="2974" t="s">
        <v>3568</v>
      </c>
    </row>
    <row r="272" spans="1:7" ht="15.6" hidden="1">
      <c r="A272" s="2973">
        <v>271</v>
      </c>
      <c r="B272" s="2974" t="s">
        <v>3663</v>
      </c>
      <c r="C272" s="2973">
        <v>-1</v>
      </c>
      <c r="D272" s="2973" t="s">
        <v>3675</v>
      </c>
      <c r="E272" s="2975">
        <v>11.38</v>
      </c>
      <c r="F272" s="2973" t="s">
        <v>3596</v>
      </c>
      <c r="G272" s="2974" t="s">
        <v>3568</v>
      </c>
    </row>
    <row r="273" spans="1:7" ht="15.6" hidden="1">
      <c r="A273" s="2973">
        <v>272</v>
      </c>
      <c r="B273" s="2974" t="s">
        <v>3663</v>
      </c>
      <c r="C273" s="2973">
        <v>-1</v>
      </c>
      <c r="D273" s="2973" t="s">
        <v>3676</v>
      </c>
      <c r="E273" s="2975">
        <v>7.72</v>
      </c>
      <c r="F273" s="2973" t="s">
        <v>3596</v>
      </c>
      <c r="G273" s="2974" t="s">
        <v>3568</v>
      </c>
    </row>
    <row r="274" spans="1:7" ht="15.6" hidden="1">
      <c r="A274" s="2973">
        <v>273</v>
      </c>
      <c r="B274" s="2974" t="s">
        <v>3663</v>
      </c>
      <c r="C274" s="2973">
        <v>-1</v>
      </c>
      <c r="D274" s="2973" t="s">
        <v>3677</v>
      </c>
      <c r="E274" s="2975">
        <v>11.38</v>
      </c>
      <c r="F274" s="2973" t="s">
        <v>3596</v>
      </c>
      <c r="G274" s="2974" t="s">
        <v>3568</v>
      </c>
    </row>
    <row r="275" spans="1:7" ht="15.6" hidden="1">
      <c r="A275" s="2973">
        <v>274</v>
      </c>
      <c r="B275" s="2974" t="s">
        <v>3663</v>
      </c>
      <c r="C275" s="2973">
        <v>-1</v>
      </c>
      <c r="D275" s="2973" t="s">
        <v>3678</v>
      </c>
      <c r="E275" s="2975">
        <v>8.2799999999999994</v>
      </c>
      <c r="F275" s="2973" t="s">
        <v>3596</v>
      </c>
      <c r="G275" s="2974" t="s">
        <v>3568</v>
      </c>
    </row>
    <row r="276" spans="1:7" ht="15.6" hidden="1">
      <c r="A276" s="2973">
        <v>275</v>
      </c>
      <c r="B276" s="2974" t="s">
        <v>3663</v>
      </c>
      <c r="C276" s="2973">
        <v>-1</v>
      </c>
      <c r="D276" s="2973" t="s">
        <v>3679</v>
      </c>
      <c r="E276" s="2975">
        <v>10.67</v>
      </c>
      <c r="F276" s="2973" t="s">
        <v>3596</v>
      </c>
      <c r="G276" s="2974" t="s">
        <v>3568</v>
      </c>
    </row>
    <row r="277" spans="1:7" ht="15.6" hidden="1">
      <c r="A277" s="2973">
        <v>276</v>
      </c>
      <c r="B277" s="2974" t="s">
        <v>3663</v>
      </c>
      <c r="C277" s="2973">
        <v>-1</v>
      </c>
      <c r="D277" s="2973" t="s">
        <v>3680</v>
      </c>
      <c r="E277" s="2975">
        <v>8.7799999999999994</v>
      </c>
      <c r="F277" s="2973" t="s">
        <v>3596</v>
      </c>
      <c r="G277" s="2974" t="s">
        <v>3568</v>
      </c>
    </row>
    <row r="278" spans="1:7" ht="15.6" hidden="1">
      <c r="A278" s="2973">
        <v>277</v>
      </c>
      <c r="B278" s="2974" t="s">
        <v>3663</v>
      </c>
      <c r="C278" s="2973">
        <v>-1</v>
      </c>
      <c r="D278" s="2973" t="s">
        <v>3681</v>
      </c>
      <c r="E278" s="2975">
        <v>12.4</v>
      </c>
      <c r="F278" s="2973" t="s">
        <v>3596</v>
      </c>
      <c r="G278" s="2974" t="s">
        <v>3568</v>
      </c>
    </row>
    <row r="279" spans="1:7" ht="15.6" hidden="1">
      <c r="A279" s="2973">
        <v>278</v>
      </c>
      <c r="B279" s="2974" t="s">
        <v>3663</v>
      </c>
      <c r="C279" s="2973">
        <v>-1</v>
      </c>
      <c r="D279" s="2973" t="s">
        <v>3682</v>
      </c>
      <c r="E279" s="2975">
        <v>13.95</v>
      </c>
      <c r="F279" s="2973" t="s">
        <v>3596</v>
      </c>
      <c r="G279" s="2974" t="s">
        <v>3568</v>
      </c>
    </row>
    <row r="280" spans="1:7" ht="15.6" hidden="1">
      <c r="A280" s="2973">
        <v>279</v>
      </c>
      <c r="B280" s="2974" t="s">
        <v>3663</v>
      </c>
      <c r="C280" s="2973">
        <v>-1</v>
      </c>
      <c r="D280" s="2973" t="s">
        <v>3683</v>
      </c>
      <c r="E280" s="2975">
        <v>14.81</v>
      </c>
      <c r="F280" s="2973" t="s">
        <v>3596</v>
      </c>
      <c r="G280" s="2974" t="s">
        <v>3568</v>
      </c>
    </row>
    <row r="281" spans="1:7" ht="15.6" hidden="1">
      <c r="A281" s="2973">
        <v>280</v>
      </c>
      <c r="B281" s="2974" t="s">
        <v>3663</v>
      </c>
      <c r="C281" s="2973">
        <v>-1</v>
      </c>
      <c r="D281" s="2973" t="s">
        <v>3684</v>
      </c>
      <c r="E281" s="2975">
        <v>26.15</v>
      </c>
      <c r="F281" s="2973" t="s">
        <v>3596</v>
      </c>
      <c r="G281" s="2974" t="s">
        <v>3568</v>
      </c>
    </row>
    <row r="282" spans="1:7" ht="15.6" hidden="1">
      <c r="A282" s="2973">
        <v>281</v>
      </c>
      <c r="B282" s="2974" t="s">
        <v>3663</v>
      </c>
      <c r="C282" s="2973">
        <v>-1</v>
      </c>
      <c r="D282" s="2973" t="s">
        <v>3685</v>
      </c>
      <c r="E282" s="2975">
        <v>10.83</v>
      </c>
      <c r="F282" s="2973" t="s">
        <v>3596</v>
      </c>
      <c r="G282" s="2974" t="s">
        <v>3568</v>
      </c>
    </row>
    <row r="283" spans="1:7" ht="15.6" hidden="1">
      <c r="A283" s="2973">
        <v>282</v>
      </c>
      <c r="B283" s="2974" t="s">
        <v>3663</v>
      </c>
      <c r="C283" s="2973">
        <v>-1</v>
      </c>
      <c r="D283" s="2973" t="s">
        <v>3686</v>
      </c>
      <c r="E283" s="2975">
        <v>18.37</v>
      </c>
      <c r="F283" s="2973" t="s">
        <v>3596</v>
      </c>
      <c r="G283" s="2974" t="s">
        <v>3568</v>
      </c>
    </row>
    <row r="284" spans="1:7" ht="15.6" hidden="1">
      <c r="A284" s="2973">
        <v>283</v>
      </c>
      <c r="B284" s="2974" t="s">
        <v>3663</v>
      </c>
      <c r="C284" s="2973">
        <v>-1</v>
      </c>
      <c r="D284" s="2973" t="s">
        <v>3687</v>
      </c>
      <c r="E284" s="2975">
        <v>16.8</v>
      </c>
      <c r="F284" s="2973" t="s">
        <v>3596</v>
      </c>
      <c r="G284" s="2974" t="s">
        <v>3568</v>
      </c>
    </row>
    <row r="285" spans="1:7" ht="15.6" hidden="1">
      <c r="A285" s="2973">
        <v>284</v>
      </c>
      <c r="B285" s="2974" t="s">
        <v>3663</v>
      </c>
      <c r="C285" s="2973">
        <v>-1</v>
      </c>
      <c r="D285" s="2973" t="s">
        <v>3688</v>
      </c>
      <c r="E285" s="2975">
        <v>18.98</v>
      </c>
      <c r="F285" s="2973" t="s">
        <v>3596</v>
      </c>
      <c r="G285" s="2974" t="s">
        <v>3568</v>
      </c>
    </row>
    <row r="286" spans="1:7" ht="15.6" hidden="1">
      <c r="A286" s="2973">
        <v>285</v>
      </c>
      <c r="B286" s="2974" t="s">
        <v>3663</v>
      </c>
      <c r="C286" s="2973">
        <v>-1</v>
      </c>
      <c r="D286" s="2973" t="s">
        <v>3689</v>
      </c>
      <c r="E286" s="2975">
        <v>19.23</v>
      </c>
      <c r="F286" s="2973" t="s">
        <v>3596</v>
      </c>
      <c r="G286" s="2974" t="s">
        <v>3568</v>
      </c>
    </row>
    <row r="287" spans="1:7" ht="15.6" hidden="1">
      <c r="A287" s="2973">
        <v>286</v>
      </c>
      <c r="B287" s="2974" t="s">
        <v>3663</v>
      </c>
      <c r="C287" s="2973">
        <v>-1</v>
      </c>
      <c r="D287" s="2973" t="s">
        <v>3690</v>
      </c>
      <c r="E287" s="2975">
        <v>11.7</v>
      </c>
      <c r="F287" s="2973" t="s">
        <v>3596</v>
      </c>
      <c r="G287" s="2974" t="s">
        <v>3568</v>
      </c>
    </row>
    <row r="288" spans="1:7" ht="15.6" hidden="1">
      <c r="A288" s="2973">
        <v>287</v>
      </c>
      <c r="B288" s="2974" t="s">
        <v>3663</v>
      </c>
      <c r="C288" s="2973">
        <v>-1</v>
      </c>
      <c r="D288" s="2973" t="s">
        <v>3691</v>
      </c>
      <c r="E288" s="2975">
        <v>19.329999999999998</v>
      </c>
      <c r="F288" s="2973" t="s">
        <v>3596</v>
      </c>
      <c r="G288" s="2974" t="s">
        <v>3568</v>
      </c>
    </row>
    <row r="289" spans="1:7" ht="15.6" hidden="1">
      <c r="A289" s="2973">
        <v>288</v>
      </c>
      <c r="B289" s="2974" t="s">
        <v>3663</v>
      </c>
      <c r="C289" s="2973">
        <v>-1</v>
      </c>
      <c r="D289" s="2973" t="s">
        <v>3692</v>
      </c>
      <c r="E289" s="2975">
        <v>18.63</v>
      </c>
      <c r="F289" s="2973" t="s">
        <v>3596</v>
      </c>
      <c r="G289" s="2974" t="s">
        <v>3568</v>
      </c>
    </row>
    <row r="290" spans="1:7" ht="15.6" hidden="1">
      <c r="A290" s="2973">
        <v>289</v>
      </c>
      <c r="B290" s="2974" t="s">
        <v>3663</v>
      </c>
      <c r="C290" s="2973">
        <v>-1</v>
      </c>
      <c r="D290" s="2973" t="s">
        <v>3693</v>
      </c>
      <c r="E290" s="2975">
        <v>10.85</v>
      </c>
      <c r="F290" s="2973" t="s">
        <v>3596</v>
      </c>
      <c r="G290" s="2974" t="s">
        <v>3568</v>
      </c>
    </row>
    <row r="291" spans="1:7" ht="15.6" hidden="1">
      <c r="A291" s="2973">
        <v>290</v>
      </c>
      <c r="B291" s="2974" t="s">
        <v>3663</v>
      </c>
      <c r="C291" s="2973">
        <v>-1</v>
      </c>
      <c r="D291" s="2973" t="s">
        <v>3694</v>
      </c>
      <c r="E291" s="2975">
        <v>14.98</v>
      </c>
      <c r="F291" s="2973" t="s">
        <v>3596</v>
      </c>
      <c r="G291" s="2974" t="s">
        <v>3568</v>
      </c>
    </row>
    <row r="292" spans="1:7" ht="15.6" hidden="1">
      <c r="A292" s="2973">
        <v>291</v>
      </c>
      <c r="B292" s="2974" t="s">
        <v>3663</v>
      </c>
      <c r="C292" s="2973">
        <v>-1</v>
      </c>
      <c r="D292" s="2973" t="s">
        <v>3695</v>
      </c>
      <c r="E292" s="2975">
        <v>12.91</v>
      </c>
      <c r="F292" s="2973" t="s">
        <v>3596</v>
      </c>
      <c r="G292" s="2974" t="s">
        <v>3568</v>
      </c>
    </row>
    <row r="293" spans="1:7" ht="15.6" hidden="1">
      <c r="A293" s="2973">
        <v>292</v>
      </c>
      <c r="B293" s="2974" t="s">
        <v>3663</v>
      </c>
      <c r="C293" s="2973">
        <v>-1</v>
      </c>
      <c r="D293" s="2973" t="s">
        <v>3696</v>
      </c>
      <c r="E293" s="2975">
        <v>7.28</v>
      </c>
      <c r="F293" s="2973" t="s">
        <v>3596</v>
      </c>
      <c r="G293" s="2974" t="s">
        <v>3568</v>
      </c>
    </row>
    <row r="294" spans="1:7" ht="15.6" hidden="1">
      <c r="A294" s="2973">
        <v>293</v>
      </c>
      <c r="B294" s="2974" t="s">
        <v>3663</v>
      </c>
      <c r="C294" s="2973">
        <v>-1</v>
      </c>
      <c r="D294" s="2973" t="s">
        <v>3697</v>
      </c>
      <c r="E294" s="2975">
        <v>20.92</v>
      </c>
      <c r="F294" s="2973" t="s">
        <v>3596</v>
      </c>
      <c r="G294" s="2974" t="s">
        <v>3568</v>
      </c>
    </row>
    <row r="295" spans="1:7" ht="15.6" hidden="1">
      <c r="A295" s="2973">
        <v>294</v>
      </c>
      <c r="B295" s="2974" t="s">
        <v>3663</v>
      </c>
      <c r="C295" s="2973">
        <v>-1</v>
      </c>
      <c r="D295" s="2973" t="s">
        <v>3698</v>
      </c>
      <c r="E295" s="2975">
        <v>7.41</v>
      </c>
      <c r="F295" s="2973" t="s">
        <v>3596</v>
      </c>
      <c r="G295" s="2974" t="s">
        <v>3568</v>
      </c>
    </row>
    <row r="296" spans="1:7" ht="15.6" hidden="1">
      <c r="A296" s="2973">
        <v>295</v>
      </c>
      <c r="B296" s="2974" t="s">
        <v>3663</v>
      </c>
      <c r="C296" s="2973">
        <v>-1</v>
      </c>
      <c r="D296" s="2973" t="s">
        <v>3699</v>
      </c>
      <c r="E296" s="2975">
        <v>12.15</v>
      </c>
      <c r="F296" s="2973" t="s">
        <v>3596</v>
      </c>
      <c r="G296" s="2974" t="s">
        <v>3568</v>
      </c>
    </row>
    <row r="297" spans="1:7" ht="15.6" hidden="1">
      <c r="A297" s="2973">
        <v>296</v>
      </c>
      <c r="B297" s="2974" t="s">
        <v>3663</v>
      </c>
      <c r="C297" s="2973">
        <v>-1</v>
      </c>
      <c r="D297" s="2973" t="s">
        <v>3700</v>
      </c>
      <c r="E297" s="2975">
        <v>13.84</v>
      </c>
      <c r="F297" s="2973" t="s">
        <v>3596</v>
      </c>
      <c r="G297" s="2974" t="s">
        <v>3568</v>
      </c>
    </row>
    <row r="298" spans="1:7" ht="15.6" hidden="1">
      <c r="A298" s="2973">
        <v>297</v>
      </c>
      <c r="B298" s="2974" t="s">
        <v>3663</v>
      </c>
      <c r="C298" s="2973">
        <v>-1</v>
      </c>
      <c r="D298" s="2973" t="s">
        <v>3701</v>
      </c>
      <c r="E298" s="2975">
        <v>13.11</v>
      </c>
      <c r="F298" s="2973" t="s">
        <v>3596</v>
      </c>
      <c r="G298" s="2974" t="s">
        <v>3568</v>
      </c>
    </row>
    <row r="299" spans="1:7" ht="15.6" hidden="1">
      <c r="A299" s="2973">
        <v>298</v>
      </c>
      <c r="B299" s="2974" t="s">
        <v>3663</v>
      </c>
      <c r="C299" s="2973">
        <v>-1</v>
      </c>
      <c r="D299" s="2973" t="s">
        <v>3702</v>
      </c>
      <c r="E299" s="2975">
        <v>13.07</v>
      </c>
      <c r="F299" s="2973" t="s">
        <v>3596</v>
      </c>
      <c r="G299" s="2974" t="s">
        <v>3568</v>
      </c>
    </row>
    <row r="300" spans="1:7" ht="15.6" hidden="1">
      <c r="A300" s="2973">
        <v>299</v>
      </c>
      <c r="B300" s="2974" t="s">
        <v>3663</v>
      </c>
      <c r="C300" s="2973">
        <v>-1</v>
      </c>
      <c r="D300" s="2973" t="s">
        <v>3703</v>
      </c>
      <c r="E300" s="2975">
        <v>13.87</v>
      </c>
      <c r="F300" s="2973" t="s">
        <v>3596</v>
      </c>
      <c r="G300" s="2974" t="s">
        <v>3568</v>
      </c>
    </row>
    <row r="301" spans="1:7" ht="15.6" hidden="1">
      <c r="A301" s="2973">
        <v>300</v>
      </c>
      <c r="B301" s="2974" t="s">
        <v>3663</v>
      </c>
      <c r="C301" s="2974">
        <v>1</v>
      </c>
      <c r="D301" s="2976">
        <v>101</v>
      </c>
      <c r="E301" s="2976">
        <v>135.88</v>
      </c>
      <c r="F301" s="2974" t="s">
        <v>3615</v>
      </c>
      <c r="G301" s="2973" t="s">
        <v>3616</v>
      </c>
    </row>
    <row r="302" spans="1:7" ht="15.6" hidden="1">
      <c r="A302" s="2973">
        <v>301</v>
      </c>
      <c r="B302" s="2974" t="s">
        <v>3663</v>
      </c>
      <c r="C302" s="2974">
        <v>1</v>
      </c>
      <c r="D302" s="2976">
        <v>102</v>
      </c>
      <c r="E302" s="2976">
        <v>102.31</v>
      </c>
      <c r="F302" s="2974" t="s">
        <v>3615</v>
      </c>
      <c r="G302" s="2973" t="s">
        <v>3616</v>
      </c>
    </row>
    <row r="303" spans="1:7" ht="15.6" hidden="1">
      <c r="A303" s="2973">
        <v>302</v>
      </c>
      <c r="B303" s="2974" t="s">
        <v>3663</v>
      </c>
      <c r="C303" s="2974">
        <v>1</v>
      </c>
      <c r="D303" s="2976">
        <v>103</v>
      </c>
      <c r="E303" s="2976">
        <v>102.31</v>
      </c>
      <c r="F303" s="2974" t="s">
        <v>3615</v>
      </c>
      <c r="G303" s="2973" t="s">
        <v>3616</v>
      </c>
    </row>
    <row r="304" spans="1:7" ht="15.6" hidden="1">
      <c r="A304" s="2973">
        <v>303</v>
      </c>
      <c r="B304" s="2974" t="s">
        <v>3663</v>
      </c>
      <c r="C304" s="2974">
        <v>1</v>
      </c>
      <c r="D304" s="2976">
        <v>104</v>
      </c>
      <c r="E304" s="2976">
        <v>135.88</v>
      </c>
      <c r="F304" s="2974" t="s">
        <v>3615</v>
      </c>
      <c r="G304" s="2973" t="s">
        <v>3616</v>
      </c>
    </row>
    <row r="305" spans="1:7" ht="15.6" hidden="1">
      <c r="A305" s="2973">
        <v>304</v>
      </c>
      <c r="B305" s="2974" t="s">
        <v>3663</v>
      </c>
      <c r="C305" s="2974">
        <v>2</v>
      </c>
      <c r="D305" s="2976">
        <v>201</v>
      </c>
      <c r="E305" s="2976">
        <v>135.88</v>
      </c>
      <c r="F305" s="2974" t="s">
        <v>3615</v>
      </c>
      <c r="G305" s="2973" t="s">
        <v>3616</v>
      </c>
    </row>
    <row r="306" spans="1:7" ht="15.6" hidden="1">
      <c r="A306" s="2973">
        <v>305</v>
      </c>
      <c r="B306" s="2974" t="s">
        <v>3663</v>
      </c>
      <c r="C306" s="2974">
        <v>2</v>
      </c>
      <c r="D306" s="2976">
        <v>202</v>
      </c>
      <c r="E306" s="2976">
        <v>115.54</v>
      </c>
      <c r="F306" s="2974" t="s">
        <v>3615</v>
      </c>
      <c r="G306" s="2973" t="s">
        <v>3616</v>
      </c>
    </row>
    <row r="307" spans="1:7" ht="15.6" hidden="1">
      <c r="A307" s="2973">
        <v>306</v>
      </c>
      <c r="B307" s="2974" t="s">
        <v>3663</v>
      </c>
      <c r="C307" s="2974">
        <v>2</v>
      </c>
      <c r="D307" s="2976">
        <v>203</v>
      </c>
      <c r="E307" s="2976">
        <v>115.54</v>
      </c>
      <c r="F307" s="2974" t="s">
        <v>3615</v>
      </c>
      <c r="G307" s="2973" t="s">
        <v>3616</v>
      </c>
    </row>
    <row r="308" spans="1:7" ht="15.6" hidden="1">
      <c r="A308" s="2973">
        <v>307</v>
      </c>
      <c r="B308" s="2974" t="s">
        <v>3663</v>
      </c>
      <c r="C308" s="2974">
        <v>2</v>
      </c>
      <c r="D308" s="2976">
        <v>204</v>
      </c>
      <c r="E308" s="2976">
        <v>135.88</v>
      </c>
      <c r="F308" s="2974" t="s">
        <v>3615</v>
      </c>
      <c r="G308" s="2973" t="s">
        <v>3616</v>
      </c>
    </row>
    <row r="309" spans="1:7" ht="15.6" hidden="1">
      <c r="A309" s="2973">
        <v>308</v>
      </c>
      <c r="B309" s="2974" t="s">
        <v>3663</v>
      </c>
      <c r="C309" s="2974">
        <v>3</v>
      </c>
      <c r="D309" s="2976">
        <v>301</v>
      </c>
      <c r="E309" s="2976">
        <v>135.88</v>
      </c>
      <c r="F309" s="2974" t="s">
        <v>3615</v>
      </c>
      <c r="G309" s="2973" t="s">
        <v>3616</v>
      </c>
    </row>
    <row r="310" spans="1:7" ht="15.6" hidden="1">
      <c r="A310" s="2973">
        <v>309</v>
      </c>
      <c r="B310" s="2974" t="s">
        <v>3663</v>
      </c>
      <c r="C310" s="2974">
        <v>3</v>
      </c>
      <c r="D310" s="2976">
        <v>302</v>
      </c>
      <c r="E310" s="2976">
        <v>115.54</v>
      </c>
      <c r="F310" s="2974" t="s">
        <v>3615</v>
      </c>
      <c r="G310" s="2973" t="s">
        <v>3616</v>
      </c>
    </row>
    <row r="311" spans="1:7" ht="15.6" hidden="1">
      <c r="A311" s="2973">
        <v>310</v>
      </c>
      <c r="B311" s="2974" t="s">
        <v>3663</v>
      </c>
      <c r="C311" s="2974">
        <v>3</v>
      </c>
      <c r="D311" s="2976">
        <v>303</v>
      </c>
      <c r="E311" s="2976">
        <v>115.54</v>
      </c>
      <c r="F311" s="2974" t="s">
        <v>3615</v>
      </c>
      <c r="G311" s="2973" t="s">
        <v>3616</v>
      </c>
    </row>
    <row r="312" spans="1:7" ht="15.6" hidden="1">
      <c r="A312" s="2973">
        <v>311</v>
      </c>
      <c r="B312" s="2974" t="s">
        <v>3663</v>
      </c>
      <c r="C312" s="2974">
        <v>3</v>
      </c>
      <c r="D312" s="2976">
        <v>304</v>
      </c>
      <c r="E312" s="2976">
        <v>135.88</v>
      </c>
      <c r="F312" s="2974" t="s">
        <v>3615</v>
      </c>
      <c r="G312" s="2973" t="s">
        <v>3616</v>
      </c>
    </row>
    <row r="313" spans="1:7" ht="15.6" hidden="1">
      <c r="A313" s="2973">
        <v>312</v>
      </c>
      <c r="B313" s="2974" t="s">
        <v>3663</v>
      </c>
      <c r="C313" s="2974">
        <v>4</v>
      </c>
      <c r="D313" s="2976">
        <v>401</v>
      </c>
      <c r="E313" s="2976">
        <v>135.88</v>
      </c>
      <c r="F313" s="2974" t="s">
        <v>3615</v>
      </c>
      <c r="G313" s="2973" t="s">
        <v>3616</v>
      </c>
    </row>
    <row r="314" spans="1:7" ht="15.6" hidden="1">
      <c r="A314" s="2973">
        <v>313</v>
      </c>
      <c r="B314" s="2974" t="s">
        <v>3663</v>
      </c>
      <c r="C314" s="2974">
        <v>4</v>
      </c>
      <c r="D314" s="2976">
        <v>402</v>
      </c>
      <c r="E314" s="2976">
        <v>115.54</v>
      </c>
      <c r="F314" s="2974" t="s">
        <v>3615</v>
      </c>
      <c r="G314" s="2973" t="s">
        <v>3616</v>
      </c>
    </row>
    <row r="315" spans="1:7" ht="15.6" hidden="1">
      <c r="A315" s="2973">
        <v>314</v>
      </c>
      <c r="B315" s="2974" t="s">
        <v>3663</v>
      </c>
      <c r="C315" s="2974">
        <v>4</v>
      </c>
      <c r="D315" s="2976">
        <v>403</v>
      </c>
      <c r="E315" s="2976">
        <v>115.54</v>
      </c>
      <c r="F315" s="2974" t="s">
        <v>3615</v>
      </c>
      <c r="G315" s="2973" t="s">
        <v>3616</v>
      </c>
    </row>
    <row r="316" spans="1:7" ht="15.6" hidden="1">
      <c r="A316" s="2973">
        <v>315</v>
      </c>
      <c r="B316" s="2974" t="s">
        <v>3663</v>
      </c>
      <c r="C316" s="2974">
        <v>4</v>
      </c>
      <c r="D316" s="2976">
        <v>404</v>
      </c>
      <c r="E316" s="2976">
        <v>135.88</v>
      </c>
      <c r="F316" s="2974" t="s">
        <v>3615</v>
      </c>
      <c r="G316" s="2973" t="s">
        <v>3616</v>
      </c>
    </row>
    <row r="317" spans="1:7" ht="15.6" hidden="1">
      <c r="A317" s="2973">
        <v>316</v>
      </c>
      <c r="B317" s="2974" t="s">
        <v>3663</v>
      </c>
      <c r="C317" s="2974">
        <v>5</v>
      </c>
      <c r="D317" s="2976">
        <v>501</v>
      </c>
      <c r="E317" s="2976">
        <v>135.88</v>
      </c>
      <c r="F317" s="2974" t="s">
        <v>3615</v>
      </c>
      <c r="G317" s="2973" t="s">
        <v>3616</v>
      </c>
    </row>
    <row r="318" spans="1:7" ht="15.6" hidden="1">
      <c r="A318" s="2973">
        <v>317</v>
      </c>
      <c r="B318" s="2974" t="s">
        <v>3663</v>
      </c>
      <c r="C318" s="2974">
        <v>5</v>
      </c>
      <c r="D318" s="2976">
        <v>502</v>
      </c>
      <c r="E318" s="2976">
        <v>115.54</v>
      </c>
      <c r="F318" s="2974" t="s">
        <v>3615</v>
      </c>
      <c r="G318" s="2973" t="s">
        <v>3616</v>
      </c>
    </row>
    <row r="319" spans="1:7" ht="15.6" hidden="1">
      <c r="A319" s="2973">
        <v>318</v>
      </c>
      <c r="B319" s="2974" t="s">
        <v>3663</v>
      </c>
      <c r="C319" s="2974">
        <v>5</v>
      </c>
      <c r="D319" s="2976">
        <v>503</v>
      </c>
      <c r="E319" s="2976">
        <v>115.54</v>
      </c>
      <c r="F319" s="2974" t="s">
        <v>3615</v>
      </c>
      <c r="G319" s="2973" t="s">
        <v>3616</v>
      </c>
    </row>
    <row r="320" spans="1:7" ht="15.6" hidden="1">
      <c r="A320" s="2973">
        <v>319</v>
      </c>
      <c r="B320" s="2974" t="s">
        <v>3663</v>
      </c>
      <c r="C320" s="2974">
        <v>5</v>
      </c>
      <c r="D320" s="2976">
        <v>504</v>
      </c>
      <c r="E320" s="2976">
        <v>135.88</v>
      </c>
      <c r="F320" s="2974" t="s">
        <v>3615</v>
      </c>
      <c r="G320" s="2973" t="s">
        <v>3616</v>
      </c>
    </row>
    <row r="321" spans="1:7" ht="15.6" hidden="1">
      <c r="A321" s="2973">
        <v>320</v>
      </c>
      <c r="B321" s="2974" t="s">
        <v>3663</v>
      </c>
      <c r="C321" s="2974">
        <v>6</v>
      </c>
      <c r="D321" s="2976">
        <v>601</v>
      </c>
      <c r="E321" s="2976">
        <v>135.88</v>
      </c>
      <c r="F321" s="2974" t="s">
        <v>3615</v>
      </c>
      <c r="G321" s="2973" t="s">
        <v>3616</v>
      </c>
    </row>
    <row r="322" spans="1:7" ht="15.6" hidden="1">
      <c r="A322" s="2973">
        <v>321</v>
      </c>
      <c r="B322" s="2974" t="s">
        <v>3663</v>
      </c>
      <c r="C322" s="2974">
        <v>6</v>
      </c>
      <c r="D322" s="2976">
        <v>602</v>
      </c>
      <c r="E322" s="2976">
        <v>115.54</v>
      </c>
      <c r="F322" s="2974" t="s">
        <v>3615</v>
      </c>
      <c r="G322" s="2973" t="s">
        <v>3616</v>
      </c>
    </row>
    <row r="323" spans="1:7" ht="15.6" hidden="1">
      <c r="A323" s="2973">
        <v>322</v>
      </c>
      <c r="B323" s="2974" t="s">
        <v>3663</v>
      </c>
      <c r="C323" s="2974">
        <v>6</v>
      </c>
      <c r="D323" s="2976">
        <v>603</v>
      </c>
      <c r="E323" s="2976">
        <v>115.54</v>
      </c>
      <c r="F323" s="2974" t="s">
        <v>3615</v>
      </c>
      <c r="G323" s="2973" t="s">
        <v>3616</v>
      </c>
    </row>
    <row r="324" spans="1:7" ht="15.6" hidden="1">
      <c r="A324" s="2973">
        <v>323</v>
      </c>
      <c r="B324" s="2974" t="s">
        <v>3663</v>
      </c>
      <c r="C324" s="2974">
        <v>6</v>
      </c>
      <c r="D324" s="2976">
        <v>604</v>
      </c>
      <c r="E324" s="2976">
        <v>135.88</v>
      </c>
      <c r="F324" s="2974" t="s">
        <v>3615</v>
      </c>
      <c r="G324" s="2973" t="s">
        <v>3616</v>
      </c>
    </row>
    <row r="325" spans="1:7" ht="15.6" hidden="1">
      <c r="A325" s="2973">
        <v>324</v>
      </c>
      <c r="B325" s="2974" t="s">
        <v>3663</v>
      </c>
      <c r="C325" s="2974">
        <v>7</v>
      </c>
      <c r="D325" s="2976">
        <v>701</v>
      </c>
      <c r="E325" s="2976">
        <v>135.88</v>
      </c>
      <c r="F325" s="2974" t="s">
        <v>3615</v>
      </c>
      <c r="G325" s="2973" t="s">
        <v>3616</v>
      </c>
    </row>
    <row r="326" spans="1:7" ht="15.6" hidden="1">
      <c r="A326" s="2973">
        <v>325</v>
      </c>
      <c r="B326" s="2974" t="s">
        <v>3663</v>
      </c>
      <c r="C326" s="2974">
        <v>7</v>
      </c>
      <c r="D326" s="2976">
        <v>702</v>
      </c>
      <c r="E326" s="2976">
        <v>115.54</v>
      </c>
      <c r="F326" s="2974" t="s">
        <v>3615</v>
      </c>
      <c r="G326" s="2973" t="s">
        <v>3616</v>
      </c>
    </row>
    <row r="327" spans="1:7" ht="15.6" hidden="1">
      <c r="A327" s="2973">
        <v>326</v>
      </c>
      <c r="B327" s="2974" t="s">
        <v>3663</v>
      </c>
      <c r="C327" s="2974">
        <v>7</v>
      </c>
      <c r="D327" s="2976">
        <v>703</v>
      </c>
      <c r="E327" s="2976">
        <v>115.54</v>
      </c>
      <c r="F327" s="2974" t="s">
        <v>3615</v>
      </c>
      <c r="G327" s="2973" t="s">
        <v>3616</v>
      </c>
    </row>
    <row r="328" spans="1:7" ht="15.6" hidden="1">
      <c r="A328" s="2973">
        <v>327</v>
      </c>
      <c r="B328" s="2974" t="s">
        <v>3663</v>
      </c>
      <c r="C328" s="2974">
        <v>7</v>
      </c>
      <c r="D328" s="2976">
        <v>704</v>
      </c>
      <c r="E328" s="2976">
        <v>135.88</v>
      </c>
      <c r="F328" s="2974" t="s">
        <v>3615</v>
      </c>
      <c r="G328" s="2973" t="s">
        <v>3616</v>
      </c>
    </row>
    <row r="329" spans="1:7" ht="15.6" hidden="1">
      <c r="A329" s="2973">
        <v>328</v>
      </c>
      <c r="B329" s="2974" t="s">
        <v>3663</v>
      </c>
      <c r="C329" s="2974">
        <v>8</v>
      </c>
      <c r="D329" s="2976">
        <v>801</v>
      </c>
      <c r="E329" s="2976">
        <v>135.88</v>
      </c>
      <c r="F329" s="2974" t="s">
        <v>3615</v>
      </c>
      <c r="G329" s="2973" t="s">
        <v>3616</v>
      </c>
    </row>
    <row r="330" spans="1:7" ht="15.6" hidden="1">
      <c r="A330" s="2973">
        <v>329</v>
      </c>
      <c r="B330" s="2974" t="s">
        <v>3663</v>
      </c>
      <c r="C330" s="2974">
        <v>8</v>
      </c>
      <c r="D330" s="2976">
        <v>802</v>
      </c>
      <c r="E330" s="2976">
        <v>115.54</v>
      </c>
      <c r="F330" s="2974" t="s">
        <v>3615</v>
      </c>
      <c r="G330" s="2973" t="s">
        <v>3616</v>
      </c>
    </row>
    <row r="331" spans="1:7" ht="15.6" hidden="1">
      <c r="A331" s="2973">
        <v>330</v>
      </c>
      <c r="B331" s="2974" t="s">
        <v>3663</v>
      </c>
      <c r="C331" s="2974">
        <v>8</v>
      </c>
      <c r="D331" s="2976">
        <v>803</v>
      </c>
      <c r="E331" s="2976">
        <v>115.54</v>
      </c>
      <c r="F331" s="2974" t="s">
        <v>3615</v>
      </c>
      <c r="G331" s="2973" t="s">
        <v>3616</v>
      </c>
    </row>
    <row r="332" spans="1:7" ht="15.6" hidden="1">
      <c r="A332" s="2973">
        <v>331</v>
      </c>
      <c r="B332" s="2974" t="s">
        <v>3663</v>
      </c>
      <c r="C332" s="2974">
        <v>8</v>
      </c>
      <c r="D332" s="2976">
        <v>804</v>
      </c>
      <c r="E332" s="2976">
        <v>135.88</v>
      </c>
      <c r="F332" s="2974" t="s">
        <v>3615</v>
      </c>
      <c r="G332" s="2973" t="s">
        <v>3616</v>
      </c>
    </row>
    <row r="333" spans="1:7" ht="15.6" hidden="1">
      <c r="A333" s="2973">
        <v>332</v>
      </c>
      <c r="B333" s="2974" t="s">
        <v>3663</v>
      </c>
      <c r="C333" s="2974">
        <v>9</v>
      </c>
      <c r="D333" s="2976">
        <v>901</v>
      </c>
      <c r="E333" s="2976">
        <v>128.28</v>
      </c>
      <c r="F333" s="2974" t="s">
        <v>3615</v>
      </c>
      <c r="G333" s="2973" t="s">
        <v>3616</v>
      </c>
    </row>
    <row r="334" spans="1:7" ht="15.6" hidden="1">
      <c r="A334" s="2973">
        <v>333</v>
      </c>
      <c r="B334" s="2974" t="s">
        <v>3663</v>
      </c>
      <c r="C334" s="2974">
        <v>9</v>
      </c>
      <c r="D334" s="2976">
        <v>902</v>
      </c>
      <c r="E334" s="2976">
        <v>104.79</v>
      </c>
      <c r="F334" s="2974" t="s">
        <v>3615</v>
      </c>
      <c r="G334" s="2973" t="s">
        <v>3616</v>
      </c>
    </row>
    <row r="335" spans="1:7" ht="15.6" hidden="1">
      <c r="A335" s="2973">
        <v>334</v>
      </c>
      <c r="B335" s="2974" t="s">
        <v>3663</v>
      </c>
      <c r="C335" s="2974">
        <v>9</v>
      </c>
      <c r="D335" s="2976">
        <v>903</v>
      </c>
      <c r="E335" s="2976">
        <v>104.79</v>
      </c>
      <c r="F335" s="2974" t="s">
        <v>3615</v>
      </c>
      <c r="G335" s="2973" t="s">
        <v>3616</v>
      </c>
    </row>
    <row r="336" spans="1:7" ht="15.6" hidden="1">
      <c r="A336" s="2973">
        <v>335</v>
      </c>
      <c r="B336" s="2974" t="s">
        <v>3663</v>
      </c>
      <c r="C336" s="2974">
        <v>9</v>
      </c>
      <c r="D336" s="2976">
        <v>904</v>
      </c>
      <c r="E336" s="2976">
        <v>128.28</v>
      </c>
      <c r="F336" s="2974" t="s">
        <v>3615</v>
      </c>
      <c r="G336" s="2973" t="s">
        <v>3616</v>
      </c>
    </row>
    <row r="337" spans="1:7" ht="15.6" hidden="1">
      <c r="A337" s="2973">
        <v>336</v>
      </c>
      <c r="B337" s="2974" t="s">
        <v>3704</v>
      </c>
      <c r="C337" s="2973">
        <v>-1</v>
      </c>
      <c r="D337" s="2973" t="s">
        <v>3705</v>
      </c>
      <c r="E337" s="2973">
        <v>14.18</v>
      </c>
      <c r="F337" s="2973" t="s">
        <v>3619</v>
      </c>
      <c r="G337" s="2974" t="s">
        <v>3620</v>
      </c>
    </row>
    <row r="338" spans="1:7" ht="15.6" hidden="1">
      <c r="A338" s="2973">
        <v>337</v>
      </c>
      <c r="B338" s="2974" t="s">
        <v>3704</v>
      </c>
      <c r="C338" s="2973">
        <v>-1</v>
      </c>
      <c r="D338" s="2973" t="s">
        <v>3706</v>
      </c>
      <c r="E338" s="2973">
        <v>15.25</v>
      </c>
      <c r="F338" s="2973" t="s">
        <v>3619</v>
      </c>
      <c r="G338" s="2974" t="s">
        <v>3620</v>
      </c>
    </row>
    <row r="339" spans="1:7" ht="15.6" hidden="1">
      <c r="A339" s="2973">
        <v>338</v>
      </c>
      <c r="B339" s="2974" t="s">
        <v>3704</v>
      </c>
      <c r="C339" s="2973">
        <v>-1</v>
      </c>
      <c r="D339" s="2973" t="s">
        <v>3707</v>
      </c>
      <c r="E339" s="2973">
        <v>6.1</v>
      </c>
      <c r="F339" s="2973" t="s">
        <v>3619</v>
      </c>
      <c r="G339" s="2974" t="s">
        <v>3620</v>
      </c>
    </row>
    <row r="340" spans="1:7" ht="15.6" hidden="1">
      <c r="A340" s="2973">
        <v>339</v>
      </c>
      <c r="B340" s="2974" t="s">
        <v>3704</v>
      </c>
      <c r="C340" s="2973">
        <v>-1</v>
      </c>
      <c r="D340" s="2973" t="s">
        <v>3708</v>
      </c>
      <c r="E340" s="2973">
        <v>6.42</v>
      </c>
      <c r="F340" s="2973" t="s">
        <v>3619</v>
      </c>
      <c r="G340" s="2974" t="s">
        <v>3620</v>
      </c>
    </row>
    <row r="341" spans="1:7" ht="15.6" hidden="1">
      <c r="A341" s="2973">
        <v>340</v>
      </c>
      <c r="B341" s="2974" t="s">
        <v>3704</v>
      </c>
      <c r="C341" s="2973">
        <v>-1</v>
      </c>
      <c r="D341" s="2973" t="s">
        <v>3709</v>
      </c>
      <c r="E341" s="2973">
        <v>15.25</v>
      </c>
      <c r="F341" s="2973" t="s">
        <v>3619</v>
      </c>
      <c r="G341" s="2974" t="s">
        <v>3620</v>
      </c>
    </row>
    <row r="342" spans="1:7" ht="15.6" hidden="1">
      <c r="A342" s="2973">
        <v>341</v>
      </c>
      <c r="B342" s="2974" t="s">
        <v>3704</v>
      </c>
      <c r="C342" s="2973">
        <v>-1</v>
      </c>
      <c r="D342" s="2973" t="s">
        <v>3710</v>
      </c>
      <c r="E342" s="2973">
        <v>11.5</v>
      </c>
      <c r="F342" s="2973" t="s">
        <v>3619</v>
      </c>
      <c r="G342" s="2974" t="s">
        <v>3620</v>
      </c>
    </row>
    <row r="343" spans="1:7" ht="15.6" hidden="1">
      <c r="A343" s="2973">
        <v>342</v>
      </c>
      <c r="B343" s="2974" t="s">
        <v>3704</v>
      </c>
      <c r="C343" s="2973">
        <v>-1</v>
      </c>
      <c r="D343" s="2973" t="s">
        <v>3711</v>
      </c>
      <c r="E343" s="2973">
        <v>5.94</v>
      </c>
      <c r="F343" s="2973" t="s">
        <v>3619</v>
      </c>
      <c r="G343" s="2974" t="s">
        <v>3620</v>
      </c>
    </row>
    <row r="344" spans="1:7" ht="15.6" hidden="1">
      <c r="A344" s="2973">
        <v>343</v>
      </c>
      <c r="B344" s="2974" t="s">
        <v>3704</v>
      </c>
      <c r="C344" s="2973">
        <v>-1</v>
      </c>
      <c r="D344" s="2973" t="s">
        <v>3712</v>
      </c>
      <c r="E344" s="2973">
        <v>6.25</v>
      </c>
      <c r="F344" s="2973" t="s">
        <v>3619</v>
      </c>
      <c r="G344" s="2974" t="s">
        <v>3620</v>
      </c>
    </row>
    <row r="345" spans="1:7" ht="15.6" hidden="1">
      <c r="A345" s="2973">
        <v>344</v>
      </c>
      <c r="B345" s="2974" t="s">
        <v>3704</v>
      </c>
      <c r="C345" s="2973">
        <v>-1</v>
      </c>
      <c r="D345" s="2973" t="s">
        <v>3713</v>
      </c>
      <c r="E345" s="2973">
        <v>11.5</v>
      </c>
      <c r="F345" s="2973" t="s">
        <v>3619</v>
      </c>
      <c r="G345" s="2974" t="s">
        <v>3620</v>
      </c>
    </row>
    <row r="346" spans="1:7" ht="15.6" hidden="1">
      <c r="A346" s="2973">
        <v>345</v>
      </c>
      <c r="B346" s="2974" t="s">
        <v>3704</v>
      </c>
      <c r="C346" s="2973">
        <v>-1</v>
      </c>
      <c r="D346" s="2973" t="s">
        <v>3714</v>
      </c>
      <c r="E346" s="2973">
        <v>14.56</v>
      </c>
      <c r="F346" s="2973" t="s">
        <v>3619</v>
      </c>
      <c r="G346" s="2974" t="s">
        <v>3620</v>
      </c>
    </row>
    <row r="347" spans="1:7" ht="15.6" hidden="1">
      <c r="A347" s="2973">
        <v>346</v>
      </c>
      <c r="B347" s="2974" t="s">
        <v>3704</v>
      </c>
      <c r="C347" s="2973">
        <v>-1</v>
      </c>
      <c r="D347" s="2973" t="s">
        <v>3715</v>
      </c>
      <c r="E347" s="2973">
        <v>13.98</v>
      </c>
      <c r="F347" s="2973" t="s">
        <v>3619</v>
      </c>
      <c r="G347" s="2974" t="s">
        <v>3620</v>
      </c>
    </row>
    <row r="348" spans="1:7" ht="15.6" hidden="1">
      <c r="A348" s="2973">
        <v>347</v>
      </c>
      <c r="B348" s="2974" t="s">
        <v>3704</v>
      </c>
      <c r="C348" s="2973">
        <v>-1</v>
      </c>
      <c r="D348" s="2973" t="s">
        <v>3716</v>
      </c>
      <c r="E348" s="2973">
        <v>10.91</v>
      </c>
      <c r="F348" s="2973" t="s">
        <v>3619</v>
      </c>
      <c r="G348" s="2974" t="s">
        <v>3620</v>
      </c>
    </row>
    <row r="349" spans="1:7" ht="15.6" hidden="1">
      <c r="A349" s="2973">
        <v>348</v>
      </c>
      <c r="B349" s="2974" t="s">
        <v>3704</v>
      </c>
      <c r="C349" s="2973">
        <v>-1</v>
      </c>
      <c r="D349" s="2973" t="s">
        <v>3717</v>
      </c>
      <c r="E349" s="2973">
        <v>12.1</v>
      </c>
      <c r="F349" s="2973" t="s">
        <v>3619</v>
      </c>
      <c r="G349" s="2974" t="s">
        <v>3649</v>
      </c>
    </row>
    <row r="350" spans="1:7" ht="15.6" hidden="1">
      <c r="A350" s="2973">
        <v>349</v>
      </c>
      <c r="B350" s="2974" t="s">
        <v>3718</v>
      </c>
      <c r="C350" s="2973">
        <v>-1</v>
      </c>
      <c r="D350" s="2973" t="s">
        <v>3719</v>
      </c>
      <c r="E350" s="2973">
        <v>15.17</v>
      </c>
      <c r="F350" s="2973" t="s">
        <v>3619</v>
      </c>
      <c r="G350" s="2974" t="s">
        <v>3649</v>
      </c>
    </row>
    <row r="351" spans="1:7" ht="15.6" hidden="1">
      <c r="A351" s="2973">
        <v>350</v>
      </c>
      <c r="B351" s="2974" t="s">
        <v>3718</v>
      </c>
      <c r="C351" s="2973">
        <v>-1</v>
      </c>
      <c r="D351" s="2973" t="s">
        <v>3720</v>
      </c>
      <c r="E351" s="2973">
        <v>10.78</v>
      </c>
      <c r="F351" s="2973" t="s">
        <v>3619</v>
      </c>
      <c r="G351" s="2974" t="s">
        <v>3649</v>
      </c>
    </row>
    <row r="352" spans="1:7" ht="15.6" hidden="1">
      <c r="A352" s="2973">
        <v>351</v>
      </c>
      <c r="B352" s="2974" t="s">
        <v>3718</v>
      </c>
      <c r="C352" s="2973">
        <v>-1</v>
      </c>
      <c r="D352" s="2973" t="s">
        <v>3721</v>
      </c>
      <c r="E352" s="2973">
        <v>9.02</v>
      </c>
      <c r="F352" s="2973" t="s">
        <v>3619</v>
      </c>
      <c r="G352" s="2974" t="s">
        <v>3649</v>
      </c>
    </row>
    <row r="353" spans="1:7" ht="15.6" hidden="1">
      <c r="A353" s="2973">
        <v>352</v>
      </c>
      <c r="B353" s="2974" t="s">
        <v>3718</v>
      </c>
      <c r="C353" s="2973">
        <v>-1</v>
      </c>
      <c r="D353" s="2973" t="s">
        <v>3722</v>
      </c>
      <c r="E353" s="2973">
        <v>10.78</v>
      </c>
      <c r="F353" s="2973" t="s">
        <v>3619</v>
      </c>
      <c r="G353" s="2974" t="s">
        <v>3649</v>
      </c>
    </row>
    <row r="354" spans="1:7" ht="15.6" hidden="1">
      <c r="A354" s="2973">
        <v>353</v>
      </c>
      <c r="B354" s="2974" t="s">
        <v>3718</v>
      </c>
      <c r="C354" s="2973">
        <v>-1</v>
      </c>
      <c r="D354" s="2973" t="s">
        <v>3723</v>
      </c>
      <c r="E354" s="2973">
        <v>15.17</v>
      </c>
      <c r="F354" s="2973" t="s">
        <v>3619</v>
      </c>
      <c r="G354" s="2974" t="s">
        <v>3649</v>
      </c>
    </row>
    <row r="355" spans="1:7" ht="15.6" hidden="1">
      <c r="A355" s="2973">
        <v>354</v>
      </c>
      <c r="B355" s="2974" t="s">
        <v>3718</v>
      </c>
      <c r="C355" s="2973">
        <v>-1</v>
      </c>
      <c r="D355" s="2973" t="s">
        <v>3724</v>
      </c>
      <c r="E355" s="2973">
        <v>11.98</v>
      </c>
      <c r="F355" s="2973" t="s">
        <v>3619</v>
      </c>
      <c r="G355" s="2974" t="s">
        <v>3649</v>
      </c>
    </row>
    <row r="356" spans="1:7" ht="15.6" hidden="1">
      <c r="A356" s="2973">
        <v>355</v>
      </c>
      <c r="B356" s="2974" t="s">
        <v>3718</v>
      </c>
      <c r="C356" s="2973">
        <v>-1</v>
      </c>
      <c r="D356" s="2973" t="s">
        <v>3725</v>
      </c>
      <c r="E356" s="2973">
        <v>13.93</v>
      </c>
      <c r="F356" s="2973" t="s">
        <v>3619</v>
      </c>
      <c r="G356" s="2974" t="s">
        <v>3649</v>
      </c>
    </row>
    <row r="357" spans="1:7" ht="15.6" hidden="1">
      <c r="A357" s="2973">
        <v>356</v>
      </c>
      <c r="B357" s="2974" t="s">
        <v>3718</v>
      </c>
      <c r="C357" s="2973">
        <v>-1</v>
      </c>
      <c r="D357" s="2973" t="s">
        <v>3726</v>
      </c>
      <c r="E357" s="2973">
        <v>13.07</v>
      </c>
      <c r="F357" s="2973" t="s">
        <v>3619</v>
      </c>
      <c r="G357" s="2974" t="s">
        <v>3649</v>
      </c>
    </row>
    <row r="358" spans="1:7" ht="15.6" hidden="1">
      <c r="A358" s="2973">
        <v>357</v>
      </c>
      <c r="B358" s="2974" t="s">
        <v>3718</v>
      </c>
      <c r="C358" s="2973">
        <v>-1</v>
      </c>
      <c r="D358" s="2973" t="s">
        <v>3727</v>
      </c>
      <c r="E358" s="2973">
        <v>13.02</v>
      </c>
      <c r="F358" s="2973" t="s">
        <v>3619</v>
      </c>
      <c r="G358" s="2974" t="s">
        <v>3649</v>
      </c>
    </row>
    <row r="359" spans="1:7" ht="15.6" hidden="1">
      <c r="A359" s="2973">
        <v>358</v>
      </c>
      <c r="B359" s="2974" t="s">
        <v>3718</v>
      </c>
      <c r="C359" s="2973">
        <v>-1</v>
      </c>
      <c r="D359" s="2973" t="s">
        <v>3728</v>
      </c>
      <c r="E359" s="2973">
        <v>13.57</v>
      </c>
      <c r="F359" s="2973" t="s">
        <v>3619</v>
      </c>
      <c r="G359" s="2974" t="s">
        <v>3649</v>
      </c>
    </row>
    <row r="360" spans="1:7" ht="15.6" hidden="1">
      <c r="A360" s="2973">
        <v>359</v>
      </c>
      <c r="B360" s="2974" t="s">
        <v>3718</v>
      </c>
      <c r="C360" s="2973">
        <v>-1</v>
      </c>
      <c r="D360" s="2973" t="s">
        <v>3729</v>
      </c>
      <c r="E360" s="2973">
        <v>15.55</v>
      </c>
      <c r="F360" s="2973" t="s">
        <v>3619</v>
      </c>
      <c r="G360" s="2974" t="s">
        <v>3649</v>
      </c>
    </row>
    <row r="361" spans="1:7" ht="15.6" hidden="1">
      <c r="A361" s="2973">
        <v>360</v>
      </c>
      <c r="B361" s="2974" t="s">
        <v>3718</v>
      </c>
      <c r="C361" s="2973">
        <v>-1</v>
      </c>
      <c r="D361" s="2973" t="s">
        <v>3730</v>
      </c>
      <c r="E361" s="2973">
        <v>21.5</v>
      </c>
      <c r="F361" s="2973" t="s">
        <v>3619</v>
      </c>
      <c r="G361" s="2974" t="s">
        <v>3649</v>
      </c>
    </row>
    <row r="362" spans="1:7" ht="15.6" hidden="1">
      <c r="A362" s="2973">
        <v>361</v>
      </c>
      <c r="B362" s="2974" t="s">
        <v>3718</v>
      </c>
      <c r="C362" s="2973">
        <v>-1</v>
      </c>
      <c r="D362" s="2973" t="s">
        <v>3731</v>
      </c>
      <c r="E362" s="2973">
        <v>13.4</v>
      </c>
      <c r="F362" s="2973" t="s">
        <v>3619</v>
      </c>
      <c r="G362" s="2974" t="s">
        <v>3649</v>
      </c>
    </row>
    <row r="363" spans="1:7" ht="15.6" hidden="1">
      <c r="A363" s="2973">
        <v>362</v>
      </c>
      <c r="B363" s="2974" t="s">
        <v>3718</v>
      </c>
      <c r="C363" s="2973">
        <v>1</v>
      </c>
      <c r="D363" s="2973" t="s">
        <v>3732</v>
      </c>
      <c r="E363" s="2973">
        <v>54.41</v>
      </c>
      <c r="F363" s="2973" t="s">
        <v>3648</v>
      </c>
      <c r="G363" s="2974" t="s">
        <v>3649</v>
      </c>
    </row>
    <row r="364" spans="1:7" ht="15.6" hidden="1">
      <c r="A364" s="2973">
        <v>363</v>
      </c>
      <c r="B364" s="2974" t="s">
        <v>3718</v>
      </c>
      <c r="C364" s="2973">
        <v>1</v>
      </c>
      <c r="D364" s="2973" t="s">
        <v>3733</v>
      </c>
      <c r="E364" s="2973">
        <v>68.87</v>
      </c>
      <c r="F364" s="2973" t="s">
        <v>3648</v>
      </c>
      <c r="G364" s="2974" t="s">
        <v>3649</v>
      </c>
    </row>
    <row r="365" spans="1:7" ht="15.6" hidden="1">
      <c r="A365" s="2973">
        <v>364</v>
      </c>
      <c r="B365" s="2974" t="s">
        <v>3718</v>
      </c>
      <c r="C365" s="2974">
        <v>1</v>
      </c>
      <c r="D365" s="2976">
        <v>101</v>
      </c>
      <c r="E365" s="2976">
        <v>116.66</v>
      </c>
      <c r="F365" s="2974" t="s">
        <v>3653</v>
      </c>
      <c r="G365" s="2973" t="s">
        <v>3654</v>
      </c>
    </row>
    <row r="366" spans="1:7" ht="15.6" hidden="1">
      <c r="A366" s="2973">
        <v>365</v>
      </c>
      <c r="B366" s="2974" t="s">
        <v>3718</v>
      </c>
      <c r="C366" s="2974">
        <v>1</v>
      </c>
      <c r="D366" s="2976">
        <v>102</v>
      </c>
      <c r="E366" s="2976">
        <v>104.03</v>
      </c>
      <c r="F366" s="2974" t="s">
        <v>3653</v>
      </c>
      <c r="G366" s="2973" t="s">
        <v>3654</v>
      </c>
    </row>
    <row r="367" spans="1:7" ht="15.6" hidden="1">
      <c r="A367" s="2973">
        <v>366</v>
      </c>
      <c r="B367" s="2974" t="s">
        <v>3718</v>
      </c>
      <c r="C367" s="2974">
        <v>2</v>
      </c>
      <c r="D367" s="2976">
        <v>201</v>
      </c>
      <c r="E367" s="2976">
        <v>116.66</v>
      </c>
      <c r="F367" s="2974" t="s">
        <v>3653</v>
      </c>
      <c r="G367" s="2973" t="s">
        <v>3654</v>
      </c>
    </row>
    <row r="368" spans="1:7" ht="15.6" hidden="1">
      <c r="A368" s="2973">
        <v>367</v>
      </c>
      <c r="B368" s="2974" t="s">
        <v>3718</v>
      </c>
      <c r="C368" s="2974">
        <v>2</v>
      </c>
      <c r="D368" s="2976">
        <v>202</v>
      </c>
      <c r="E368" s="2976">
        <v>117.48</v>
      </c>
      <c r="F368" s="2974" t="s">
        <v>3653</v>
      </c>
      <c r="G368" s="2973" t="s">
        <v>3654</v>
      </c>
    </row>
    <row r="369" spans="1:7" ht="15.6" hidden="1">
      <c r="A369" s="2973">
        <v>368</v>
      </c>
      <c r="B369" s="2974" t="s">
        <v>3718</v>
      </c>
      <c r="C369" s="2974">
        <v>2</v>
      </c>
      <c r="D369" s="2976">
        <v>203</v>
      </c>
      <c r="E369" s="2976">
        <v>117.48</v>
      </c>
      <c r="F369" s="2974" t="s">
        <v>3653</v>
      </c>
      <c r="G369" s="2973" t="s">
        <v>3654</v>
      </c>
    </row>
    <row r="370" spans="1:7" ht="15.6" hidden="1">
      <c r="A370" s="2973">
        <v>369</v>
      </c>
      <c r="B370" s="2974" t="s">
        <v>3718</v>
      </c>
      <c r="C370" s="2974">
        <v>2</v>
      </c>
      <c r="D370" s="2976">
        <v>204</v>
      </c>
      <c r="E370" s="2976">
        <v>102.88</v>
      </c>
      <c r="F370" s="2974" t="s">
        <v>3653</v>
      </c>
      <c r="G370" s="2973" t="s">
        <v>3654</v>
      </c>
    </row>
    <row r="371" spans="1:7" ht="15.6" hidden="1">
      <c r="A371" s="2973">
        <v>370</v>
      </c>
      <c r="B371" s="2974" t="s">
        <v>3718</v>
      </c>
      <c r="C371" s="2974">
        <v>3</v>
      </c>
      <c r="D371" s="2976">
        <v>301</v>
      </c>
      <c r="E371" s="2976">
        <v>116.66</v>
      </c>
      <c r="F371" s="2974" t="s">
        <v>3653</v>
      </c>
      <c r="G371" s="2973" t="s">
        <v>3654</v>
      </c>
    </row>
    <row r="372" spans="1:7" ht="15.6" hidden="1">
      <c r="A372" s="2973">
        <v>371</v>
      </c>
      <c r="B372" s="2974" t="s">
        <v>3718</v>
      </c>
      <c r="C372" s="2974">
        <v>3</v>
      </c>
      <c r="D372" s="2976">
        <v>302</v>
      </c>
      <c r="E372" s="2976">
        <v>117.48</v>
      </c>
      <c r="F372" s="2974" t="s">
        <v>3653</v>
      </c>
      <c r="G372" s="2973" t="s">
        <v>3654</v>
      </c>
    </row>
    <row r="373" spans="1:7" ht="15.6" hidden="1">
      <c r="A373" s="2973">
        <v>372</v>
      </c>
      <c r="B373" s="2974" t="s">
        <v>3718</v>
      </c>
      <c r="C373" s="2974">
        <v>3</v>
      </c>
      <c r="D373" s="2976">
        <v>303</v>
      </c>
      <c r="E373" s="2976">
        <v>117.48</v>
      </c>
      <c r="F373" s="2974" t="s">
        <v>3653</v>
      </c>
      <c r="G373" s="2973" t="s">
        <v>3654</v>
      </c>
    </row>
    <row r="374" spans="1:7" ht="15.6" hidden="1">
      <c r="A374" s="2973">
        <v>373</v>
      </c>
      <c r="B374" s="2974" t="s">
        <v>3718</v>
      </c>
      <c r="C374" s="2974">
        <v>3</v>
      </c>
      <c r="D374" s="2976">
        <v>304</v>
      </c>
      <c r="E374" s="2976">
        <v>102.88</v>
      </c>
      <c r="F374" s="2974" t="s">
        <v>3653</v>
      </c>
      <c r="G374" s="2973" t="s">
        <v>3654</v>
      </c>
    </row>
    <row r="375" spans="1:7" ht="15.6" hidden="1">
      <c r="A375" s="2973">
        <v>374</v>
      </c>
      <c r="B375" s="2974" t="s">
        <v>3718</v>
      </c>
      <c r="C375" s="2974">
        <v>4</v>
      </c>
      <c r="D375" s="2976">
        <v>401</v>
      </c>
      <c r="E375" s="2976">
        <v>116.66</v>
      </c>
      <c r="F375" s="2974" t="s">
        <v>3653</v>
      </c>
      <c r="G375" s="2973" t="s">
        <v>3654</v>
      </c>
    </row>
    <row r="376" spans="1:7" ht="15.6" hidden="1">
      <c r="A376" s="2973">
        <v>375</v>
      </c>
      <c r="B376" s="2974" t="s">
        <v>3718</v>
      </c>
      <c r="C376" s="2974">
        <v>4</v>
      </c>
      <c r="D376" s="2976">
        <v>402</v>
      </c>
      <c r="E376" s="2976">
        <v>117.48</v>
      </c>
      <c r="F376" s="2974" t="s">
        <v>3653</v>
      </c>
      <c r="G376" s="2973" t="s">
        <v>3654</v>
      </c>
    </row>
    <row r="377" spans="1:7" ht="15.6" hidden="1">
      <c r="A377" s="2973">
        <v>376</v>
      </c>
      <c r="B377" s="2974" t="s">
        <v>3718</v>
      </c>
      <c r="C377" s="2974">
        <v>4</v>
      </c>
      <c r="D377" s="2976">
        <v>403</v>
      </c>
      <c r="E377" s="2976">
        <v>117.48</v>
      </c>
      <c r="F377" s="2974" t="s">
        <v>3653</v>
      </c>
      <c r="G377" s="2973" t="s">
        <v>3654</v>
      </c>
    </row>
    <row r="378" spans="1:7" ht="15.6" hidden="1">
      <c r="A378" s="2973">
        <v>377</v>
      </c>
      <c r="B378" s="2974" t="s">
        <v>3718</v>
      </c>
      <c r="C378" s="2974">
        <v>4</v>
      </c>
      <c r="D378" s="2976">
        <v>404</v>
      </c>
      <c r="E378" s="2976">
        <v>102.88</v>
      </c>
      <c r="F378" s="2974" t="s">
        <v>3653</v>
      </c>
      <c r="G378" s="2973" t="s">
        <v>3654</v>
      </c>
    </row>
    <row r="379" spans="1:7" ht="15.6" hidden="1">
      <c r="A379" s="2973">
        <v>378</v>
      </c>
      <c r="B379" s="2974" t="s">
        <v>3718</v>
      </c>
      <c r="C379" s="2974">
        <v>5</v>
      </c>
      <c r="D379" s="2976">
        <v>501</v>
      </c>
      <c r="E379" s="2976">
        <v>116.66</v>
      </c>
      <c r="F379" s="2974" t="s">
        <v>3653</v>
      </c>
      <c r="G379" s="2973" t="s">
        <v>3654</v>
      </c>
    </row>
    <row r="380" spans="1:7" ht="15.6" hidden="1">
      <c r="A380" s="2973">
        <v>379</v>
      </c>
      <c r="B380" s="2974" t="s">
        <v>3718</v>
      </c>
      <c r="C380" s="2974">
        <v>5</v>
      </c>
      <c r="D380" s="2976">
        <v>502</v>
      </c>
      <c r="E380" s="2976">
        <v>117.48</v>
      </c>
      <c r="F380" s="2974" t="s">
        <v>3653</v>
      </c>
      <c r="G380" s="2973" t="s">
        <v>3654</v>
      </c>
    </row>
    <row r="381" spans="1:7" ht="15.6" hidden="1">
      <c r="A381" s="2973">
        <v>380</v>
      </c>
      <c r="B381" s="2974" t="s">
        <v>3718</v>
      </c>
      <c r="C381" s="2974">
        <v>5</v>
      </c>
      <c r="D381" s="2976">
        <v>503</v>
      </c>
      <c r="E381" s="2976">
        <v>117.48</v>
      </c>
      <c r="F381" s="2974" t="s">
        <v>3653</v>
      </c>
      <c r="G381" s="2973" t="s">
        <v>3654</v>
      </c>
    </row>
    <row r="382" spans="1:7" ht="15.6" hidden="1">
      <c r="A382" s="2973">
        <v>381</v>
      </c>
      <c r="B382" s="2974" t="s">
        <v>3718</v>
      </c>
      <c r="C382" s="2974">
        <v>5</v>
      </c>
      <c r="D382" s="2976">
        <v>504</v>
      </c>
      <c r="E382" s="2976">
        <v>102.88</v>
      </c>
      <c r="F382" s="2974" t="s">
        <v>3653</v>
      </c>
      <c r="G382" s="2973" t="s">
        <v>3654</v>
      </c>
    </row>
    <row r="383" spans="1:7" ht="15.6" hidden="1">
      <c r="A383" s="2973">
        <v>382</v>
      </c>
      <c r="B383" s="2974" t="s">
        <v>3718</v>
      </c>
      <c r="C383" s="2974">
        <v>6</v>
      </c>
      <c r="D383" s="2976">
        <v>602</v>
      </c>
      <c r="E383" s="2976">
        <v>117.48</v>
      </c>
      <c r="F383" s="2974" t="s">
        <v>3653</v>
      </c>
      <c r="G383" s="2973" t="s">
        <v>3654</v>
      </c>
    </row>
    <row r="384" spans="1:7" ht="15.6" hidden="1">
      <c r="A384" s="2973">
        <v>383</v>
      </c>
      <c r="B384" s="2974" t="s">
        <v>3718</v>
      </c>
      <c r="C384" s="2974">
        <v>6</v>
      </c>
      <c r="D384" s="2976">
        <v>603</v>
      </c>
      <c r="E384" s="2976">
        <v>117.48</v>
      </c>
      <c r="F384" s="2974" t="s">
        <v>3653</v>
      </c>
      <c r="G384" s="2973" t="s">
        <v>3654</v>
      </c>
    </row>
    <row r="385" spans="1:7" ht="15.6" hidden="1">
      <c r="A385" s="2973">
        <v>384</v>
      </c>
      <c r="B385" s="2974" t="s">
        <v>3718</v>
      </c>
      <c r="C385" s="2974">
        <v>6</v>
      </c>
      <c r="D385" s="2976">
        <v>604</v>
      </c>
      <c r="E385" s="2976">
        <v>102.88</v>
      </c>
      <c r="F385" s="2974" t="s">
        <v>3653</v>
      </c>
      <c r="G385" s="2973" t="s">
        <v>3654</v>
      </c>
    </row>
    <row r="386" spans="1:7" ht="15.6" hidden="1">
      <c r="A386" s="2973">
        <v>385</v>
      </c>
      <c r="B386" s="2974" t="s">
        <v>3718</v>
      </c>
      <c r="C386" s="2974">
        <v>7</v>
      </c>
      <c r="D386" s="2976">
        <v>701</v>
      </c>
      <c r="E386" s="2976">
        <v>116.66</v>
      </c>
      <c r="F386" s="2974" t="s">
        <v>3653</v>
      </c>
      <c r="G386" s="2973" t="s">
        <v>3654</v>
      </c>
    </row>
    <row r="387" spans="1:7" ht="15.6" hidden="1">
      <c r="A387" s="2973">
        <v>386</v>
      </c>
      <c r="B387" s="2974" t="s">
        <v>3718</v>
      </c>
      <c r="C387" s="2974">
        <v>7</v>
      </c>
      <c r="D387" s="2976">
        <v>702</v>
      </c>
      <c r="E387" s="2976">
        <v>117.48</v>
      </c>
      <c r="F387" s="2974" t="s">
        <v>3653</v>
      </c>
      <c r="G387" s="2973" t="s">
        <v>3654</v>
      </c>
    </row>
    <row r="388" spans="1:7" ht="15.6" hidden="1">
      <c r="A388" s="2973">
        <v>387</v>
      </c>
      <c r="B388" s="2974" t="s">
        <v>3718</v>
      </c>
      <c r="C388" s="2974">
        <v>7</v>
      </c>
      <c r="D388" s="2976">
        <v>703</v>
      </c>
      <c r="E388" s="2976">
        <v>117.48</v>
      </c>
      <c r="F388" s="2974" t="s">
        <v>3653</v>
      </c>
      <c r="G388" s="2973" t="s">
        <v>3654</v>
      </c>
    </row>
    <row r="389" spans="1:7" ht="15.6" hidden="1">
      <c r="A389" s="2973">
        <v>388</v>
      </c>
      <c r="B389" s="2974" t="s">
        <v>3718</v>
      </c>
      <c r="C389" s="2974">
        <v>7</v>
      </c>
      <c r="D389" s="2976">
        <v>704</v>
      </c>
      <c r="E389" s="2976">
        <v>102.88</v>
      </c>
      <c r="F389" s="2974" t="s">
        <v>3653</v>
      </c>
      <c r="G389" s="2973" t="s">
        <v>3654</v>
      </c>
    </row>
    <row r="390" spans="1:7" ht="15.6" hidden="1">
      <c r="A390" s="2973">
        <v>389</v>
      </c>
      <c r="B390" s="2974" t="s">
        <v>3718</v>
      </c>
      <c r="C390" s="2974">
        <v>8</v>
      </c>
      <c r="D390" s="2976">
        <v>801</v>
      </c>
      <c r="E390" s="2976">
        <v>116.66</v>
      </c>
      <c r="F390" s="2974" t="s">
        <v>3653</v>
      </c>
      <c r="G390" s="2973" t="s">
        <v>3654</v>
      </c>
    </row>
    <row r="391" spans="1:7" ht="15.6" hidden="1">
      <c r="A391" s="2973">
        <v>390</v>
      </c>
      <c r="B391" s="2974" t="s">
        <v>3718</v>
      </c>
      <c r="C391" s="2974">
        <v>8</v>
      </c>
      <c r="D391" s="2976">
        <v>802</v>
      </c>
      <c r="E391" s="2976">
        <v>117.48</v>
      </c>
      <c r="F391" s="2974" t="s">
        <v>3653</v>
      </c>
      <c r="G391" s="2973" t="s">
        <v>3654</v>
      </c>
    </row>
    <row r="392" spans="1:7" ht="15.6" hidden="1">
      <c r="A392" s="2973">
        <v>391</v>
      </c>
      <c r="B392" s="2974" t="s">
        <v>3718</v>
      </c>
      <c r="C392" s="2974">
        <v>8</v>
      </c>
      <c r="D392" s="2976">
        <v>803</v>
      </c>
      <c r="E392" s="2976">
        <v>117.48</v>
      </c>
      <c r="F392" s="2974" t="s">
        <v>3653</v>
      </c>
      <c r="G392" s="2973" t="s">
        <v>3654</v>
      </c>
    </row>
    <row r="393" spans="1:7" ht="15.6" hidden="1">
      <c r="A393" s="2973">
        <v>392</v>
      </c>
      <c r="B393" s="2974" t="s">
        <v>3718</v>
      </c>
      <c r="C393" s="2974">
        <v>8</v>
      </c>
      <c r="D393" s="2976">
        <v>804</v>
      </c>
      <c r="E393" s="2976">
        <v>102.88</v>
      </c>
      <c r="F393" s="2974" t="s">
        <v>3653</v>
      </c>
      <c r="G393" s="2973" t="s">
        <v>3654</v>
      </c>
    </row>
    <row r="394" spans="1:7" ht="15.6" hidden="1">
      <c r="A394" s="2973">
        <v>393</v>
      </c>
      <c r="B394" s="2974" t="s">
        <v>3718</v>
      </c>
      <c r="C394" s="2974">
        <v>9</v>
      </c>
      <c r="D394" s="2976">
        <v>901</v>
      </c>
      <c r="E394" s="2976">
        <v>105.61</v>
      </c>
      <c r="F394" s="2974" t="s">
        <v>3653</v>
      </c>
      <c r="G394" s="2973" t="s">
        <v>3654</v>
      </c>
    </row>
    <row r="395" spans="1:7" ht="15.6" hidden="1">
      <c r="A395" s="2973">
        <v>394</v>
      </c>
      <c r="B395" s="2974" t="s">
        <v>3718</v>
      </c>
      <c r="C395" s="2974">
        <v>9</v>
      </c>
      <c r="D395" s="2976">
        <v>902</v>
      </c>
      <c r="E395" s="2976">
        <v>106.55</v>
      </c>
      <c r="F395" s="2974" t="s">
        <v>3653</v>
      </c>
      <c r="G395" s="2973" t="s">
        <v>3654</v>
      </c>
    </row>
    <row r="396" spans="1:7" ht="15.6" hidden="1">
      <c r="A396" s="2973">
        <v>395</v>
      </c>
      <c r="B396" s="2974" t="s">
        <v>3718</v>
      </c>
      <c r="C396" s="2974">
        <v>9</v>
      </c>
      <c r="D396" s="2976">
        <v>903</v>
      </c>
      <c r="E396" s="2976">
        <v>107.51</v>
      </c>
      <c r="F396" s="2974" t="s">
        <v>3653</v>
      </c>
      <c r="G396" s="2973" t="s">
        <v>3654</v>
      </c>
    </row>
    <row r="397" spans="1:7" ht="15.6" hidden="1">
      <c r="A397" s="2973">
        <v>396</v>
      </c>
      <c r="B397" s="2974" t="s">
        <v>3718</v>
      </c>
      <c r="C397" s="2974">
        <v>9</v>
      </c>
      <c r="D397" s="2976">
        <v>904</v>
      </c>
      <c r="E397" s="2976">
        <v>89.6</v>
      </c>
      <c r="F397" s="2974" t="s">
        <v>3653</v>
      </c>
      <c r="G397" s="2973" t="s">
        <v>3654</v>
      </c>
    </row>
    <row r="398" spans="1:7" ht="15.6" hidden="1">
      <c r="A398" s="2973">
        <v>397</v>
      </c>
      <c r="B398" s="2974" t="s">
        <v>3734</v>
      </c>
      <c r="C398" s="2973">
        <v>-1</v>
      </c>
      <c r="D398" s="2973" t="s">
        <v>3656</v>
      </c>
      <c r="E398" s="2973">
        <v>32.44</v>
      </c>
      <c r="F398" s="2973" t="s">
        <v>3657</v>
      </c>
      <c r="G398" s="2974" t="s">
        <v>3649</v>
      </c>
    </row>
    <row r="399" spans="1:7" ht="15.6" hidden="1">
      <c r="A399" s="2973">
        <v>398</v>
      </c>
      <c r="B399" s="2974" t="s">
        <v>3734</v>
      </c>
      <c r="C399" s="2973">
        <v>-1</v>
      </c>
      <c r="D399" s="2973" t="s">
        <v>3658</v>
      </c>
      <c r="E399" s="2973">
        <v>32.44</v>
      </c>
      <c r="F399" s="2973" t="s">
        <v>3657</v>
      </c>
      <c r="G399" s="2974" t="s">
        <v>3649</v>
      </c>
    </row>
    <row r="400" spans="1:7" ht="15.6" hidden="1">
      <c r="A400" s="2973">
        <v>399</v>
      </c>
      <c r="B400" s="2974" t="s">
        <v>3734</v>
      </c>
      <c r="C400" s="2973">
        <v>-1</v>
      </c>
      <c r="D400" s="2973" t="s">
        <v>3735</v>
      </c>
      <c r="E400" s="2973">
        <v>32.44</v>
      </c>
      <c r="F400" s="2973" t="s">
        <v>3657</v>
      </c>
      <c r="G400" s="2974" t="s">
        <v>3649</v>
      </c>
    </row>
    <row r="401" spans="1:7" ht="15.6" hidden="1">
      <c r="A401" s="2973">
        <v>400</v>
      </c>
      <c r="B401" s="2974" t="s">
        <v>3734</v>
      </c>
      <c r="C401" s="2973">
        <v>-1</v>
      </c>
      <c r="D401" s="2973" t="s">
        <v>3736</v>
      </c>
      <c r="E401" s="2973">
        <v>32.44</v>
      </c>
      <c r="F401" s="2973" t="s">
        <v>3657</v>
      </c>
      <c r="G401" s="2974" t="s">
        <v>3649</v>
      </c>
    </row>
    <row r="402" spans="1:7" ht="15.6" hidden="1">
      <c r="A402" s="2973">
        <v>401</v>
      </c>
      <c r="B402" s="2974" t="s">
        <v>3734</v>
      </c>
      <c r="C402" s="2973">
        <v>-1</v>
      </c>
      <c r="D402" s="2973" t="s">
        <v>3737</v>
      </c>
      <c r="E402" s="2973">
        <v>32.44</v>
      </c>
      <c r="F402" s="2973" t="s">
        <v>3657</v>
      </c>
      <c r="G402" s="2974" t="s">
        <v>3649</v>
      </c>
    </row>
    <row r="403" spans="1:7" ht="15.6" hidden="1">
      <c r="A403" s="2973">
        <v>402</v>
      </c>
      <c r="B403" s="2974" t="s">
        <v>3734</v>
      </c>
      <c r="C403" s="2973">
        <v>-1</v>
      </c>
      <c r="D403" s="2973" t="s">
        <v>3738</v>
      </c>
      <c r="E403" s="2973">
        <v>32.44</v>
      </c>
      <c r="F403" s="2973" t="s">
        <v>3657</v>
      </c>
      <c r="G403" s="2974" t="s">
        <v>3649</v>
      </c>
    </row>
    <row r="404" spans="1:7" ht="15.6">
      <c r="A404" s="2973">
        <v>403</v>
      </c>
      <c r="B404" s="2974" t="s">
        <v>3734</v>
      </c>
      <c r="C404" s="2973">
        <v>1</v>
      </c>
      <c r="D404" s="2973" t="s">
        <v>3739</v>
      </c>
      <c r="E404" s="2973">
        <v>55.25</v>
      </c>
      <c r="F404" s="2973" t="s">
        <v>3740</v>
      </c>
      <c r="G404" s="2974" t="s">
        <v>3081</v>
      </c>
    </row>
    <row r="405" spans="1:7" ht="15.6">
      <c r="A405" s="2973">
        <v>404</v>
      </c>
      <c r="B405" s="2974" t="s">
        <v>3734</v>
      </c>
      <c r="C405" s="2973">
        <v>1</v>
      </c>
      <c r="D405" s="2973" t="s">
        <v>3741</v>
      </c>
      <c r="E405" s="2973">
        <v>55.25</v>
      </c>
      <c r="F405" s="2973" t="s">
        <v>3740</v>
      </c>
      <c r="G405" s="2974" t="s">
        <v>3081</v>
      </c>
    </row>
    <row r="406" spans="1:7" ht="15.6">
      <c r="A406" s="2973">
        <v>405</v>
      </c>
      <c r="B406" s="2974" t="s">
        <v>3734</v>
      </c>
      <c r="C406" s="2973">
        <v>1</v>
      </c>
      <c r="D406" s="2973" t="s">
        <v>3742</v>
      </c>
      <c r="E406" s="2973">
        <v>55.25</v>
      </c>
      <c r="F406" s="2973" t="s">
        <v>3740</v>
      </c>
      <c r="G406" s="2974" t="s">
        <v>3081</v>
      </c>
    </row>
    <row r="407" spans="1:7" ht="15.6">
      <c r="A407" s="2973">
        <v>406</v>
      </c>
      <c r="B407" s="2974" t="s">
        <v>3734</v>
      </c>
      <c r="C407" s="2973">
        <v>1</v>
      </c>
      <c r="D407" s="2973" t="s">
        <v>3743</v>
      </c>
      <c r="E407" s="2973">
        <v>55.25</v>
      </c>
      <c r="F407" s="2973" t="s">
        <v>3740</v>
      </c>
      <c r="G407" s="2974" t="s">
        <v>3081</v>
      </c>
    </row>
    <row r="408" spans="1:7" ht="15.6">
      <c r="A408" s="2973">
        <v>407</v>
      </c>
      <c r="B408" s="2974" t="s">
        <v>3734</v>
      </c>
      <c r="C408" s="2973">
        <v>1</v>
      </c>
      <c r="D408" s="2973" t="s">
        <v>3744</v>
      </c>
      <c r="E408" s="2973">
        <v>55.25</v>
      </c>
      <c r="F408" s="2973" t="s">
        <v>3740</v>
      </c>
      <c r="G408" s="2974" t="s">
        <v>3081</v>
      </c>
    </row>
    <row r="409" spans="1:7" ht="15.6">
      <c r="A409" s="2973">
        <v>408</v>
      </c>
      <c r="B409" s="2974" t="s">
        <v>3734</v>
      </c>
      <c r="C409" s="2973">
        <v>1</v>
      </c>
      <c r="D409" s="2973" t="s">
        <v>3745</v>
      </c>
      <c r="E409" s="2973">
        <v>55.25</v>
      </c>
      <c r="F409" s="2973" t="s">
        <v>3740</v>
      </c>
      <c r="G409" s="2974" t="s">
        <v>3081</v>
      </c>
    </row>
    <row r="410" spans="1:7" ht="15.6">
      <c r="A410" s="2973">
        <v>409</v>
      </c>
      <c r="B410" s="2974" t="s">
        <v>3734</v>
      </c>
      <c r="C410" s="2973">
        <v>2</v>
      </c>
      <c r="D410" s="2973" t="s">
        <v>3746</v>
      </c>
      <c r="E410" s="2973">
        <v>52.15</v>
      </c>
      <c r="F410" s="2973" t="s">
        <v>3740</v>
      </c>
      <c r="G410" s="2974" t="s">
        <v>3081</v>
      </c>
    </row>
    <row r="411" spans="1:7" ht="15.6">
      <c r="A411" s="2973">
        <v>410</v>
      </c>
      <c r="B411" s="2974" t="s">
        <v>3734</v>
      </c>
      <c r="C411" s="2973">
        <v>2</v>
      </c>
      <c r="D411" s="2973" t="s">
        <v>3747</v>
      </c>
      <c r="E411" s="2973">
        <v>52</v>
      </c>
      <c r="F411" s="2973" t="s">
        <v>3740</v>
      </c>
      <c r="G411" s="2974" t="s">
        <v>3081</v>
      </c>
    </row>
    <row r="412" spans="1:7" ht="15.6">
      <c r="A412" s="2973">
        <v>411</v>
      </c>
      <c r="B412" s="2974" t="s">
        <v>3734</v>
      </c>
      <c r="C412" s="2973">
        <v>2</v>
      </c>
      <c r="D412" s="2973" t="s">
        <v>3748</v>
      </c>
      <c r="E412" s="2973">
        <v>52</v>
      </c>
      <c r="F412" s="2973" t="s">
        <v>3740</v>
      </c>
      <c r="G412" s="2974" t="s">
        <v>3081</v>
      </c>
    </row>
    <row r="413" spans="1:7" ht="15.6">
      <c r="A413" s="2973">
        <v>412</v>
      </c>
      <c r="B413" s="2974" t="s">
        <v>3734</v>
      </c>
      <c r="C413" s="2973">
        <v>2</v>
      </c>
      <c r="D413" s="2973" t="s">
        <v>3749</v>
      </c>
      <c r="E413" s="2973">
        <v>52</v>
      </c>
      <c r="F413" s="2973" t="s">
        <v>3740</v>
      </c>
      <c r="G413" s="2974" t="s">
        <v>3081</v>
      </c>
    </row>
    <row r="414" spans="1:7" ht="15.6">
      <c r="A414" s="2973">
        <v>413</v>
      </c>
      <c r="B414" s="2974" t="s">
        <v>3734</v>
      </c>
      <c r="C414" s="2973">
        <v>2</v>
      </c>
      <c r="D414" s="2973" t="s">
        <v>3750</v>
      </c>
      <c r="E414" s="2973">
        <v>52</v>
      </c>
      <c r="F414" s="2973" t="s">
        <v>3740</v>
      </c>
      <c r="G414" s="2974" t="s">
        <v>3081</v>
      </c>
    </row>
    <row r="415" spans="1:7" ht="15.6">
      <c r="A415" s="2973">
        <v>414</v>
      </c>
      <c r="B415" s="2974" t="s">
        <v>3734</v>
      </c>
      <c r="C415" s="2973">
        <v>2</v>
      </c>
      <c r="D415" s="2973" t="s">
        <v>3751</v>
      </c>
      <c r="E415" s="2973">
        <v>52.15</v>
      </c>
      <c r="F415" s="2973" t="s">
        <v>3740</v>
      </c>
      <c r="G415" s="2974" t="s">
        <v>3081</v>
      </c>
    </row>
    <row r="416" spans="1:7" ht="15.6">
      <c r="A416" s="2973">
        <v>415</v>
      </c>
      <c r="B416" s="2974" t="s">
        <v>3734</v>
      </c>
      <c r="C416" s="2973">
        <v>3</v>
      </c>
      <c r="D416" s="2973" t="s">
        <v>3752</v>
      </c>
      <c r="E416" s="2973">
        <v>55.25</v>
      </c>
      <c r="F416" s="2973" t="s">
        <v>3740</v>
      </c>
      <c r="G416" s="2974" t="s">
        <v>3081</v>
      </c>
    </row>
    <row r="417" spans="1:7" ht="15.6">
      <c r="A417" s="2973">
        <v>416</v>
      </c>
      <c r="B417" s="2974" t="s">
        <v>3734</v>
      </c>
      <c r="C417" s="2973">
        <v>3</v>
      </c>
      <c r="D417" s="2973" t="s">
        <v>3753</v>
      </c>
      <c r="E417" s="2973">
        <v>55.25</v>
      </c>
      <c r="F417" s="2973" t="s">
        <v>3740</v>
      </c>
      <c r="G417" s="2974" t="s">
        <v>3081</v>
      </c>
    </row>
    <row r="418" spans="1:7" ht="15.6">
      <c r="A418" s="2973">
        <v>417</v>
      </c>
      <c r="B418" s="2974" t="s">
        <v>3734</v>
      </c>
      <c r="C418" s="2973">
        <v>3</v>
      </c>
      <c r="D418" s="2973" t="s">
        <v>3754</v>
      </c>
      <c r="E418" s="2973">
        <v>55.25</v>
      </c>
      <c r="F418" s="2973" t="s">
        <v>3740</v>
      </c>
      <c r="G418" s="2974" t="s">
        <v>3081</v>
      </c>
    </row>
    <row r="419" spans="1:7" ht="15.6">
      <c r="A419" s="2973">
        <v>418</v>
      </c>
      <c r="B419" s="2974" t="s">
        <v>3734</v>
      </c>
      <c r="C419" s="2973">
        <v>3</v>
      </c>
      <c r="D419" s="2973" t="s">
        <v>3755</v>
      </c>
      <c r="E419" s="2973">
        <v>55.25</v>
      </c>
      <c r="F419" s="2973" t="s">
        <v>3740</v>
      </c>
      <c r="G419" s="2974" t="s">
        <v>3081</v>
      </c>
    </row>
    <row r="420" spans="1:7" ht="15.6">
      <c r="A420" s="2973">
        <v>419</v>
      </c>
      <c r="B420" s="2974" t="s">
        <v>3734</v>
      </c>
      <c r="C420" s="2973">
        <v>3</v>
      </c>
      <c r="D420" s="2973" t="s">
        <v>3756</v>
      </c>
      <c r="E420" s="2973">
        <v>55.25</v>
      </c>
      <c r="F420" s="2973" t="s">
        <v>3740</v>
      </c>
      <c r="G420" s="2974" t="s">
        <v>3081</v>
      </c>
    </row>
    <row r="421" spans="1:7" ht="15.6">
      <c r="A421" s="2973">
        <v>420</v>
      </c>
      <c r="B421" s="2974" t="s">
        <v>3734</v>
      </c>
      <c r="C421" s="2973">
        <v>3</v>
      </c>
      <c r="D421" s="2973" t="s">
        <v>3757</v>
      </c>
      <c r="E421" s="2973">
        <v>55.25</v>
      </c>
      <c r="F421" s="2973" t="s">
        <v>3740</v>
      </c>
      <c r="G421" s="2974" t="s">
        <v>3081</v>
      </c>
    </row>
    <row r="422" spans="1:7" ht="15.6" hidden="1">
      <c r="A422" s="2973">
        <v>421</v>
      </c>
      <c r="B422" s="2974" t="s">
        <v>3758</v>
      </c>
      <c r="C422" s="2973">
        <v>-1</v>
      </c>
      <c r="D422" s="2973" t="s">
        <v>3656</v>
      </c>
      <c r="E422" s="2978">
        <v>32.24</v>
      </c>
      <c r="F422" s="2973" t="s">
        <v>3657</v>
      </c>
      <c r="G422" s="2974" t="s">
        <v>3649</v>
      </c>
    </row>
    <row r="423" spans="1:7" ht="15.6" hidden="1">
      <c r="A423" s="2973">
        <v>422</v>
      </c>
      <c r="B423" s="2974" t="s">
        <v>3758</v>
      </c>
      <c r="C423" s="2973">
        <v>-1</v>
      </c>
      <c r="D423" s="2973" t="s">
        <v>3658</v>
      </c>
      <c r="E423" s="2978">
        <v>32.24</v>
      </c>
      <c r="F423" s="2973" t="s">
        <v>3657</v>
      </c>
      <c r="G423" s="2974" t="s">
        <v>3649</v>
      </c>
    </row>
    <row r="424" spans="1:7" ht="15.6" hidden="1">
      <c r="A424" s="2973">
        <v>423</v>
      </c>
      <c r="B424" s="2974" t="s">
        <v>3758</v>
      </c>
      <c r="C424" s="2973">
        <v>-1</v>
      </c>
      <c r="D424" s="2973" t="s">
        <v>3735</v>
      </c>
      <c r="E424" s="2978">
        <v>32.24</v>
      </c>
      <c r="F424" s="2973" t="s">
        <v>3657</v>
      </c>
      <c r="G424" s="2974" t="s">
        <v>3649</v>
      </c>
    </row>
    <row r="425" spans="1:7" ht="15.6" hidden="1">
      <c r="A425" s="2973">
        <v>424</v>
      </c>
      <c r="B425" s="2974" t="s">
        <v>3758</v>
      </c>
      <c r="C425" s="2973">
        <v>-1</v>
      </c>
      <c r="D425" s="2973" t="s">
        <v>3736</v>
      </c>
      <c r="E425" s="2978">
        <v>32.24</v>
      </c>
      <c r="F425" s="2973" t="s">
        <v>3657</v>
      </c>
      <c r="G425" s="2974" t="s">
        <v>3649</v>
      </c>
    </row>
    <row r="426" spans="1:7" ht="15.6" hidden="1">
      <c r="A426" s="2973">
        <v>425</v>
      </c>
      <c r="B426" s="2974" t="s">
        <v>3758</v>
      </c>
      <c r="C426" s="2973">
        <v>-1</v>
      </c>
      <c r="D426" s="2973" t="s">
        <v>3737</v>
      </c>
      <c r="E426" s="2978">
        <v>32.24</v>
      </c>
      <c r="F426" s="2973" t="s">
        <v>3657</v>
      </c>
      <c r="G426" s="2974" t="s">
        <v>3649</v>
      </c>
    </row>
    <row r="427" spans="1:7" ht="15.6" hidden="1">
      <c r="A427" s="2973">
        <v>426</v>
      </c>
      <c r="B427" s="2974" t="s">
        <v>3758</v>
      </c>
      <c r="C427" s="2973">
        <v>-1</v>
      </c>
      <c r="D427" s="2973" t="s">
        <v>3738</v>
      </c>
      <c r="E427" s="2978">
        <v>32.24</v>
      </c>
      <c r="F427" s="2973" t="s">
        <v>3657</v>
      </c>
      <c r="G427" s="2974" t="s">
        <v>3649</v>
      </c>
    </row>
    <row r="428" spans="1:7" ht="15.6">
      <c r="A428" s="2973">
        <v>427</v>
      </c>
      <c r="B428" s="2974" t="s">
        <v>3758</v>
      </c>
      <c r="C428" s="2973">
        <v>1</v>
      </c>
      <c r="D428" s="2973" t="s">
        <v>3739</v>
      </c>
      <c r="E428" s="2973">
        <v>55.24</v>
      </c>
      <c r="F428" s="2973" t="s">
        <v>3740</v>
      </c>
      <c r="G428" s="2974" t="s">
        <v>3081</v>
      </c>
    </row>
    <row r="429" spans="1:7" ht="15.6">
      <c r="A429" s="2973">
        <v>428</v>
      </c>
      <c r="B429" s="2974" t="s">
        <v>3758</v>
      </c>
      <c r="C429" s="2973">
        <v>1</v>
      </c>
      <c r="D429" s="2973" t="s">
        <v>3741</v>
      </c>
      <c r="E429" s="2973">
        <v>55.24</v>
      </c>
      <c r="F429" s="2973" t="s">
        <v>3740</v>
      </c>
      <c r="G429" s="2974" t="s">
        <v>3081</v>
      </c>
    </row>
    <row r="430" spans="1:7" ht="15.6">
      <c r="A430" s="2973">
        <v>429</v>
      </c>
      <c r="B430" s="2974" t="s">
        <v>3758</v>
      </c>
      <c r="C430" s="2973">
        <v>1</v>
      </c>
      <c r="D430" s="2973" t="s">
        <v>3742</v>
      </c>
      <c r="E430" s="2973">
        <v>55.24</v>
      </c>
      <c r="F430" s="2973" t="s">
        <v>3740</v>
      </c>
      <c r="G430" s="2974" t="s">
        <v>3081</v>
      </c>
    </row>
    <row r="431" spans="1:7" ht="15.6">
      <c r="A431" s="2973">
        <v>430</v>
      </c>
      <c r="B431" s="2974" t="s">
        <v>3758</v>
      </c>
      <c r="C431" s="2973">
        <v>1</v>
      </c>
      <c r="D431" s="2973" t="s">
        <v>3743</v>
      </c>
      <c r="E431" s="2973">
        <v>55.24</v>
      </c>
      <c r="F431" s="2973" t="s">
        <v>3740</v>
      </c>
      <c r="G431" s="2974" t="s">
        <v>3081</v>
      </c>
    </row>
    <row r="432" spans="1:7" ht="15.6">
      <c r="A432" s="2973">
        <v>431</v>
      </c>
      <c r="B432" s="2974" t="s">
        <v>3758</v>
      </c>
      <c r="C432" s="2973">
        <v>1</v>
      </c>
      <c r="D432" s="2973" t="s">
        <v>3744</v>
      </c>
      <c r="E432" s="2973">
        <v>55.24</v>
      </c>
      <c r="F432" s="2973" t="s">
        <v>3740</v>
      </c>
      <c r="G432" s="2974" t="s">
        <v>3081</v>
      </c>
    </row>
    <row r="433" spans="1:7" ht="15.6">
      <c r="A433" s="2973">
        <v>432</v>
      </c>
      <c r="B433" s="2974" t="s">
        <v>3758</v>
      </c>
      <c r="C433" s="2973">
        <v>1</v>
      </c>
      <c r="D433" s="2973" t="s">
        <v>3745</v>
      </c>
      <c r="E433" s="2973">
        <v>61.12</v>
      </c>
      <c r="F433" s="2973" t="s">
        <v>3740</v>
      </c>
      <c r="G433" s="2974" t="s">
        <v>3081</v>
      </c>
    </row>
    <row r="434" spans="1:7" ht="15.6">
      <c r="A434" s="2973">
        <v>433</v>
      </c>
      <c r="B434" s="2974" t="s">
        <v>3758</v>
      </c>
      <c r="C434" s="2973">
        <v>2</v>
      </c>
      <c r="D434" s="2973" t="s">
        <v>3746</v>
      </c>
      <c r="E434" s="2973">
        <v>52.14</v>
      </c>
      <c r="F434" s="2973" t="s">
        <v>3740</v>
      </c>
      <c r="G434" s="2974" t="s">
        <v>3081</v>
      </c>
    </row>
    <row r="435" spans="1:7" ht="15.6">
      <c r="A435" s="2973">
        <v>434</v>
      </c>
      <c r="B435" s="2974" t="s">
        <v>3758</v>
      </c>
      <c r="C435" s="2973">
        <v>2</v>
      </c>
      <c r="D435" s="2973" t="s">
        <v>3747</v>
      </c>
      <c r="E435" s="2973">
        <v>51.99</v>
      </c>
      <c r="F435" s="2973" t="s">
        <v>3740</v>
      </c>
      <c r="G435" s="2974" t="s">
        <v>3081</v>
      </c>
    </row>
    <row r="436" spans="1:7" ht="15.6">
      <c r="A436" s="2973">
        <v>435</v>
      </c>
      <c r="B436" s="2974" t="s">
        <v>3758</v>
      </c>
      <c r="C436" s="2973">
        <v>2</v>
      </c>
      <c r="D436" s="2973" t="s">
        <v>3748</v>
      </c>
      <c r="E436" s="2973">
        <v>51.99</v>
      </c>
      <c r="F436" s="2973" t="s">
        <v>3740</v>
      </c>
      <c r="G436" s="2974" t="s">
        <v>3081</v>
      </c>
    </row>
    <row r="437" spans="1:7" ht="15.6">
      <c r="A437" s="2973">
        <v>436</v>
      </c>
      <c r="B437" s="2974" t="s">
        <v>3758</v>
      </c>
      <c r="C437" s="2973">
        <v>2</v>
      </c>
      <c r="D437" s="2973" t="s">
        <v>3749</v>
      </c>
      <c r="E437" s="2973">
        <v>51.99</v>
      </c>
      <c r="F437" s="2973" t="s">
        <v>3740</v>
      </c>
      <c r="G437" s="2974" t="s">
        <v>3081</v>
      </c>
    </row>
    <row r="438" spans="1:7" ht="15.6">
      <c r="A438" s="2973">
        <v>437</v>
      </c>
      <c r="B438" s="2974" t="s">
        <v>3758</v>
      </c>
      <c r="C438" s="2973">
        <v>2</v>
      </c>
      <c r="D438" s="2973" t="s">
        <v>3750</v>
      </c>
      <c r="E438" s="2973">
        <v>51.99</v>
      </c>
      <c r="F438" s="2973" t="s">
        <v>3740</v>
      </c>
      <c r="G438" s="2974" t="s">
        <v>3081</v>
      </c>
    </row>
    <row r="439" spans="1:7" ht="15.6">
      <c r="A439" s="2973">
        <v>438</v>
      </c>
      <c r="B439" s="2974" t="s">
        <v>3758</v>
      </c>
      <c r="C439" s="2973">
        <v>2</v>
      </c>
      <c r="D439" s="2973" t="s">
        <v>3751</v>
      </c>
      <c r="E439" s="2973">
        <v>56.87</v>
      </c>
      <c r="F439" s="2973" t="s">
        <v>3740</v>
      </c>
      <c r="G439" s="2974" t="s">
        <v>3081</v>
      </c>
    </row>
    <row r="440" spans="1:7" ht="15.6">
      <c r="A440" s="2973">
        <v>439</v>
      </c>
      <c r="B440" s="2974" t="s">
        <v>3758</v>
      </c>
      <c r="C440" s="2973">
        <v>3</v>
      </c>
      <c r="D440" s="2973" t="s">
        <v>3752</v>
      </c>
      <c r="E440" s="2973">
        <v>55.24</v>
      </c>
      <c r="F440" s="2973" t="s">
        <v>3740</v>
      </c>
      <c r="G440" s="2974" t="s">
        <v>3081</v>
      </c>
    </row>
    <row r="441" spans="1:7" ht="15.6">
      <c r="A441" s="2973">
        <v>440</v>
      </c>
      <c r="B441" s="2974" t="s">
        <v>3758</v>
      </c>
      <c r="C441" s="2973">
        <v>3</v>
      </c>
      <c r="D441" s="2973" t="s">
        <v>3753</v>
      </c>
      <c r="E441" s="2973">
        <v>55.24</v>
      </c>
      <c r="F441" s="2973" t="s">
        <v>3740</v>
      </c>
      <c r="G441" s="2974" t="s">
        <v>3081</v>
      </c>
    </row>
    <row r="442" spans="1:7" ht="15.6">
      <c r="A442" s="2973">
        <v>441</v>
      </c>
      <c r="B442" s="2974" t="s">
        <v>3758</v>
      </c>
      <c r="C442" s="2973">
        <v>3</v>
      </c>
      <c r="D442" s="2973" t="s">
        <v>3754</v>
      </c>
      <c r="E442" s="2973">
        <v>55.24</v>
      </c>
      <c r="F442" s="2973" t="s">
        <v>3740</v>
      </c>
      <c r="G442" s="2974" t="s">
        <v>3081</v>
      </c>
    </row>
    <row r="443" spans="1:7" ht="15.6">
      <c r="A443" s="2973">
        <v>442</v>
      </c>
      <c r="B443" s="2974" t="s">
        <v>3758</v>
      </c>
      <c r="C443" s="2973">
        <v>3</v>
      </c>
      <c r="D443" s="2973" t="s">
        <v>3755</v>
      </c>
      <c r="E443" s="2973">
        <v>55.24</v>
      </c>
      <c r="F443" s="2973" t="s">
        <v>3740</v>
      </c>
      <c r="G443" s="2974" t="s">
        <v>3081</v>
      </c>
    </row>
    <row r="444" spans="1:7" ht="15.6">
      <c r="A444" s="2973">
        <v>443</v>
      </c>
      <c r="B444" s="2974" t="s">
        <v>3758</v>
      </c>
      <c r="C444" s="2973">
        <v>3</v>
      </c>
      <c r="D444" s="2973" t="s">
        <v>3756</v>
      </c>
      <c r="E444" s="2973">
        <v>55.24</v>
      </c>
      <c r="F444" s="2973" t="s">
        <v>3740</v>
      </c>
      <c r="G444" s="2974" t="s">
        <v>3081</v>
      </c>
    </row>
    <row r="445" spans="1:7" ht="15.6">
      <c r="A445" s="2973">
        <v>444</v>
      </c>
      <c r="B445" s="2974" t="s">
        <v>3758</v>
      </c>
      <c r="C445" s="2973">
        <v>3</v>
      </c>
      <c r="D445" s="2973" t="s">
        <v>3757</v>
      </c>
      <c r="E445" s="2973">
        <v>61.12</v>
      </c>
      <c r="F445" s="2973" t="s">
        <v>3740</v>
      </c>
      <c r="G445" s="2974" t="s">
        <v>3081</v>
      </c>
    </row>
    <row r="446" spans="1:7" ht="15.6" hidden="1">
      <c r="A446" s="2973">
        <v>445</v>
      </c>
      <c r="B446" s="2974" t="s">
        <v>3759</v>
      </c>
      <c r="C446" s="2973">
        <v>1</v>
      </c>
      <c r="D446" s="2976">
        <v>101</v>
      </c>
      <c r="E446" s="2978">
        <v>115.51</v>
      </c>
      <c r="F446" s="2974" t="s">
        <v>3653</v>
      </c>
      <c r="G446" s="2974" t="s">
        <v>3760</v>
      </c>
    </row>
    <row r="447" spans="1:7" ht="15.6" hidden="1">
      <c r="A447" s="2973">
        <v>446</v>
      </c>
      <c r="B447" s="2974" t="s">
        <v>3759</v>
      </c>
      <c r="C447" s="2973">
        <v>1</v>
      </c>
      <c r="D447" s="2976">
        <v>102</v>
      </c>
      <c r="E447" s="2978">
        <v>61.46</v>
      </c>
      <c r="F447" s="2974" t="s">
        <v>3653</v>
      </c>
      <c r="G447" s="2974" t="s">
        <v>3760</v>
      </c>
    </row>
    <row r="448" spans="1:7" ht="15.6" hidden="1">
      <c r="A448" s="2973">
        <v>447</v>
      </c>
      <c r="B448" s="2974" t="s">
        <v>3759</v>
      </c>
      <c r="C448" s="2974">
        <v>1</v>
      </c>
      <c r="D448" s="2976">
        <v>103</v>
      </c>
      <c r="E448" s="2978">
        <v>94.62</v>
      </c>
      <c r="F448" s="2974" t="s">
        <v>3653</v>
      </c>
      <c r="G448" s="2974" t="s">
        <v>3760</v>
      </c>
    </row>
    <row r="449" spans="1:7" ht="15.6" hidden="1">
      <c r="A449" s="2973">
        <v>448</v>
      </c>
      <c r="B449" s="2974" t="s">
        <v>3759</v>
      </c>
      <c r="C449" s="2974">
        <v>1</v>
      </c>
      <c r="D449" s="2976">
        <v>104</v>
      </c>
      <c r="E449" s="2978">
        <v>115.42</v>
      </c>
      <c r="F449" s="2974" t="s">
        <v>3653</v>
      </c>
      <c r="G449" s="2974" t="s">
        <v>3760</v>
      </c>
    </row>
    <row r="450" spans="1:7" ht="15.6" hidden="1">
      <c r="A450" s="2973">
        <v>449</v>
      </c>
      <c r="B450" s="2974" t="s">
        <v>3759</v>
      </c>
      <c r="C450" s="2974">
        <v>2</v>
      </c>
      <c r="D450" s="2976">
        <v>201</v>
      </c>
      <c r="E450" s="2978">
        <v>115.42</v>
      </c>
      <c r="F450" s="2974" t="s">
        <v>3653</v>
      </c>
      <c r="G450" s="2974" t="s">
        <v>3760</v>
      </c>
    </row>
    <row r="451" spans="1:7" ht="15.6" hidden="1">
      <c r="A451" s="2973">
        <v>450</v>
      </c>
      <c r="B451" s="2974" t="s">
        <v>3759</v>
      </c>
      <c r="C451" s="2974">
        <v>2</v>
      </c>
      <c r="D451" s="2976">
        <v>202</v>
      </c>
      <c r="E451" s="2978">
        <v>94.62</v>
      </c>
      <c r="F451" s="2974" t="s">
        <v>3653</v>
      </c>
      <c r="G451" s="2974" t="s">
        <v>3760</v>
      </c>
    </row>
    <row r="452" spans="1:7" ht="15.6" hidden="1">
      <c r="A452" s="2973">
        <v>451</v>
      </c>
      <c r="B452" s="2974" t="s">
        <v>3759</v>
      </c>
      <c r="C452" s="2974">
        <v>2</v>
      </c>
      <c r="D452" s="2976">
        <v>203</v>
      </c>
      <c r="E452" s="2978">
        <v>94.62</v>
      </c>
      <c r="F452" s="2974" t="s">
        <v>3653</v>
      </c>
      <c r="G452" s="2974" t="s">
        <v>3760</v>
      </c>
    </row>
    <row r="453" spans="1:7" ht="15.6" hidden="1">
      <c r="A453" s="2973">
        <v>452</v>
      </c>
      <c r="B453" s="2974" t="s">
        <v>3759</v>
      </c>
      <c r="C453" s="2974">
        <v>2</v>
      </c>
      <c r="D453" s="2976">
        <v>204</v>
      </c>
      <c r="E453" s="2978">
        <v>115.42</v>
      </c>
      <c r="F453" s="2974" t="s">
        <v>3653</v>
      </c>
      <c r="G453" s="2974" t="s">
        <v>3760</v>
      </c>
    </row>
    <row r="454" spans="1:7" ht="15.6" hidden="1">
      <c r="A454" s="2973">
        <v>453</v>
      </c>
      <c r="B454" s="2974" t="s">
        <v>3759</v>
      </c>
      <c r="C454" s="2974">
        <v>3</v>
      </c>
      <c r="D454" s="2976">
        <v>301</v>
      </c>
      <c r="E454" s="2978">
        <v>115.42</v>
      </c>
      <c r="F454" s="2974" t="s">
        <v>3653</v>
      </c>
      <c r="G454" s="2974" t="s">
        <v>3760</v>
      </c>
    </row>
    <row r="455" spans="1:7" ht="15.6" hidden="1">
      <c r="A455" s="2973">
        <v>454</v>
      </c>
      <c r="B455" s="2974" t="s">
        <v>3759</v>
      </c>
      <c r="C455" s="2974">
        <v>3</v>
      </c>
      <c r="D455" s="2976">
        <v>302</v>
      </c>
      <c r="E455" s="2978">
        <v>94.62</v>
      </c>
      <c r="F455" s="2974" t="s">
        <v>3653</v>
      </c>
      <c r="G455" s="2974" t="s">
        <v>3760</v>
      </c>
    </row>
    <row r="456" spans="1:7" ht="15.6" hidden="1">
      <c r="A456" s="2973">
        <v>455</v>
      </c>
      <c r="B456" s="2974" t="s">
        <v>3759</v>
      </c>
      <c r="C456" s="2974">
        <v>3</v>
      </c>
      <c r="D456" s="2976">
        <v>303</v>
      </c>
      <c r="E456" s="2978">
        <v>94.62</v>
      </c>
      <c r="F456" s="2974" t="s">
        <v>3653</v>
      </c>
      <c r="G456" s="2974" t="s">
        <v>3760</v>
      </c>
    </row>
    <row r="457" spans="1:7" ht="15.6" hidden="1">
      <c r="A457" s="2973">
        <v>456</v>
      </c>
      <c r="B457" s="2974" t="s">
        <v>3759</v>
      </c>
      <c r="C457" s="2974">
        <v>3</v>
      </c>
      <c r="D457" s="2976">
        <v>304</v>
      </c>
      <c r="E457" s="2978">
        <v>115.42</v>
      </c>
      <c r="F457" s="2974" t="s">
        <v>3653</v>
      </c>
      <c r="G457" s="2974" t="s">
        <v>3760</v>
      </c>
    </row>
    <row r="458" spans="1:7" ht="15.6" hidden="1">
      <c r="A458" s="2973">
        <v>457</v>
      </c>
      <c r="B458" s="2974" t="s">
        <v>3759</v>
      </c>
      <c r="C458" s="2974">
        <v>4</v>
      </c>
      <c r="D458" s="2976">
        <v>401</v>
      </c>
      <c r="E458" s="2978">
        <v>115.42</v>
      </c>
      <c r="F458" s="2974" t="s">
        <v>3653</v>
      </c>
      <c r="G458" s="2974" t="s">
        <v>3760</v>
      </c>
    </row>
    <row r="459" spans="1:7" ht="15.6" hidden="1">
      <c r="A459" s="2973">
        <v>458</v>
      </c>
      <c r="B459" s="2974" t="s">
        <v>3759</v>
      </c>
      <c r="C459" s="2974">
        <v>4</v>
      </c>
      <c r="D459" s="2976">
        <v>402</v>
      </c>
      <c r="E459" s="2978">
        <v>94.62</v>
      </c>
      <c r="F459" s="2974" t="s">
        <v>3653</v>
      </c>
      <c r="G459" s="2974" t="s">
        <v>3760</v>
      </c>
    </row>
    <row r="460" spans="1:7" ht="15.6" hidden="1">
      <c r="A460" s="2973">
        <v>459</v>
      </c>
      <c r="B460" s="2974" t="s">
        <v>3759</v>
      </c>
      <c r="C460" s="2974">
        <v>4</v>
      </c>
      <c r="D460" s="2976">
        <v>403</v>
      </c>
      <c r="E460" s="2978">
        <v>94.62</v>
      </c>
      <c r="F460" s="2974" t="s">
        <v>3653</v>
      </c>
      <c r="G460" s="2974" t="s">
        <v>3760</v>
      </c>
    </row>
    <row r="461" spans="1:7" ht="15.6" hidden="1">
      <c r="A461" s="2973">
        <v>460</v>
      </c>
      <c r="B461" s="2974" t="s">
        <v>3759</v>
      </c>
      <c r="C461" s="2974">
        <v>4</v>
      </c>
      <c r="D461" s="2976">
        <v>404</v>
      </c>
      <c r="E461" s="2978">
        <v>115.42</v>
      </c>
      <c r="F461" s="2974" t="s">
        <v>3653</v>
      </c>
      <c r="G461" s="2974" t="s">
        <v>3760</v>
      </c>
    </row>
    <row r="462" spans="1:7" ht="15.6" hidden="1">
      <c r="A462" s="2973">
        <v>461</v>
      </c>
      <c r="B462" s="2974" t="s">
        <v>3759</v>
      </c>
      <c r="C462" s="2974">
        <v>5</v>
      </c>
      <c r="D462" s="2976">
        <v>501</v>
      </c>
      <c r="E462" s="2978">
        <v>115.42</v>
      </c>
      <c r="F462" s="2974" t="s">
        <v>3653</v>
      </c>
      <c r="G462" s="2974" t="s">
        <v>3760</v>
      </c>
    </row>
    <row r="463" spans="1:7" ht="15.6" hidden="1">
      <c r="A463" s="2973">
        <v>462</v>
      </c>
      <c r="B463" s="2974" t="s">
        <v>3759</v>
      </c>
      <c r="C463" s="2974">
        <v>5</v>
      </c>
      <c r="D463" s="2976">
        <v>502</v>
      </c>
      <c r="E463" s="2978">
        <v>94.62</v>
      </c>
      <c r="F463" s="2974" t="s">
        <v>3653</v>
      </c>
      <c r="G463" s="2974" t="s">
        <v>3760</v>
      </c>
    </row>
    <row r="464" spans="1:7" ht="15.6" hidden="1">
      <c r="A464" s="2973">
        <v>463</v>
      </c>
      <c r="B464" s="2974" t="s">
        <v>3759</v>
      </c>
      <c r="C464" s="2974">
        <v>5</v>
      </c>
      <c r="D464" s="2976">
        <v>503</v>
      </c>
      <c r="E464" s="2978">
        <v>94.62</v>
      </c>
      <c r="F464" s="2974" t="s">
        <v>3653</v>
      </c>
      <c r="G464" s="2974" t="s">
        <v>3760</v>
      </c>
    </row>
    <row r="465" spans="1:7" ht="15.6" hidden="1">
      <c r="A465" s="2973">
        <v>464</v>
      </c>
      <c r="B465" s="2974" t="s">
        <v>3759</v>
      </c>
      <c r="C465" s="2974">
        <v>5</v>
      </c>
      <c r="D465" s="2976">
        <v>504</v>
      </c>
      <c r="E465" s="2978">
        <v>115.42</v>
      </c>
      <c r="F465" s="2974" t="s">
        <v>3653</v>
      </c>
      <c r="G465" s="2974" t="s">
        <v>3760</v>
      </c>
    </row>
    <row r="466" spans="1:7" ht="15.6" hidden="1">
      <c r="A466" s="2973">
        <v>465</v>
      </c>
      <c r="B466" s="2974" t="s">
        <v>3759</v>
      </c>
      <c r="C466" s="2974">
        <v>6</v>
      </c>
      <c r="D466" s="2976">
        <v>601</v>
      </c>
      <c r="E466" s="2978">
        <v>115.42</v>
      </c>
      <c r="F466" s="2974" t="s">
        <v>3653</v>
      </c>
      <c r="G466" s="2974" t="s">
        <v>3760</v>
      </c>
    </row>
    <row r="467" spans="1:7" ht="15.6" hidden="1">
      <c r="A467" s="2973">
        <v>466</v>
      </c>
      <c r="B467" s="2974" t="s">
        <v>3759</v>
      </c>
      <c r="C467" s="2974">
        <v>6</v>
      </c>
      <c r="D467" s="2976">
        <v>602</v>
      </c>
      <c r="E467" s="2978">
        <v>94.62</v>
      </c>
      <c r="F467" s="2974" t="s">
        <v>3653</v>
      </c>
      <c r="G467" s="2974" t="s">
        <v>3760</v>
      </c>
    </row>
    <row r="468" spans="1:7" ht="15.6" hidden="1">
      <c r="A468" s="2973">
        <v>467</v>
      </c>
      <c r="B468" s="2974" t="s">
        <v>3759</v>
      </c>
      <c r="C468" s="2974">
        <v>6</v>
      </c>
      <c r="D468" s="2976">
        <v>603</v>
      </c>
      <c r="E468" s="2978">
        <v>94.62</v>
      </c>
      <c r="F468" s="2974" t="s">
        <v>3653</v>
      </c>
      <c r="G468" s="2974" t="s">
        <v>3760</v>
      </c>
    </row>
    <row r="469" spans="1:7" ht="15.6" hidden="1">
      <c r="A469" s="2973">
        <v>468</v>
      </c>
      <c r="B469" s="2974" t="s">
        <v>3759</v>
      </c>
      <c r="C469" s="2974">
        <v>6</v>
      </c>
      <c r="D469" s="2976">
        <v>604</v>
      </c>
      <c r="E469" s="2978">
        <v>115.42</v>
      </c>
      <c r="F469" s="2974" t="s">
        <v>3653</v>
      </c>
      <c r="G469" s="2974" t="s">
        <v>3760</v>
      </c>
    </row>
    <row r="470" spans="1:7" ht="15.6" hidden="1">
      <c r="A470" s="2973">
        <v>469</v>
      </c>
      <c r="B470" s="2974" t="s">
        <v>3759</v>
      </c>
      <c r="C470" s="2974">
        <v>7</v>
      </c>
      <c r="D470" s="2976">
        <v>701</v>
      </c>
      <c r="E470" s="2978">
        <v>115.42</v>
      </c>
      <c r="F470" s="2974" t="s">
        <v>3653</v>
      </c>
      <c r="G470" s="2974" t="s">
        <v>3760</v>
      </c>
    </row>
    <row r="471" spans="1:7" ht="15.6" hidden="1">
      <c r="A471" s="2973">
        <v>470</v>
      </c>
      <c r="B471" s="2974" t="s">
        <v>3759</v>
      </c>
      <c r="C471" s="2974">
        <v>7</v>
      </c>
      <c r="D471" s="2976">
        <v>702</v>
      </c>
      <c r="E471" s="2978">
        <v>94.62</v>
      </c>
      <c r="F471" s="2974" t="s">
        <v>3653</v>
      </c>
      <c r="G471" s="2974" t="s">
        <v>3760</v>
      </c>
    </row>
    <row r="472" spans="1:7" ht="15.6" hidden="1">
      <c r="A472" s="2973">
        <v>471</v>
      </c>
      <c r="B472" s="2974" t="s">
        <v>3759</v>
      </c>
      <c r="C472" s="2974">
        <v>7</v>
      </c>
      <c r="D472" s="2976">
        <v>703</v>
      </c>
      <c r="E472" s="2978">
        <v>94.62</v>
      </c>
      <c r="F472" s="2974" t="s">
        <v>3653</v>
      </c>
      <c r="G472" s="2974" t="s">
        <v>3760</v>
      </c>
    </row>
    <row r="473" spans="1:7" ht="15.6" hidden="1">
      <c r="A473" s="2973">
        <v>472</v>
      </c>
      <c r="B473" s="2974" t="s">
        <v>3759</v>
      </c>
      <c r="C473" s="2974">
        <v>7</v>
      </c>
      <c r="D473" s="2976">
        <v>704</v>
      </c>
      <c r="E473" s="2978">
        <v>115.42</v>
      </c>
      <c r="F473" s="2974" t="s">
        <v>3653</v>
      </c>
      <c r="G473" s="2974" t="s">
        <v>3760</v>
      </c>
    </row>
    <row r="474" spans="1:7" ht="15.6" hidden="1">
      <c r="A474" s="2973">
        <v>473</v>
      </c>
      <c r="B474" s="2974" t="s">
        <v>3759</v>
      </c>
      <c r="C474" s="2974">
        <v>8</v>
      </c>
      <c r="D474" s="2976">
        <v>801</v>
      </c>
      <c r="E474" s="2978">
        <v>115.42</v>
      </c>
      <c r="F474" s="2974" t="s">
        <v>3653</v>
      </c>
      <c r="G474" s="2974" t="s">
        <v>3760</v>
      </c>
    </row>
    <row r="475" spans="1:7" ht="15.6" hidden="1">
      <c r="A475" s="2973">
        <v>474</v>
      </c>
      <c r="B475" s="2974" t="s">
        <v>3759</v>
      </c>
      <c r="C475" s="2974">
        <v>8</v>
      </c>
      <c r="D475" s="2976">
        <v>802</v>
      </c>
      <c r="E475" s="2978">
        <v>94.62</v>
      </c>
      <c r="F475" s="2974" t="s">
        <v>3653</v>
      </c>
      <c r="G475" s="2974" t="s">
        <v>3760</v>
      </c>
    </row>
    <row r="476" spans="1:7" ht="15.6" hidden="1">
      <c r="A476" s="2973">
        <v>475</v>
      </c>
      <c r="B476" s="2974" t="s">
        <v>3759</v>
      </c>
      <c r="C476" s="2974">
        <v>8</v>
      </c>
      <c r="D476" s="2976">
        <v>803</v>
      </c>
      <c r="E476" s="2978">
        <v>94.62</v>
      </c>
      <c r="F476" s="2974" t="s">
        <v>3653</v>
      </c>
      <c r="G476" s="2974" t="s">
        <v>3760</v>
      </c>
    </row>
    <row r="477" spans="1:7" ht="15.6" hidden="1">
      <c r="A477" s="2973">
        <v>476</v>
      </c>
      <c r="B477" s="2974" t="s">
        <v>3759</v>
      </c>
      <c r="C477" s="2974">
        <v>8</v>
      </c>
      <c r="D477" s="2976">
        <v>804</v>
      </c>
      <c r="E477" s="2978">
        <v>115.42</v>
      </c>
      <c r="F477" s="2974" t="s">
        <v>3653</v>
      </c>
      <c r="G477" s="2974" t="s">
        <v>3760</v>
      </c>
    </row>
    <row r="478" spans="1:7" ht="15.6" hidden="1">
      <c r="A478" s="2973">
        <v>477</v>
      </c>
      <c r="B478" s="2974" t="s">
        <v>3759</v>
      </c>
      <c r="C478" s="2974">
        <v>9</v>
      </c>
      <c r="D478" s="2976">
        <v>901</v>
      </c>
      <c r="E478" s="2978">
        <v>115.42</v>
      </c>
      <c r="F478" s="2974" t="s">
        <v>3653</v>
      </c>
      <c r="G478" s="2974" t="s">
        <v>3760</v>
      </c>
    </row>
    <row r="479" spans="1:7" ht="15.6" hidden="1">
      <c r="A479" s="2973">
        <v>478</v>
      </c>
      <c r="B479" s="2974" t="s">
        <v>3759</v>
      </c>
      <c r="C479" s="2974">
        <v>9</v>
      </c>
      <c r="D479" s="2976">
        <v>902</v>
      </c>
      <c r="E479" s="2978">
        <v>94.62</v>
      </c>
      <c r="F479" s="2974" t="s">
        <v>3653</v>
      </c>
      <c r="G479" s="2974" t="s">
        <v>3760</v>
      </c>
    </row>
    <row r="480" spans="1:7" ht="15.6" hidden="1">
      <c r="A480" s="2973">
        <v>479</v>
      </c>
      <c r="B480" s="2974" t="s">
        <v>3759</v>
      </c>
      <c r="C480" s="2974">
        <v>9</v>
      </c>
      <c r="D480" s="2976">
        <v>903</v>
      </c>
      <c r="E480" s="2978">
        <v>94.62</v>
      </c>
      <c r="F480" s="2974" t="s">
        <v>3653</v>
      </c>
      <c r="G480" s="2974" t="s">
        <v>3760</v>
      </c>
    </row>
    <row r="481" spans="1:7" ht="15.6" hidden="1">
      <c r="A481" s="2973">
        <v>480</v>
      </c>
      <c r="B481" s="2974" t="s">
        <v>3759</v>
      </c>
      <c r="C481" s="2974">
        <v>9</v>
      </c>
      <c r="D481" s="2976">
        <v>904</v>
      </c>
      <c r="E481" s="2978">
        <v>115.42</v>
      </c>
      <c r="F481" s="2974" t="s">
        <v>3653</v>
      </c>
      <c r="G481" s="2974" t="s">
        <v>3760</v>
      </c>
    </row>
    <row r="482" spans="1:7" ht="15.6" hidden="1">
      <c r="A482" s="2973">
        <v>481</v>
      </c>
      <c r="B482" s="2974" t="s">
        <v>3759</v>
      </c>
      <c r="C482" s="2974">
        <v>10</v>
      </c>
      <c r="D482" s="2976">
        <v>1001</v>
      </c>
      <c r="E482" s="2978">
        <v>115.42</v>
      </c>
      <c r="F482" s="2974" t="s">
        <v>3653</v>
      </c>
      <c r="G482" s="2974" t="s">
        <v>3760</v>
      </c>
    </row>
    <row r="483" spans="1:7" ht="15.6" hidden="1">
      <c r="A483" s="2973">
        <v>482</v>
      </c>
      <c r="B483" s="2974" t="s">
        <v>3759</v>
      </c>
      <c r="C483" s="2974">
        <v>10</v>
      </c>
      <c r="D483" s="2976">
        <v>1002</v>
      </c>
      <c r="E483" s="2978">
        <v>94.62</v>
      </c>
      <c r="F483" s="2974" t="s">
        <v>3653</v>
      </c>
      <c r="G483" s="2974" t="s">
        <v>3760</v>
      </c>
    </row>
    <row r="484" spans="1:7" ht="15.6" hidden="1">
      <c r="A484" s="2973">
        <v>483</v>
      </c>
      <c r="B484" s="2974" t="s">
        <v>3759</v>
      </c>
      <c r="C484" s="2974">
        <v>10</v>
      </c>
      <c r="D484" s="2976">
        <v>1003</v>
      </c>
      <c r="E484" s="2978">
        <v>94.62</v>
      </c>
      <c r="F484" s="2974" t="s">
        <v>3653</v>
      </c>
      <c r="G484" s="2974" t="s">
        <v>3760</v>
      </c>
    </row>
    <row r="485" spans="1:7" ht="15.6" hidden="1">
      <c r="A485" s="2973">
        <v>484</v>
      </c>
      <c r="B485" s="2974" t="s">
        <v>3759</v>
      </c>
      <c r="C485" s="2974">
        <v>10</v>
      </c>
      <c r="D485" s="2976">
        <v>1004</v>
      </c>
      <c r="E485" s="2978">
        <v>115.42</v>
      </c>
      <c r="F485" s="2974" t="s">
        <v>3653</v>
      </c>
      <c r="G485" s="2974" t="s">
        <v>3760</v>
      </c>
    </row>
    <row r="486" spans="1:7" ht="15.6" hidden="1">
      <c r="A486" s="2973">
        <v>485</v>
      </c>
      <c r="B486" s="2974" t="s">
        <v>3759</v>
      </c>
      <c r="C486" s="2974">
        <v>11</v>
      </c>
      <c r="D486" s="2976">
        <v>1101</v>
      </c>
      <c r="E486" s="2978">
        <v>115.42</v>
      </c>
      <c r="F486" s="2974" t="s">
        <v>3653</v>
      </c>
      <c r="G486" s="2974" t="s">
        <v>3760</v>
      </c>
    </row>
    <row r="487" spans="1:7" ht="15.6" hidden="1">
      <c r="A487" s="2973">
        <v>486</v>
      </c>
      <c r="B487" s="2974" t="s">
        <v>3759</v>
      </c>
      <c r="C487" s="2974">
        <v>11</v>
      </c>
      <c r="D487" s="2976">
        <v>1102</v>
      </c>
      <c r="E487" s="2978">
        <v>94.62</v>
      </c>
      <c r="F487" s="2974" t="s">
        <v>3653</v>
      </c>
      <c r="G487" s="2974" t="s">
        <v>3760</v>
      </c>
    </row>
    <row r="488" spans="1:7" ht="15.6" hidden="1">
      <c r="A488" s="2973">
        <v>487</v>
      </c>
      <c r="B488" s="2974" t="s">
        <v>3759</v>
      </c>
      <c r="C488" s="2974">
        <v>11</v>
      </c>
      <c r="D488" s="2976">
        <v>1103</v>
      </c>
      <c r="E488" s="2978">
        <v>94.62</v>
      </c>
      <c r="F488" s="2974" t="s">
        <v>3653</v>
      </c>
      <c r="G488" s="2974" t="s">
        <v>3760</v>
      </c>
    </row>
    <row r="489" spans="1:7" ht="15.6" hidden="1">
      <c r="A489" s="2973">
        <v>488</v>
      </c>
      <c r="B489" s="2974" t="s">
        <v>3759</v>
      </c>
      <c r="C489" s="2974">
        <v>11</v>
      </c>
      <c r="D489" s="2976">
        <v>1104</v>
      </c>
      <c r="E489" s="2978">
        <v>115.42</v>
      </c>
      <c r="F489" s="2974" t="s">
        <v>3653</v>
      </c>
      <c r="G489" s="2974" t="s">
        <v>3760</v>
      </c>
    </row>
    <row r="490" spans="1:7" ht="15.6" hidden="1">
      <c r="A490" s="2973">
        <v>489</v>
      </c>
      <c r="B490" s="2974" t="s">
        <v>3759</v>
      </c>
      <c r="C490" s="2974">
        <v>12</v>
      </c>
      <c r="D490" s="2976">
        <v>1201</v>
      </c>
      <c r="E490" s="2978">
        <v>115.42</v>
      </c>
      <c r="F490" s="2974" t="s">
        <v>3653</v>
      </c>
      <c r="G490" s="2974" t="s">
        <v>3760</v>
      </c>
    </row>
    <row r="491" spans="1:7" ht="15.6" hidden="1">
      <c r="A491" s="2973">
        <v>490</v>
      </c>
      <c r="B491" s="2974" t="s">
        <v>3759</v>
      </c>
      <c r="C491" s="2974">
        <v>12</v>
      </c>
      <c r="D491" s="2976">
        <v>1202</v>
      </c>
      <c r="E491" s="2978">
        <v>94.62</v>
      </c>
      <c r="F491" s="2974" t="s">
        <v>3653</v>
      </c>
      <c r="G491" s="2974" t="s">
        <v>3760</v>
      </c>
    </row>
    <row r="492" spans="1:7" ht="15.6" hidden="1">
      <c r="A492" s="2973">
        <v>491</v>
      </c>
      <c r="B492" s="2974" t="s">
        <v>3759</v>
      </c>
      <c r="C492" s="2974">
        <v>12</v>
      </c>
      <c r="D492" s="2976">
        <v>1203</v>
      </c>
      <c r="E492" s="2978">
        <v>94.62</v>
      </c>
      <c r="F492" s="2974" t="s">
        <v>3653</v>
      </c>
      <c r="G492" s="2974" t="s">
        <v>3760</v>
      </c>
    </row>
    <row r="493" spans="1:7" ht="15.6" hidden="1">
      <c r="A493" s="2973">
        <v>492</v>
      </c>
      <c r="B493" s="2974" t="s">
        <v>3759</v>
      </c>
      <c r="C493" s="2974">
        <v>12</v>
      </c>
      <c r="D493" s="2976">
        <v>1204</v>
      </c>
      <c r="E493" s="2978">
        <v>115.42</v>
      </c>
      <c r="F493" s="2974" t="s">
        <v>3653</v>
      </c>
      <c r="G493" s="2974" t="s">
        <v>3760</v>
      </c>
    </row>
    <row r="494" spans="1:7" ht="15.6" hidden="1">
      <c r="A494" s="2973">
        <v>493</v>
      </c>
      <c r="B494" s="2974" t="s">
        <v>3759</v>
      </c>
      <c r="C494" s="2974">
        <v>13</v>
      </c>
      <c r="D494" s="2976">
        <v>1301</v>
      </c>
      <c r="E494" s="2978">
        <v>115.42</v>
      </c>
      <c r="F494" s="2974" t="s">
        <v>3653</v>
      </c>
      <c r="G494" s="2974" t="s">
        <v>3760</v>
      </c>
    </row>
    <row r="495" spans="1:7" ht="15.6" hidden="1">
      <c r="A495" s="2973">
        <v>494</v>
      </c>
      <c r="B495" s="2974" t="s">
        <v>3759</v>
      </c>
      <c r="C495" s="2974">
        <v>13</v>
      </c>
      <c r="D495" s="2976">
        <v>1302</v>
      </c>
      <c r="E495" s="2978">
        <v>94.62</v>
      </c>
      <c r="F495" s="2974" t="s">
        <v>3653</v>
      </c>
      <c r="G495" s="2974" t="s">
        <v>3760</v>
      </c>
    </row>
    <row r="496" spans="1:7" ht="15.6" hidden="1">
      <c r="A496" s="2973">
        <v>495</v>
      </c>
      <c r="B496" s="2974" t="s">
        <v>3759</v>
      </c>
      <c r="C496" s="2974">
        <v>13</v>
      </c>
      <c r="D496" s="2976">
        <v>1303</v>
      </c>
      <c r="E496" s="2978">
        <v>94.62</v>
      </c>
      <c r="F496" s="2974" t="s">
        <v>3653</v>
      </c>
      <c r="G496" s="2974" t="s">
        <v>3760</v>
      </c>
    </row>
    <row r="497" spans="1:7" ht="15.6" hidden="1">
      <c r="A497" s="2973">
        <v>496</v>
      </c>
      <c r="B497" s="2974" t="s">
        <v>3759</v>
      </c>
      <c r="C497" s="2974">
        <v>13</v>
      </c>
      <c r="D497" s="2976">
        <v>1304</v>
      </c>
      <c r="E497" s="2978">
        <v>115.42</v>
      </c>
      <c r="F497" s="2974" t="s">
        <v>3653</v>
      </c>
      <c r="G497" s="2974" t="s">
        <v>3760</v>
      </c>
    </row>
    <row r="498" spans="1:7" ht="15.6" hidden="1">
      <c r="A498" s="2973">
        <v>497</v>
      </c>
      <c r="B498" s="2974" t="s">
        <v>3759</v>
      </c>
      <c r="C498" s="2974">
        <v>14</v>
      </c>
      <c r="D498" s="2976">
        <v>1401</v>
      </c>
      <c r="E498" s="2978">
        <v>115.42</v>
      </c>
      <c r="F498" s="2974" t="s">
        <v>3653</v>
      </c>
      <c r="G498" s="2974" t="s">
        <v>3760</v>
      </c>
    </row>
    <row r="499" spans="1:7" ht="15.6" hidden="1">
      <c r="A499" s="2973">
        <v>498</v>
      </c>
      <c r="B499" s="2974" t="s">
        <v>3759</v>
      </c>
      <c r="C499" s="2974">
        <v>14</v>
      </c>
      <c r="D499" s="2976">
        <v>1402</v>
      </c>
      <c r="E499" s="2978">
        <v>94.62</v>
      </c>
      <c r="F499" s="2974" t="s">
        <v>3653</v>
      </c>
      <c r="G499" s="2974" t="s">
        <v>3760</v>
      </c>
    </row>
    <row r="500" spans="1:7" ht="15.6" hidden="1">
      <c r="A500" s="2973">
        <v>499</v>
      </c>
      <c r="B500" s="2974" t="s">
        <v>3759</v>
      </c>
      <c r="C500" s="2974">
        <v>14</v>
      </c>
      <c r="D500" s="2976">
        <v>1403</v>
      </c>
      <c r="E500" s="2978">
        <v>94.62</v>
      </c>
      <c r="F500" s="2974" t="s">
        <v>3653</v>
      </c>
      <c r="G500" s="2974" t="s">
        <v>3760</v>
      </c>
    </row>
    <row r="501" spans="1:7" ht="15.6" hidden="1">
      <c r="A501" s="2973">
        <v>500</v>
      </c>
      <c r="B501" s="2974" t="s">
        <v>3759</v>
      </c>
      <c r="C501" s="2974">
        <v>14</v>
      </c>
      <c r="D501" s="2976">
        <v>1404</v>
      </c>
      <c r="E501" s="2978">
        <v>115.42</v>
      </c>
      <c r="F501" s="2974" t="s">
        <v>3653</v>
      </c>
      <c r="G501" s="2974" t="s">
        <v>3760</v>
      </c>
    </row>
    <row r="502" spans="1:7" ht="15.6" hidden="1">
      <c r="A502" s="2973">
        <v>501</v>
      </c>
      <c r="B502" s="2974" t="s">
        <v>3759</v>
      </c>
      <c r="C502" s="2974">
        <v>15</v>
      </c>
      <c r="D502" s="2976">
        <v>1501</v>
      </c>
      <c r="E502" s="2978">
        <v>115.42</v>
      </c>
      <c r="F502" s="2974" t="s">
        <v>3653</v>
      </c>
      <c r="G502" s="2974" t="s">
        <v>3760</v>
      </c>
    </row>
    <row r="503" spans="1:7" ht="15.6" hidden="1">
      <c r="A503" s="2973">
        <v>502</v>
      </c>
      <c r="B503" s="2974" t="s">
        <v>3759</v>
      </c>
      <c r="C503" s="2974">
        <v>15</v>
      </c>
      <c r="D503" s="2976">
        <v>1502</v>
      </c>
      <c r="E503" s="2978">
        <v>94.62</v>
      </c>
      <c r="F503" s="2974" t="s">
        <v>3653</v>
      </c>
      <c r="G503" s="2974" t="s">
        <v>3760</v>
      </c>
    </row>
    <row r="504" spans="1:7" ht="15.6" hidden="1">
      <c r="A504" s="2973">
        <v>503</v>
      </c>
      <c r="B504" s="2974" t="s">
        <v>3759</v>
      </c>
      <c r="C504" s="2974">
        <v>15</v>
      </c>
      <c r="D504" s="2976">
        <v>1503</v>
      </c>
      <c r="E504" s="2978">
        <v>94.62</v>
      </c>
      <c r="F504" s="2974" t="s">
        <v>3653</v>
      </c>
      <c r="G504" s="2974" t="s">
        <v>3760</v>
      </c>
    </row>
    <row r="505" spans="1:7" ht="15.6" hidden="1">
      <c r="A505" s="2973">
        <v>504</v>
      </c>
      <c r="B505" s="2974" t="s">
        <v>3759</v>
      </c>
      <c r="C505" s="2974">
        <v>15</v>
      </c>
      <c r="D505" s="2976">
        <v>1504</v>
      </c>
      <c r="E505" s="2978">
        <v>115.42</v>
      </c>
      <c r="F505" s="2974" t="s">
        <v>3653</v>
      </c>
      <c r="G505" s="2974" t="s">
        <v>3760</v>
      </c>
    </row>
    <row r="506" spans="1:7" ht="15.6" hidden="1">
      <c r="A506" s="2973">
        <v>505</v>
      </c>
      <c r="B506" s="2974" t="s">
        <v>3759</v>
      </c>
      <c r="C506" s="2974">
        <v>16</v>
      </c>
      <c r="D506" s="2976">
        <v>1601</v>
      </c>
      <c r="E506" s="2978">
        <v>115.42</v>
      </c>
      <c r="F506" s="2974" t="s">
        <v>3653</v>
      </c>
      <c r="G506" s="2974" t="s">
        <v>3760</v>
      </c>
    </row>
    <row r="507" spans="1:7" ht="15.6" hidden="1">
      <c r="A507" s="2973">
        <v>506</v>
      </c>
      <c r="B507" s="2974" t="s">
        <v>3759</v>
      </c>
      <c r="C507" s="2974">
        <v>16</v>
      </c>
      <c r="D507" s="2976">
        <v>1602</v>
      </c>
      <c r="E507" s="2978">
        <v>94.62</v>
      </c>
      <c r="F507" s="2974" t="s">
        <v>3653</v>
      </c>
      <c r="G507" s="2974" t="s">
        <v>3760</v>
      </c>
    </row>
    <row r="508" spans="1:7" ht="15.6" hidden="1">
      <c r="A508" s="2973">
        <v>507</v>
      </c>
      <c r="B508" s="2974" t="s">
        <v>3759</v>
      </c>
      <c r="C508" s="2974">
        <v>16</v>
      </c>
      <c r="D508" s="2976">
        <v>1603</v>
      </c>
      <c r="E508" s="2978">
        <v>94.62</v>
      </c>
      <c r="F508" s="2974" t="s">
        <v>3653</v>
      </c>
      <c r="G508" s="2974" t="s">
        <v>3760</v>
      </c>
    </row>
    <row r="509" spans="1:7" ht="15.6" hidden="1">
      <c r="A509" s="2973">
        <v>508</v>
      </c>
      <c r="B509" s="2974" t="s">
        <v>3759</v>
      </c>
      <c r="C509" s="2974">
        <v>16</v>
      </c>
      <c r="D509" s="2976">
        <v>1604</v>
      </c>
      <c r="E509" s="2978">
        <v>115.42</v>
      </c>
      <c r="F509" s="2974" t="s">
        <v>3653</v>
      </c>
      <c r="G509" s="2974" t="s">
        <v>3760</v>
      </c>
    </row>
    <row r="510" spans="1:7" ht="15.6" hidden="1">
      <c r="A510" s="2973">
        <v>509</v>
      </c>
      <c r="B510" s="2974" t="s">
        <v>3759</v>
      </c>
      <c r="C510" s="2974">
        <v>17</v>
      </c>
      <c r="D510" s="2976">
        <v>1701</v>
      </c>
      <c r="E510" s="2978">
        <v>115.42</v>
      </c>
      <c r="F510" s="2974" t="s">
        <v>3653</v>
      </c>
      <c r="G510" s="2974" t="s">
        <v>3760</v>
      </c>
    </row>
    <row r="511" spans="1:7" ht="15.6" hidden="1">
      <c r="A511" s="2973">
        <v>510</v>
      </c>
      <c r="B511" s="2974" t="s">
        <v>3759</v>
      </c>
      <c r="C511" s="2974">
        <v>17</v>
      </c>
      <c r="D511" s="2976">
        <v>1702</v>
      </c>
      <c r="E511" s="2978">
        <v>94.62</v>
      </c>
      <c r="F511" s="2974" t="s">
        <v>3653</v>
      </c>
      <c r="G511" s="2974" t="s">
        <v>3760</v>
      </c>
    </row>
    <row r="512" spans="1:7" ht="15.6" hidden="1">
      <c r="A512" s="2973">
        <v>511</v>
      </c>
      <c r="B512" s="2974" t="s">
        <v>3759</v>
      </c>
      <c r="C512" s="2974">
        <v>17</v>
      </c>
      <c r="D512" s="2976">
        <v>1703</v>
      </c>
      <c r="E512" s="2978">
        <v>94.62</v>
      </c>
      <c r="F512" s="2974" t="s">
        <v>3653</v>
      </c>
      <c r="G512" s="2974" t="s">
        <v>3760</v>
      </c>
    </row>
    <row r="513" spans="1:7" ht="15.6" hidden="1">
      <c r="A513" s="2973">
        <v>512</v>
      </c>
      <c r="B513" s="2974" t="s">
        <v>3759</v>
      </c>
      <c r="C513" s="2974">
        <v>17</v>
      </c>
      <c r="D513" s="2976">
        <v>1704</v>
      </c>
      <c r="E513" s="2978">
        <v>115.42</v>
      </c>
      <c r="F513" s="2974" t="s">
        <v>3653</v>
      </c>
      <c r="G513" s="2974" t="s">
        <v>3760</v>
      </c>
    </row>
    <row r="514" spans="1:7" ht="15.6" hidden="1">
      <c r="A514" s="2973">
        <v>513</v>
      </c>
      <c r="B514" s="2974" t="s">
        <v>3759</v>
      </c>
      <c r="C514" s="2974">
        <v>18</v>
      </c>
      <c r="D514" s="2976">
        <v>1801</v>
      </c>
      <c r="E514" s="2978">
        <v>115.42</v>
      </c>
      <c r="F514" s="2974" t="s">
        <v>3653</v>
      </c>
      <c r="G514" s="2974" t="s">
        <v>3760</v>
      </c>
    </row>
    <row r="515" spans="1:7" ht="15.6" hidden="1">
      <c r="A515" s="2973">
        <v>514</v>
      </c>
      <c r="B515" s="2974" t="s">
        <v>3759</v>
      </c>
      <c r="C515" s="2974">
        <v>18</v>
      </c>
      <c r="D515" s="2976">
        <v>1802</v>
      </c>
      <c r="E515" s="2978">
        <v>94.62</v>
      </c>
      <c r="F515" s="2974" t="s">
        <v>3653</v>
      </c>
      <c r="G515" s="2974" t="s">
        <v>3760</v>
      </c>
    </row>
    <row r="516" spans="1:7" ht="15.6" hidden="1">
      <c r="A516" s="2973">
        <v>515</v>
      </c>
      <c r="B516" s="2974" t="s">
        <v>3759</v>
      </c>
      <c r="C516" s="2974">
        <v>18</v>
      </c>
      <c r="D516" s="2976">
        <v>1803</v>
      </c>
      <c r="E516" s="2978">
        <v>94.62</v>
      </c>
      <c r="F516" s="2974" t="s">
        <v>3653</v>
      </c>
      <c r="G516" s="2974" t="s">
        <v>3760</v>
      </c>
    </row>
    <row r="517" spans="1:7" ht="15.6" hidden="1">
      <c r="A517" s="2973">
        <v>516</v>
      </c>
      <c r="B517" s="2974" t="s">
        <v>3759</v>
      </c>
      <c r="C517" s="2974">
        <v>18</v>
      </c>
      <c r="D517" s="2976">
        <v>1804</v>
      </c>
      <c r="E517" s="2978">
        <v>115.42</v>
      </c>
      <c r="F517" s="2974" t="s">
        <v>3653</v>
      </c>
      <c r="G517" s="2974" t="s">
        <v>3760</v>
      </c>
    </row>
    <row r="518" spans="1:7" ht="15.6" hidden="1">
      <c r="A518" s="2973">
        <v>517</v>
      </c>
      <c r="B518" s="2974" t="s">
        <v>3761</v>
      </c>
      <c r="C518" s="2973">
        <v>-1</v>
      </c>
      <c r="D518" s="2973" t="s">
        <v>3762</v>
      </c>
      <c r="E518" s="2975">
        <v>27.73</v>
      </c>
      <c r="F518" s="2973" t="s">
        <v>3763</v>
      </c>
      <c r="G518" s="2974" t="s">
        <v>3649</v>
      </c>
    </row>
    <row r="519" spans="1:7" ht="15.6" hidden="1">
      <c r="A519" s="2973">
        <v>518</v>
      </c>
      <c r="B519" s="2974" t="s">
        <v>3761</v>
      </c>
      <c r="C519" s="2973">
        <v>-1</v>
      </c>
      <c r="D519" s="2973" t="s">
        <v>3764</v>
      </c>
      <c r="E519" s="2975">
        <v>9.41</v>
      </c>
      <c r="F519" s="2973" t="s">
        <v>3763</v>
      </c>
      <c r="G519" s="2974" t="s">
        <v>3649</v>
      </c>
    </row>
    <row r="520" spans="1:7" ht="15.6" hidden="1">
      <c r="A520" s="2973">
        <v>519</v>
      </c>
      <c r="B520" s="2974" t="s">
        <v>3761</v>
      </c>
      <c r="C520" s="2973">
        <v>-1</v>
      </c>
      <c r="D520" s="2973" t="s">
        <v>3765</v>
      </c>
      <c r="E520" s="2975">
        <v>12.93</v>
      </c>
      <c r="F520" s="2973" t="s">
        <v>3763</v>
      </c>
      <c r="G520" s="2974" t="s">
        <v>3649</v>
      </c>
    </row>
    <row r="521" spans="1:7" ht="15.6" hidden="1">
      <c r="A521" s="2973">
        <v>520</v>
      </c>
      <c r="B521" s="2974" t="s">
        <v>3761</v>
      </c>
      <c r="C521" s="2973">
        <v>-1</v>
      </c>
      <c r="D521" s="2973" t="s">
        <v>3766</v>
      </c>
      <c r="E521" s="2975">
        <v>8.77</v>
      </c>
      <c r="F521" s="2973" t="s">
        <v>3763</v>
      </c>
      <c r="G521" s="2974" t="s">
        <v>3649</v>
      </c>
    </row>
    <row r="522" spans="1:7" ht="15.6" hidden="1">
      <c r="A522" s="2973">
        <v>521</v>
      </c>
      <c r="B522" s="2974" t="s">
        <v>3761</v>
      </c>
      <c r="C522" s="2973">
        <v>-1</v>
      </c>
      <c r="D522" s="2973" t="s">
        <v>3767</v>
      </c>
      <c r="E522" s="2975">
        <v>12.93</v>
      </c>
      <c r="F522" s="2973" t="s">
        <v>3596</v>
      </c>
      <c r="G522" s="2974" t="s">
        <v>3568</v>
      </c>
    </row>
    <row r="523" spans="1:7" ht="15.6" hidden="1">
      <c r="A523" s="2973">
        <v>522</v>
      </c>
      <c r="B523" s="2974" t="s">
        <v>3768</v>
      </c>
      <c r="C523" s="2973">
        <v>-1</v>
      </c>
      <c r="D523" s="2973" t="s">
        <v>3769</v>
      </c>
      <c r="E523" s="2975">
        <v>9.41</v>
      </c>
      <c r="F523" s="2973" t="s">
        <v>3596</v>
      </c>
      <c r="G523" s="2974" t="s">
        <v>3568</v>
      </c>
    </row>
    <row r="524" spans="1:7" ht="15.6" hidden="1">
      <c r="A524" s="2973">
        <v>523</v>
      </c>
      <c r="B524" s="2974" t="s">
        <v>3768</v>
      </c>
      <c r="C524" s="2973">
        <v>-1</v>
      </c>
      <c r="D524" s="2973" t="s">
        <v>3770</v>
      </c>
      <c r="E524" s="2975">
        <v>22.55</v>
      </c>
      <c r="F524" s="2973" t="s">
        <v>3596</v>
      </c>
      <c r="G524" s="2974" t="s">
        <v>3568</v>
      </c>
    </row>
    <row r="525" spans="1:7" ht="15.6" hidden="1">
      <c r="A525" s="2973">
        <v>524</v>
      </c>
      <c r="B525" s="2974" t="s">
        <v>3768</v>
      </c>
      <c r="C525" s="2973">
        <v>-1</v>
      </c>
      <c r="D525" s="2973" t="s">
        <v>3771</v>
      </c>
      <c r="E525" s="2975">
        <v>13.23</v>
      </c>
      <c r="F525" s="2973" t="s">
        <v>3596</v>
      </c>
      <c r="G525" s="2974" t="s">
        <v>3568</v>
      </c>
    </row>
    <row r="526" spans="1:7" ht="15.6" hidden="1">
      <c r="A526" s="2973">
        <v>525</v>
      </c>
      <c r="B526" s="2974" t="s">
        <v>3768</v>
      </c>
      <c r="C526" s="2973">
        <v>-1</v>
      </c>
      <c r="D526" s="2973" t="s">
        <v>3772</v>
      </c>
      <c r="E526" s="2975">
        <v>14.26</v>
      </c>
      <c r="F526" s="2973" t="s">
        <v>3596</v>
      </c>
      <c r="G526" s="2974" t="s">
        <v>3568</v>
      </c>
    </row>
    <row r="527" spans="1:7" ht="15.6" hidden="1">
      <c r="A527" s="2973">
        <v>526</v>
      </c>
      <c r="B527" s="2974" t="s">
        <v>3768</v>
      </c>
      <c r="C527" s="2973">
        <v>-1</v>
      </c>
      <c r="D527" s="2973" t="s">
        <v>3773</v>
      </c>
      <c r="E527" s="2975">
        <v>15.35</v>
      </c>
      <c r="F527" s="2973" t="s">
        <v>3596</v>
      </c>
      <c r="G527" s="2974" t="s">
        <v>3568</v>
      </c>
    </row>
    <row r="528" spans="1:7" ht="15.6" hidden="1">
      <c r="A528" s="2973">
        <v>527</v>
      </c>
      <c r="B528" s="2974" t="s">
        <v>3768</v>
      </c>
      <c r="C528" s="2973">
        <v>-1</v>
      </c>
      <c r="D528" s="2973" t="s">
        <v>3774</v>
      </c>
      <c r="E528" s="2975">
        <v>25.08</v>
      </c>
      <c r="F528" s="2973" t="s">
        <v>3596</v>
      </c>
      <c r="G528" s="2974" t="s">
        <v>3568</v>
      </c>
    </row>
    <row r="529" spans="1:7" ht="15.6" hidden="1">
      <c r="A529" s="2973">
        <v>528</v>
      </c>
      <c r="B529" s="2974" t="s">
        <v>3768</v>
      </c>
      <c r="C529" s="2973">
        <v>-1</v>
      </c>
      <c r="D529" s="2973" t="s">
        <v>3775</v>
      </c>
      <c r="E529" s="2975">
        <v>9.32</v>
      </c>
      <c r="F529" s="2973" t="s">
        <v>3596</v>
      </c>
      <c r="G529" s="2974" t="s">
        <v>3568</v>
      </c>
    </row>
    <row r="530" spans="1:7" ht="15.6" hidden="1">
      <c r="A530" s="2973">
        <v>529</v>
      </c>
      <c r="B530" s="2974" t="s">
        <v>3768</v>
      </c>
      <c r="C530" s="2973">
        <v>-1</v>
      </c>
      <c r="D530" s="2973" t="s">
        <v>3776</v>
      </c>
      <c r="E530" s="2975">
        <v>14.81</v>
      </c>
      <c r="F530" s="2973" t="s">
        <v>3596</v>
      </c>
      <c r="G530" s="2974" t="s">
        <v>3568</v>
      </c>
    </row>
    <row r="531" spans="1:7" ht="15.6" hidden="1">
      <c r="A531" s="2973">
        <v>530</v>
      </c>
      <c r="B531" s="2974" t="s">
        <v>3768</v>
      </c>
      <c r="C531" s="2973">
        <v>-1</v>
      </c>
      <c r="D531" s="2973" t="s">
        <v>3777</v>
      </c>
      <c r="E531" s="2975">
        <v>14.69</v>
      </c>
      <c r="F531" s="2973" t="s">
        <v>3596</v>
      </c>
      <c r="G531" s="2974" t="s">
        <v>3568</v>
      </c>
    </row>
    <row r="532" spans="1:7" ht="15.6" hidden="1">
      <c r="A532" s="2973">
        <v>531</v>
      </c>
      <c r="B532" s="2974" t="s">
        <v>3768</v>
      </c>
      <c r="C532" s="2973">
        <v>-1</v>
      </c>
      <c r="D532" s="2973" t="s">
        <v>3778</v>
      </c>
      <c r="E532" s="2975">
        <v>12.51</v>
      </c>
      <c r="F532" s="2973" t="s">
        <v>3596</v>
      </c>
      <c r="G532" s="2974" t="s">
        <v>3568</v>
      </c>
    </row>
    <row r="533" spans="1:7" ht="15.6" hidden="1">
      <c r="A533" s="2973">
        <v>532</v>
      </c>
      <c r="B533" s="2974" t="s">
        <v>3768</v>
      </c>
      <c r="C533" s="2973">
        <v>-1</v>
      </c>
      <c r="D533" s="2973" t="s">
        <v>3779</v>
      </c>
      <c r="E533" s="2975">
        <v>14.44</v>
      </c>
      <c r="F533" s="2973" t="s">
        <v>3596</v>
      </c>
      <c r="G533" s="2974" t="s">
        <v>3568</v>
      </c>
    </row>
    <row r="534" spans="1:7" ht="15.6" hidden="1">
      <c r="A534" s="2973">
        <v>533</v>
      </c>
      <c r="B534" s="2974" t="s">
        <v>3768</v>
      </c>
      <c r="C534" s="2973">
        <v>-1</v>
      </c>
      <c r="D534" s="2973" t="s">
        <v>3780</v>
      </c>
      <c r="E534" s="2975">
        <v>14.82</v>
      </c>
      <c r="F534" s="2973" t="s">
        <v>3596</v>
      </c>
      <c r="G534" s="2974" t="s">
        <v>3568</v>
      </c>
    </row>
    <row r="535" spans="1:7" ht="15.6" hidden="1">
      <c r="A535" s="2973">
        <v>534</v>
      </c>
      <c r="B535" s="2974" t="s">
        <v>3768</v>
      </c>
      <c r="C535" s="2973">
        <v>-1</v>
      </c>
      <c r="D535" s="2973" t="s">
        <v>3781</v>
      </c>
      <c r="E535" s="2975">
        <v>12.47</v>
      </c>
      <c r="F535" s="2973" t="s">
        <v>3596</v>
      </c>
      <c r="G535" s="2974" t="s">
        <v>3568</v>
      </c>
    </row>
    <row r="536" spans="1:7" ht="15.6" hidden="1">
      <c r="A536" s="2973">
        <v>535</v>
      </c>
      <c r="B536" s="2974" t="s">
        <v>3768</v>
      </c>
      <c r="C536" s="2973">
        <v>-1</v>
      </c>
      <c r="D536" s="2973" t="s">
        <v>3782</v>
      </c>
      <c r="E536" s="2975">
        <v>13.68</v>
      </c>
      <c r="F536" s="2973" t="s">
        <v>3596</v>
      </c>
      <c r="G536" s="2974" t="s">
        <v>3568</v>
      </c>
    </row>
    <row r="537" spans="1:7" ht="15.6" hidden="1">
      <c r="A537" s="2973">
        <v>536</v>
      </c>
      <c r="B537" s="2974" t="s">
        <v>3768</v>
      </c>
      <c r="C537" s="2973">
        <v>-1</v>
      </c>
      <c r="D537" s="2973" t="s">
        <v>3783</v>
      </c>
      <c r="E537" s="2975">
        <v>14.44</v>
      </c>
      <c r="F537" s="2973" t="s">
        <v>3596</v>
      </c>
      <c r="G537" s="2974" t="s">
        <v>3568</v>
      </c>
    </row>
    <row r="538" spans="1:7" ht="15.6" hidden="1">
      <c r="A538" s="2973">
        <v>537</v>
      </c>
      <c r="B538" s="2974" t="s">
        <v>3768</v>
      </c>
      <c r="C538" s="2973">
        <v>-1</v>
      </c>
      <c r="D538" s="2973" t="s">
        <v>3784</v>
      </c>
      <c r="E538" s="2975">
        <v>14.44</v>
      </c>
      <c r="F538" s="2973" t="s">
        <v>3596</v>
      </c>
      <c r="G538" s="2974" t="s">
        <v>3568</v>
      </c>
    </row>
    <row r="539" spans="1:7" ht="15.6" hidden="1">
      <c r="A539" s="2973">
        <v>538</v>
      </c>
      <c r="B539" s="2974" t="s">
        <v>3768</v>
      </c>
      <c r="C539" s="2973">
        <v>-1</v>
      </c>
      <c r="D539" s="2973" t="s">
        <v>3785</v>
      </c>
      <c r="E539" s="2975">
        <v>19.25</v>
      </c>
      <c r="F539" s="2973" t="s">
        <v>3596</v>
      </c>
      <c r="G539" s="2974" t="s">
        <v>3568</v>
      </c>
    </row>
    <row r="540" spans="1:7" ht="15.6" hidden="1">
      <c r="A540" s="2973">
        <v>539</v>
      </c>
      <c r="B540" s="2974" t="s">
        <v>3768</v>
      </c>
      <c r="C540" s="2973">
        <v>-1</v>
      </c>
      <c r="D540" s="2973" t="s">
        <v>3786</v>
      </c>
      <c r="E540" s="2975">
        <v>10.39</v>
      </c>
      <c r="F540" s="2973" t="s">
        <v>3596</v>
      </c>
      <c r="G540" s="2974" t="s">
        <v>3568</v>
      </c>
    </row>
    <row r="541" spans="1:7" ht="15.6" hidden="1">
      <c r="A541" s="2973">
        <v>540</v>
      </c>
      <c r="B541" s="2974" t="s">
        <v>3768</v>
      </c>
      <c r="C541" s="2974">
        <v>1</v>
      </c>
      <c r="D541" s="2976">
        <v>101</v>
      </c>
      <c r="E541" s="2978">
        <v>103.24</v>
      </c>
      <c r="F541" s="2974" t="s">
        <v>3615</v>
      </c>
      <c r="G541" s="2973" t="s">
        <v>3616</v>
      </c>
    </row>
    <row r="542" spans="1:7" ht="15.6" hidden="1">
      <c r="A542" s="2973">
        <v>541</v>
      </c>
      <c r="B542" s="2974" t="s">
        <v>3768</v>
      </c>
      <c r="C542" s="2974">
        <v>1</v>
      </c>
      <c r="D542" s="2976">
        <v>102</v>
      </c>
      <c r="E542" s="2978">
        <v>104.4</v>
      </c>
      <c r="F542" s="2974" t="s">
        <v>3615</v>
      </c>
      <c r="G542" s="2973" t="s">
        <v>3616</v>
      </c>
    </row>
    <row r="543" spans="1:7" ht="15.6" hidden="1">
      <c r="A543" s="2973">
        <v>542</v>
      </c>
      <c r="B543" s="2974" t="s">
        <v>3768</v>
      </c>
      <c r="C543" s="2974">
        <v>1</v>
      </c>
      <c r="D543" s="2976">
        <v>103</v>
      </c>
      <c r="E543" s="2978">
        <v>104.4</v>
      </c>
      <c r="F543" s="2974" t="s">
        <v>3615</v>
      </c>
      <c r="G543" s="2973" t="s">
        <v>3616</v>
      </c>
    </row>
    <row r="544" spans="1:7" ht="15.6" hidden="1">
      <c r="A544" s="2973">
        <v>543</v>
      </c>
      <c r="B544" s="2974" t="s">
        <v>3768</v>
      </c>
      <c r="C544" s="2974">
        <v>1</v>
      </c>
      <c r="D544" s="2976">
        <v>104</v>
      </c>
      <c r="E544" s="2978">
        <v>103.24</v>
      </c>
      <c r="F544" s="2974" t="s">
        <v>3615</v>
      </c>
      <c r="G544" s="2973" t="s">
        <v>3616</v>
      </c>
    </row>
    <row r="545" spans="1:7" ht="15.6" hidden="1">
      <c r="A545" s="2973">
        <v>544</v>
      </c>
      <c r="B545" s="2974" t="s">
        <v>3768</v>
      </c>
      <c r="C545" s="2974">
        <v>2</v>
      </c>
      <c r="D545" s="2976">
        <v>201</v>
      </c>
      <c r="E545" s="2978">
        <v>103.24</v>
      </c>
      <c r="F545" s="2974" t="s">
        <v>3615</v>
      </c>
      <c r="G545" s="2973" t="s">
        <v>3616</v>
      </c>
    </row>
    <row r="546" spans="1:7" ht="15.6" hidden="1">
      <c r="A546" s="2973">
        <v>545</v>
      </c>
      <c r="B546" s="2974" t="s">
        <v>3768</v>
      </c>
      <c r="C546" s="2974">
        <v>2</v>
      </c>
      <c r="D546" s="2976">
        <v>202</v>
      </c>
      <c r="E546" s="2978">
        <v>117.9</v>
      </c>
      <c r="F546" s="2974" t="s">
        <v>3615</v>
      </c>
      <c r="G546" s="2973" t="s">
        <v>3616</v>
      </c>
    </row>
    <row r="547" spans="1:7" ht="15.6" hidden="1">
      <c r="A547" s="2973">
        <v>546</v>
      </c>
      <c r="B547" s="2974" t="s">
        <v>3768</v>
      </c>
      <c r="C547" s="2974">
        <v>2</v>
      </c>
      <c r="D547" s="2976">
        <v>203</v>
      </c>
      <c r="E547" s="2978">
        <v>117.9</v>
      </c>
      <c r="F547" s="2974" t="s">
        <v>3615</v>
      </c>
      <c r="G547" s="2973" t="s">
        <v>3616</v>
      </c>
    </row>
    <row r="548" spans="1:7" ht="15.6" hidden="1">
      <c r="A548" s="2973">
        <v>547</v>
      </c>
      <c r="B548" s="2974" t="s">
        <v>3768</v>
      </c>
      <c r="C548" s="2974">
        <v>2</v>
      </c>
      <c r="D548" s="2976">
        <v>204</v>
      </c>
      <c r="E548" s="2978">
        <v>103.24</v>
      </c>
      <c r="F548" s="2974" t="s">
        <v>3615</v>
      </c>
      <c r="G548" s="2973" t="s">
        <v>3616</v>
      </c>
    </row>
    <row r="549" spans="1:7" ht="15.6" hidden="1">
      <c r="A549" s="2973">
        <v>548</v>
      </c>
      <c r="B549" s="2974" t="s">
        <v>3768</v>
      </c>
      <c r="C549" s="2974">
        <v>3</v>
      </c>
      <c r="D549" s="2976">
        <v>301</v>
      </c>
      <c r="E549" s="2978">
        <v>103.24</v>
      </c>
      <c r="F549" s="2974" t="s">
        <v>3615</v>
      </c>
      <c r="G549" s="2973" t="s">
        <v>3616</v>
      </c>
    </row>
    <row r="550" spans="1:7" ht="15.6" hidden="1">
      <c r="A550" s="2973">
        <v>549</v>
      </c>
      <c r="B550" s="2974" t="s">
        <v>3768</v>
      </c>
      <c r="C550" s="2974">
        <v>3</v>
      </c>
      <c r="D550" s="2976">
        <v>302</v>
      </c>
      <c r="E550" s="2978">
        <v>117.9</v>
      </c>
      <c r="F550" s="2974" t="s">
        <v>3615</v>
      </c>
      <c r="G550" s="2973" t="s">
        <v>3616</v>
      </c>
    </row>
    <row r="551" spans="1:7" ht="15.6" hidden="1">
      <c r="A551" s="2973">
        <v>550</v>
      </c>
      <c r="B551" s="2974" t="s">
        <v>3768</v>
      </c>
      <c r="C551" s="2974">
        <v>3</v>
      </c>
      <c r="D551" s="2976">
        <v>303</v>
      </c>
      <c r="E551" s="2978">
        <v>117.9</v>
      </c>
      <c r="F551" s="2974" t="s">
        <v>3615</v>
      </c>
      <c r="G551" s="2973" t="s">
        <v>3616</v>
      </c>
    </row>
    <row r="552" spans="1:7" ht="15.6" hidden="1">
      <c r="A552" s="2973">
        <v>551</v>
      </c>
      <c r="B552" s="2974" t="s">
        <v>3768</v>
      </c>
      <c r="C552" s="2974">
        <v>3</v>
      </c>
      <c r="D552" s="2976">
        <v>304</v>
      </c>
      <c r="E552" s="2978">
        <v>103.24</v>
      </c>
      <c r="F552" s="2974" t="s">
        <v>3615</v>
      </c>
      <c r="G552" s="2973" t="s">
        <v>3616</v>
      </c>
    </row>
    <row r="553" spans="1:7" ht="15.6" hidden="1">
      <c r="A553" s="2973">
        <v>552</v>
      </c>
      <c r="B553" s="2974" t="s">
        <v>3768</v>
      </c>
      <c r="C553" s="2974">
        <v>4</v>
      </c>
      <c r="D553" s="2976">
        <v>401</v>
      </c>
      <c r="E553" s="2978">
        <v>103.24</v>
      </c>
      <c r="F553" s="2974" t="s">
        <v>3615</v>
      </c>
      <c r="G553" s="2973" t="s">
        <v>3616</v>
      </c>
    </row>
    <row r="554" spans="1:7" ht="15.6" hidden="1">
      <c r="A554" s="2973">
        <v>553</v>
      </c>
      <c r="B554" s="2974" t="s">
        <v>3768</v>
      </c>
      <c r="C554" s="2974">
        <v>4</v>
      </c>
      <c r="D554" s="2976">
        <v>402</v>
      </c>
      <c r="E554" s="2978">
        <v>117.9</v>
      </c>
      <c r="F554" s="2974" t="s">
        <v>3615</v>
      </c>
      <c r="G554" s="2973" t="s">
        <v>3616</v>
      </c>
    </row>
    <row r="555" spans="1:7" ht="15.6" hidden="1">
      <c r="A555" s="2973">
        <v>554</v>
      </c>
      <c r="B555" s="2974" t="s">
        <v>3768</v>
      </c>
      <c r="C555" s="2974">
        <v>4</v>
      </c>
      <c r="D555" s="2976">
        <v>403</v>
      </c>
      <c r="E555" s="2978">
        <v>117.9</v>
      </c>
      <c r="F555" s="2974" t="s">
        <v>3615</v>
      </c>
      <c r="G555" s="2973" t="s">
        <v>3616</v>
      </c>
    </row>
    <row r="556" spans="1:7" ht="15.6" hidden="1">
      <c r="A556" s="2973">
        <v>555</v>
      </c>
      <c r="B556" s="2974" t="s">
        <v>3768</v>
      </c>
      <c r="C556" s="2974">
        <v>4</v>
      </c>
      <c r="D556" s="2976">
        <v>404</v>
      </c>
      <c r="E556" s="2978">
        <v>103.24</v>
      </c>
      <c r="F556" s="2974" t="s">
        <v>3615</v>
      </c>
      <c r="G556" s="2973" t="s">
        <v>3616</v>
      </c>
    </row>
    <row r="557" spans="1:7" ht="15.6" hidden="1">
      <c r="A557" s="2973">
        <v>556</v>
      </c>
      <c r="B557" s="2974" t="s">
        <v>3768</v>
      </c>
      <c r="C557" s="2974">
        <v>5</v>
      </c>
      <c r="D557" s="2976">
        <v>501</v>
      </c>
      <c r="E557" s="2978">
        <v>103.24</v>
      </c>
      <c r="F557" s="2974" t="s">
        <v>3615</v>
      </c>
      <c r="G557" s="2973" t="s">
        <v>3616</v>
      </c>
    </row>
    <row r="558" spans="1:7" ht="15.6" hidden="1">
      <c r="A558" s="2973">
        <v>557</v>
      </c>
      <c r="B558" s="2974" t="s">
        <v>3768</v>
      </c>
      <c r="C558" s="2974">
        <v>5</v>
      </c>
      <c r="D558" s="2976">
        <v>502</v>
      </c>
      <c r="E558" s="2978">
        <v>117.9</v>
      </c>
      <c r="F558" s="2974" t="s">
        <v>3615</v>
      </c>
      <c r="G558" s="2973" t="s">
        <v>3616</v>
      </c>
    </row>
    <row r="559" spans="1:7" ht="15.6" hidden="1">
      <c r="A559" s="2973">
        <v>558</v>
      </c>
      <c r="B559" s="2974" t="s">
        <v>3768</v>
      </c>
      <c r="C559" s="2974">
        <v>5</v>
      </c>
      <c r="D559" s="2976">
        <v>503</v>
      </c>
      <c r="E559" s="2978">
        <v>117.9</v>
      </c>
      <c r="F559" s="2974" t="s">
        <v>3615</v>
      </c>
      <c r="G559" s="2973" t="s">
        <v>3616</v>
      </c>
    </row>
    <row r="560" spans="1:7" ht="15.6" hidden="1">
      <c r="A560" s="2973">
        <v>559</v>
      </c>
      <c r="B560" s="2974" t="s">
        <v>3768</v>
      </c>
      <c r="C560" s="2974">
        <v>5</v>
      </c>
      <c r="D560" s="2976">
        <v>504</v>
      </c>
      <c r="E560" s="2978">
        <v>103.24</v>
      </c>
      <c r="F560" s="2974" t="s">
        <v>3615</v>
      </c>
      <c r="G560" s="2973" t="s">
        <v>3616</v>
      </c>
    </row>
    <row r="561" spans="1:7" ht="15.6" hidden="1">
      <c r="A561" s="2973">
        <v>560</v>
      </c>
      <c r="B561" s="2974" t="s">
        <v>3768</v>
      </c>
      <c r="C561" s="2974">
        <v>6</v>
      </c>
      <c r="D561" s="2976">
        <v>601</v>
      </c>
      <c r="E561" s="2978">
        <v>103.24</v>
      </c>
      <c r="F561" s="2974" t="s">
        <v>3615</v>
      </c>
      <c r="G561" s="2973" t="s">
        <v>3616</v>
      </c>
    </row>
    <row r="562" spans="1:7" ht="15.6" hidden="1">
      <c r="A562" s="2973">
        <v>561</v>
      </c>
      <c r="B562" s="2974" t="s">
        <v>3768</v>
      </c>
      <c r="C562" s="2974">
        <v>6</v>
      </c>
      <c r="D562" s="2976">
        <v>602</v>
      </c>
      <c r="E562" s="2978">
        <v>117.9</v>
      </c>
      <c r="F562" s="2974" t="s">
        <v>3615</v>
      </c>
      <c r="G562" s="2973" t="s">
        <v>3616</v>
      </c>
    </row>
    <row r="563" spans="1:7" ht="15.6" hidden="1">
      <c r="A563" s="2973">
        <v>562</v>
      </c>
      <c r="B563" s="2974" t="s">
        <v>3768</v>
      </c>
      <c r="C563" s="2974">
        <v>6</v>
      </c>
      <c r="D563" s="2976">
        <v>603</v>
      </c>
      <c r="E563" s="2978">
        <v>117.9</v>
      </c>
      <c r="F563" s="2974" t="s">
        <v>3615</v>
      </c>
      <c r="G563" s="2973" t="s">
        <v>3616</v>
      </c>
    </row>
    <row r="564" spans="1:7" ht="15.6" hidden="1">
      <c r="A564" s="2973">
        <v>563</v>
      </c>
      <c r="B564" s="2974" t="s">
        <v>3768</v>
      </c>
      <c r="C564" s="2974">
        <v>6</v>
      </c>
      <c r="D564" s="2976">
        <v>604</v>
      </c>
      <c r="E564" s="2978">
        <v>103.24</v>
      </c>
      <c r="F564" s="2974" t="s">
        <v>3615</v>
      </c>
      <c r="G564" s="2973" t="s">
        <v>3616</v>
      </c>
    </row>
    <row r="565" spans="1:7" ht="15.6" hidden="1">
      <c r="A565" s="2973">
        <v>564</v>
      </c>
      <c r="B565" s="2974" t="s">
        <v>3768</v>
      </c>
      <c r="C565" s="2974">
        <v>7</v>
      </c>
      <c r="D565" s="2976">
        <v>701</v>
      </c>
      <c r="E565" s="2978">
        <v>103.24</v>
      </c>
      <c r="F565" s="2974" t="s">
        <v>3615</v>
      </c>
      <c r="G565" s="2973" t="s">
        <v>3616</v>
      </c>
    </row>
    <row r="566" spans="1:7" ht="15.6" hidden="1">
      <c r="A566" s="2973">
        <v>565</v>
      </c>
      <c r="B566" s="2974" t="s">
        <v>3768</v>
      </c>
      <c r="C566" s="2974">
        <v>7</v>
      </c>
      <c r="D566" s="2976">
        <v>702</v>
      </c>
      <c r="E566" s="2978">
        <v>117.9</v>
      </c>
      <c r="F566" s="2974" t="s">
        <v>3615</v>
      </c>
      <c r="G566" s="2973" t="s">
        <v>3616</v>
      </c>
    </row>
    <row r="567" spans="1:7" ht="15.6" hidden="1">
      <c r="A567" s="2973">
        <v>566</v>
      </c>
      <c r="B567" s="2974" t="s">
        <v>3768</v>
      </c>
      <c r="C567" s="2974">
        <v>7</v>
      </c>
      <c r="D567" s="2976">
        <v>703</v>
      </c>
      <c r="E567" s="2978">
        <v>117.9</v>
      </c>
      <c r="F567" s="2974" t="s">
        <v>3615</v>
      </c>
      <c r="G567" s="2973" t="s">
        <v>3616</v>
      </c>
    </row>
    <row r="568" spans="1:7" ht="15.6" hidden="1">
      <c r="A568" s="2973">
        <v>567</v>
      </c>
      <c r="B568" s="2974" t="s">
        <v>3768</v>
      </c>
      <c r="C568" s="2974">
        <v>7</v>
      </c>
      <c r="D568" s="2976">
        <v>704</v>
      </c>
      <c r="E568" s="2978">
        <v>103.24</v>
      </c>
      <c r="F568" s="2974" t="s">
        <v>3615</v>
      </c>
      <c r="G568" s="2973" t="s">
        <v>3616</v>
      </c>
    </row>
    <row r="569" spans="1:7" ht="15.6" hidden="1">
      <c r="A569" s="2973">
        <v>568</v>
      </c>
      <c r="B569" s="2974" t="s">
        <v>3768</v>
      </c>
      <c r="C569" s="2974">
        <v>8</v>
      </c>
      <c r="D569" s="2976">
        <v>801</v>
      </c>
      <c r="E569" s="2978">
        <v>103.24</v>
      </c>
      <c r="F569" s="2974" t="s">
        <v>3615</v>
      </c>
      <c r="G569" s="2973" t="s">
        <v>3616</v>
      </c>
    </row>
    <row r="570" spans="1:7" ht="15.6" hidden="1">
      <c r="A570" s="2973">
        <v>569</v>
      </c>
      <c r="B570" s="2974" t="s">
        <v>3768</v>
      </c>
      <c r="C570" s="2974">
        <v>8</v>
      </c>
      <c r="D570" s="2976">
        <v>802</v>
      </c>
      <c r="E570" s="2978">
        <v>117.9</v>
      </c>
      <c r="F570" s="2974" t="s">
        <v>3615</v>
      </c>
      <c r="G570" s="2973" t="s">
        <v>3616</v>
      </c>
    </row>
    <row r="571" spans="1:7" ht="15.6" hidden="1">
      <c r="A571" s="2973">
        <v>570</v>
      </c>
      <c r="B571" s="2974" t="s">
        <v>3768</v>
      </c>
      <c r="C571" s="2974">
        <v>8</v>
      </c>
      <c r="D571" s="2976">
        <v>803</v>
      </c>
      <c r="E571" s="2978">
        <v>117.9</v>
      </c>
      <c r="F571" s="2974" t="s">
        <v>3615</v>
      </c>
      <c r="G571" s="2973" t="s">
        <v>3616</v>
      </c>
    </row>
    <row r="572" spans="1:7" ht="15.6" hidden="1">
      <c r="A572" s="2973">
        <v>571</v>
      </c>
      <c r="B572" s="2974" t="s">
        <v>3768</v>
      </c>
      <c r="C572" s="2974">
        <v>8</v>
      </c>
      <c r="D572" s="2976">
        <v>804</v>
      </c>
      <c r="E572" s="2978">
        <v>103.24</v>
      </c>
      <c r="F572" s="2974" t="s">
        <v>3615</v>
      </c>
      <c r="G572" s="2973" t="s">
        <v>3616</v>
      </c>
    </row>
    <row r="573" spans="1:7" ht="15.6" hidden="1">
      <c r="A573" s="2973">
        <v>572</v>
      </c>
      <c r="B573" s="2974" t="s">
        <v>3768</v>
      </c>
      <c r="C573" s="2974">
        <v>9</v>
      </c>
      <c r="D573" s="2976">
        <v>901</v>
      </c>
      <c r="E573" s="2978">
        <v>90.29</v>
      </c>
      <c r="F573" s="2974" t="s">
        <v>3615</v>
      </c>
      <c r="G573" s="2973" t="s">
        <v>3616</v>
      </c>
    </row>
    <row r="574" spans="1:7" ht="15.6" hidden="1">
      <c r="A574" s="2973">
        <v>573</v>
      </c>
      <c r="B574" s="2974" t="s">
        <v>3768</v>
      </c>
      <c r="C574" s="2974">
        <v>9</v>
      </c>
      <c r="D574" s="2976">
        <v>902</v>
      </c>
      <c r="E574" s="2978">
        <v>107.89</v>
      </c>
      <c r="F574" s="2974" t="s">
        <v>3615</v>
      </c>
      <c r="G574" s="2973" t="s">
        <v>3616</v>
      </c>
    </row>
    <row r="575" spans="1:7" ht="15.6" hidden="1">
      <c r="A575" s="2973">
        <v>574</v>
      </c>
      <c r="B575" s="2974" t="s">
        <v>3768</v>
      </c>
      <c r="C575" s="2974">
        <v>9</v>
      </c>
      <c r="D575" s="2976">
        <v>903</v>
      </c>
      <c r="E575" s="2978">
        <v>107.89</v>
      </c>
      <c r="F575" s="2974" t="s">
        <v>3615</v>
      </c>
      <c r="G575" s="2973" t="s">
        <v>3616</v>
      </c>
    </row>
    <row r="576" spans="1:7" ht="15.6" hidden="1">
      <c r="A576" s="2973">
        <v>575</v>
      </c>
      <c r="B576" s="2974" t="s">
        <v>3768</v>
      </c>
      <c r="C576" s="2974">
        <v>9</v>
      </c>
      <c r="D576" s="2976">
        <v>904</v>
      </c>
      <c r="E576" s="2978">
        <v>90.29</v>
      </c>
      <c r="F576" s="2974" t="s">
        <v>3615</v>
      </c>
      <c r="G576" s="2973" t="s">
        <v>3616</v>
      </c>
    </row>
    <row r="577" spans="1:7" ht="15.6" hidden="1">
      <c r="A577" s="2973">
        <v>576</v>
      </c>
      <c r="B577" s="2974" t="s">
        <v>3787</v>
      </c>
      <c r="C577" s="2973">
        <v>-1</v>
      </c>
      <c r="D577" s="2973" t="s">
        <v>3788</v>
      </c>
      <c r="E577" s="2973">
        <v>7.84</v>
      </c>
      <c r="F577" s="2973" t="s">
        <v>3619</v>
      </c>
      <c r="G577" s="2974" t="s">
        <v>3649</v>
      </c>
    </row>
    <row r="578" spans="1:7" ht="15.6" hidden="1">
      <c r="A578" s="2973">
        <v>577</v>
      </c>
      <c r="B578" s="2974" t="s">
        <v>3787</v>
      </c>
      <c r="C578" s="2973">
        <v>-1</v>
      </c>
      <c r="D578" s="2973" t="s">
        <v>3789</v>
      </c>
      <c r="E578" s="2973">
        <v>7.71</v>
      </c>
      <c r="F578" s="2973" t="s">
        <v>3619</v>
      </c>
      <c r="G578" s="2974" t="s">
        <v>3649</v>
      </c>
    </row>
    <row r="579" spans="1:7" ht="15.6" hidden="1">
      <c r="A579" s="2973">
        <v>578</v>
      </c>
      <c r="B579" s="2974" t="s">
        <v>3787</v>
      </c>
      <c r="C579" s="2973">
        <v>-1</v>
      </c>
      <c r="D579" s="2973" t="s">
        <v>3790</v>
      </c>
      <c r="E579" s="2973">
        <v>11.37</v>
      </c>
      <c r="F579" s="2973" t="s">
        <v>3619</v>
      </c>
      <c r="G579" s="2974" t="s">
        <v>3620</v>
      </c>
    </row>
    <row r="580" spans="1:7" ht="15.6" hidden="1">
      <c r="A580" s="2973">
        <v>579</v>
      </c>
      <c r="B580" s="2974" t="s">
        <v>3791</v>
      </c>
      <c r="C580" s="2973">
        <v>-1</v>
      </c>
      <c r="D580" s="2973" t="s">
        <v>3792</v>
      </c>
      <c r="E580" s="2973">
        <v>14.11</v>
      </c>
      <c r="F580" s="2973" t="s">
        <v>3619</v>
      </c>
      <c r="G580" s="2974" t="s">
        <v>3620</v>
      </c>
    </row>
    <row r="581" spans="1:7" ht="15.6" hidden="1">
      <c r="A581" s="2973">
        <v>580</v>
      </c>
      <c r="B581" s="2974" t="s">
        <v>3791</v>
      </c>
      <c r="C581" s="2973">
        <v>-1</v>
      </c>
      <c r="D581" s="2973" t="s">
        <v>3793</v>
      </c>
      <c r="E581" s="2973">
        <v>8.23</v>
      </c>
      <c r="F581" s="2973" t="s">
        <v>3619</v>
      </c>
      <c r="G581" s="2974" t="s">
        <v>3649</v>
      </c>
    </row>
    <row r="582" spans="1:7" ht="15.6" hidden="1">
      <c r="A582" s="2973">
        <v>581</v>
      </c>
      <c r="B582" s="2974" t="s">
        <v>3787</v>
      </c>
      <c r="C582" s="2973">
        <v>-1</v>
      </c>
      <c r="D582" s="2973" t="s">
        <v>3794</v>
      </c>
      <c r="E582" s="2973">
        <v>7.62</v>
      </c>
      <c r="F582" s="2973" t="s">
        <v>3619</v>
      </c>
      <c r="G582" s="2974" t="s">
        <v>3649</v>
      </c>
    </row>
    <row r="583" spans="1:7" ht="15.6" hidden="1">
      <c r="A583" s="2973">
        <v>582</v>
      </c>
      <c r="B583" s="2974" t="s">
        <v>3787</v>
      </c>
      <c r="C583" s="2973">
        <v>-1</v>
      </c>
      <c r="D583" s="2973" t="s">
        <v>3795</v>
      </c>
      <c r="E583" s="2973">
        <v>17.48</v>
      </c>
      <c r="F583" s="2973" t="s">
        <v>3619</v>
      </c>
      <c r="G583" s="2974" t="s">
        <v>3796</v>
      </c>
    </row>
    <row r="584" spans="1:7" ht="15.6" hidden="1">
      <c r="A584" s="2973">
        <v>583</v>
      </c>
      <c r="B584" s="2974" t="s">
        <v>3797</v>
      </c>
      <c r="C584" s="2973">
        <v>-1</v>
      </c>
      <c r="D584" s="2973" t="s">
        <v>3798</v>
      </c>
      <c r="E584" s="2973">
        <v>8.76</v>
      </c>
      <c r="F584" s="2973" t="s">
        <v>3619</v>
      </c>
      <c r="G584" s="2974" t="s">
        <v>3796</v>
      </c>
    </row>
    <row r="585" spans="1:7" ht="15.6" hidden="1">
      <c r="A585" s="2973">
        <v>584</v>
      </c>
      <c r="B585" s="2974" t="s">
        <v>3797</v>
      </c>
      <c r="C585" s="2973">
        <v>-1</v>
      </c>
      <c r="D585" s="2973" t="s">
        <v>3799</v>
      </c>
      <c r="E585" s="2973">
        <v>12.04</v>
      </c>
      <c r="F585" s="2973" t="s">
        <v>3619</v>
      </c>
      <c r="G585" s="2974" t="s">
        <v>3568</v>
      </c>
    </row>
    <row r="586" spans="1:7" ht="15.6" hidden="1">
      <c r="A586" s="2973">
        <v>585</v>
      </c>
      <c r="B586" s="2974" t="s">
        <v>3800</v>
      </c>
      <c r="C586" s="2973">
        <v>-1</v>
      </c>
      <c r="D586" s="2973" t="s">
        <v>3801</v>
      </c>
      <c r="E586" s="2973">
        <v>8.17</v>
      </c>
      <c r="F586" s="2973" t="s">
        <v>3619</v>
      </c>
      <c r="G586" s="2974" t="s">
        <v>3568</v>
      </c>
    </row>
    <row r="587" spans="1:7" ht="15.6" hidden="1">
      <c r="A587" s="2973">
        <v>586</v>
      </c>
      <c r="B587" s="2974" t="s">
        <v>3800</v>
      </c>
      <c r="C587" s="2973">
        <v>-1</v>
      </c>
      <c r="D587" s="2973" t="s">
        <v>3802</v>
      </c>
      <c r="E587" s="2973">
        <v>11.46</v>
      </c>
      <c r="F587" s="2973" t="s">
        <v>3619</v>
      </c>
      <c r="G587" s="2974" t="s">
        <v>3568</v>
      </c>
    </row>
    <row r="588" spans="1:7" ht="15.6" hidden="1">
      <c r="A588" s="2973">
        <v>587</v>
      </c>
      <c r="B588" s="2974" t="s">
        <v>3800</v>
      </c>
      <c r="C588" s="2973">
        <v>-1</v>
      </c>
      <c r="D588" s="2973" t="s">
        <v>3803</v>
      </c>
      <c r="E588" s="2973">
        <v>12.04</v>
      </c>
      <c r="F588" s="2973" t="s">
        <v>3619</v>
      </c>
      <c r="G588" s="2974" t="s">
        <v>3568</v>
      </c>
    </row>
    <row r="589" spans="1:7" ht="15.6" hidden="1">
      <c r="A589" s="2973">
        <v>588</v>
      </c>
      <c r="B589" s="2974" t="s">
        <v>3800</v>
      </c>
      <c r="C589" s="2973">
        <v>-1</v>
      </c>
      <c r="D589" s="2973" t="s">
        <v>3804</v>
      </c>
      <c r="E589" s="2973">
        <v>8.76</v>
      </c>
      <c r="F589" s="2973" t="s">
        <v>3619</v>
      </c>
      <c r="G589" s="2974" t="s">
        <v>3568</v>
      </c>
    </row>
    <row r="590" spans="1:7" ht="15.6" hidden="1">
      <c r="A590" s="2973">
        <v>589</v>
      </c>
      <c r="B590" s="2974" t="s">
        <v>3800</v>
      </c>
      <c r="C590" s="2973">
        <v>-1</v>
      </c>
      <c r="D590" s="2973" t="s">
        <v>3805</v>
      </c>
      <c r="E590" s="2973">
        <v>15.01</v>
      </c>
      <c r="F590" s="2973" t="s">
        <v>3619</v>
      </c>
      <c r="G590" s="2974" t="s">
        <v>3568</v>
      </c>
    </row>
    <row r="591" spans="1:7" ht="15.6" hidden="1">
      <c r="A591" s="2973">
        <v>590</v>
      </c>
      <c r="B591" s="2974" t="s">
        <v>3800</v>
      </c>
      <c r="C591" s="2973">
        <v>-1</v>
      </c>
      <c r="D591" s="2973" t="s">
        <v>3806</v>
      </c>
      <c r="E591" s="2973">
        <v>9.19</v>
      </c>
      <c r="F591" s="2973" t="s">
        <v>3619</v>
      </c>
      <c r="G591" s="2974" t="s">
        <v>3568</v>
      </c>
    </row>
    <row r="592" spans="1:7" ht="15.6" hidden="1">
      <c r="A592" s="2973">
        <v>591</v>
      </c>
      <c r="B592" s="2974" t="s">
        <v>3800</v>
      </c>
      <c r="C592" s="2973">
        <v>-1</v>
      </c>
      <c r="D592" s="2973" t="s">
        <v>3807</v>
      </c>
      <c r="E592" s="2973">
        <v>9.92</v>
      </c>
      <c r="F592" s="2973" t="s">
        <v>3619</v>
      </c>
      <c r="G592" s="2974" t="s">
        <v>3568</v>
      </c>
    </row>
    <row r="593" spans="1:7" ht="15.6" hidden="1">
      <c r="A593" s="2973">
        <v>592</v>
      </c>
      <c r="B593" s="2974" t="s">
        <v>3800</v>
      </c>
      <c r="C593" s="2973">
        <v>-1</v>
      </c>
      <c r="D593" s="2973" t="s">
        <v>3808</v>
      </c>
      <c r="E593" s="2973">
        <v>10.95</v>
      </c>
      <c r="F593" s="2973" t="s">
        <v>3619</v>
      </c>
      <c r="G593" s="2974" t="s">
        <v>3568</v>
      </c>
    </row>
    <row r="594" spans="1:7" ht="15.6" hidden="1">
      <c r="A594" s="2973">
        <v>593</v>
      </c>
      <c r="B594" s="2974" t="s">
        <v>3800</v>
      </c>
      <c r="C594" s="2973">
        <v>-1</v>
      </c>
      <c r="D594" s="2973" t="s">
        <v>3809</v>
      </c>
      <c r="E594" s="2973">
        <v>17.37</v>
      </c>
      <c r="F594" s="2973" t="s">
        <v>3619</v>
      </c>
      <c r="G594" s="2974" t="s">
        <v>3568</v>
      </c>
    </row>
    <row r="595" spans="1:7" ht="15.6" hidden="1">
      <c r="A595" s="2973">
        <v>594</v>
      </c>
      <c r="B595" s="2974" t="s">
        <v>3800</v>
      </c>
      <c r="C595" s="2973">
        <v>-1</v>
      </c>
      <c r="D595" s="2973" t="s">
        <v>3810</v>
      </c>
      <c r="E595" s="2973">
        <v>13.79</v>
      </c>
      <c r="F595" s="2973" t="s">
        <v>3619</v>
      </c>
      <c r="G595" s="2974" t="s">
        <v>3568</v>
      </c>
    </row>
    <row r="596" spans="1:7" ht="15.6" hidden="1">
      <c r="A596" s="2973">
        <v>595</v>
      </c>
      <c r="B596" s="2974" t="s">
        <v>3800</v>
      </c>
      <c r="C596" s="2973">
        <v>-1</v>
      </c>
      <c r="D596" s="2973" t="s">
        <v>3811</v>
      </c>
      <c r="E596" s="2973">
        <v>13.79</v>
      </c>
      <c r="F596" s="2973" t="s">
        <v>3619</v>
      </c>
      <c r="G596" s="2974" t="s">
        <v>3568</v>
      </c>
    </row>
    <row r="597" spans="1:7" ht="15.6" hidden="1">
      <c r="A597" s="2973">
        <v>596</v>
      </c>
      <c r="B597" s="2974" t="s">
        <v>3800</v>
      </c>
      <c r="C597" s="2973">
        <v>-1</v>
      </c>
      <c r="D597" s="2973" t="s">
        <v>3812</v>
      </c>
      <c r="E597" s="2973">
        <v>8.68</v>
      </c>
      <c r="F597" s="2973" t="s">
        <v>3619</v>
      </c>
      <c r="G597" s="2974" t="s">
        <v>3568</v>
      </c>
    </row>
    <row r="598" spans="1:7" ht="15.6" hidden="1">
      <c r="A598" s="2973">
        <v>597</v>
      </c>
      <c r="B598" s="2974" t="s">
        <v>3800</v>
      </c>
      <c r="C598" s="2973">
        <v>-1</v>
      </c>
      <c r="D598" s="2973" t="s">
        <v>3813</v>
      </c>
      <c r="E598" s="2973">
        <v>15.55</v>
      </c>
      <c r="F598" s="2973" t="s">
        <v>3619</v>
      </c>
      <c r="G598" s="2974" t="s">
        <v>3568</v>
      </c>
    </row>
    <row r="599" spans="1:7" ht="15.6" hidden="1">
      <c r="A599" s="2973">
        <v>598</v>
      </c>
      <c r="B599" s="2974" t="s">
        <v>3800</v>
      </c>
      <c r="C599" s="2973">
        <v>-1</v>
      </c>
      <c r="D599" s="2973" t="s">
        <v>3814</v>
      </c>
      <c r="E599" s="2973">
        <v>13.79</v>
      </c>
      <c r="F599" s="2973" t="s">
        <v>3619</v>
      </c>
      <c r="G599" s="2974" t="s">
        <v>3568</v>
      </c>
    </row>
    <row r="600" spans="1:7" ht="15.6" hidden="1">
      <c r="A600" s="2973">
        <v>599</v>
      </c>
      <c r="B600" s="2974" t="s">
        <v>3800</v>
      </c>
      <c r="C600" s="2973">
        <v>-1</v>
      </c>
      <c r="D600" s="2973" t="s">
        <v>3815</v>
      </c>
      <c r="E600" s="2973">
        <v>13.79</v>
      </c>
      <c r="F600" s="2973" t="s">
        <v>3619</v>
      </c>
      <c r="G600" s="2974" t="s">
        <v>3568</v>
      </c>
    </row>
    <row r="601" spans="1:7" ht="15.6" hidden="1">
      <c r="A601" s="2973">
        <v>600</v>
      </c>
      <c r="B601" s="2974" t="s">
        <v>3800</v>
      </c>
      <c r="C601" s="2973">
        <v>-1</v>
      </c>
      <c r="D601" s="2973" t="s">
        <v>3816</v>
      </c>
      <c r="E601" s="2973">
        <v>9.91</v>
      </c>
      <c r="F601" s="2973" t="s">
        <v>3619</v>
      </c>
      <c r="G601" s="2974" t="s">
        <v>3568</v>
      </c>
    </row>
    <row r="602" spans="1:7" ht="15.6" hidden="1">
      <c r="A602" s="2973">
        <v>601</v>
      </c>
      <c r="B602" s="2974" t="s">
        <v>3800</v>
      </c>
      <c r="C602" s="2973">
        <v>-1</v>
      </c>
      <c r="D602" s="2973" t="s">
        <v>3817</v>
      </c>
      <c r="E602" s="2973">
        <v>7.39</v>
      </c>
      <c r="F602" s="2973" t="s">
        <v>3619</v>
      </c>
      <c r="G602" s="2974" t="s">
        <v>3568</v>
      </c>
    </row>
    <row r="603" spans="1:7" ht="15.6" hidden="1">
      <c r="A603" s="2973">
        <v>602</v>
      </c>
      <c r="B603" s="2974" t="s">
        <v>3800</v>
      </c>
      <c r="C603" s="2973">
        <v>-1</v>
      </c>
      <c r="D603" s="2973" t="s">
        <v>3818</v>
      </c>
      <c r="E603" s="2973">
        <v>7.84</v>
      </c>
      <c r="F603" s="2973" t="s">
        <v>3619</v>
      </c>
      <c r="G603" s="2974" t="s">
        <v>3568</v>
      </c>
    </row>
    <row r="604" spans="1:7" ht="15.6" hidden="1">
      <c r="A604" s="2973">
        <v>603</v>
      </c>
      <c r="B604" s="2974" t="s">
        <v>3800</v>
      </c>
      <c r="C604" s="2973">
        <v>-1</v>
      </c>
      <c r="D604" s="2973" t="s">
        <v>3819</v>
      </c>
      <c r="E604" s="2973">
        <v>15.31</v>
      </c>
      <c r="F604" s="2973" t="s">
        <v>3619</v>
      </c>
      <c r="G604" s="2974" t="s">
        <v>3568</v>
      </c>
    </row>
    <row r="605" spans="1:7" ht="15.6" hidden="1">
      <c r="A605" s="2973">
        <v>604</v>
      </c>
      <c r="B605" s="2974" t="s">
        <v>3800</v>
      </c>
      <c r="C605" s="2973">
        <v>-1</v>
      </c>
      <c r="D605" s="2973" t="s">
        <v>3820</v>
      </c>
      <c r="E605" s="2973">
        <v>12.19</v>
      </c>
      <c r="F605" s="2973" t="s">
        <v>3619</v>
      </c>
      <c r="G605" s="2974" t="s">
        <v>3568</v>
      </c>
    </row>
    <row r="606" spans="1:7" ht="15.6" hidden="1">
      <c r="A606" s="2973">
        <v>605</v>
      </c>
      <c r="B606" s="2974" t="s">
        <v>3800</v>
      </c>
      <c r="C606" s="2973">
        <v>-1</v>
      </c>
      <c r="D606" s="2973" t="s">
        <v>3821</v>
      </c>
      <c r="E606" s="2973">
        <v>12.85</v>
      </c>
      <c r="F606" s="2973" t="s">
        <v>3619</v>
      </c>
      <c r="G606" s="2974" t="s">
        <v>3568</v>
      </c>
    </row>
    <row r="607" spans="1:7" ht="15.6" hidden="1">
      <c r="A607" s="2973">
        <v>606</v>
      </c>
      <c r="B607" s="2974" t="s">
        <v>3800</v>
      </c>
      <c r="C607" s="2973">
        <v>-1</v>
      </c>
      <c r="D607" s="2973" t="s">
        <v>3822</v>
      </c>
      <c r="E607" s="2973">
        <v>14.64</v>
      </c>
      <c r="F607" s="2973" t="s">
        <v>3619</v>
      </c>
      <c r="G607" s="2974" t="s">
        <v>3568</v>
      </c>
    </row>
    <row r="608" spans="1:7" ht="15.6" hidden="1">
      <c r="A608" s="2973">
        <v>607</v>
      </c>
      <c r="B608" s="2974" t="s">
        <v>3800</v>
      </c>
      <c r="C608" s="2973">
        <v>-1</v>
      </c>
      <c r="D608" s="2973" t="s">
        <v>3823</v>
      </c>
      <c r="E608" s="2973">
        <v>13.87</v>
      </c>
      <c r="F608" s="2973" t="s">
        <v>3619</v>
      </c>
      <c r="G608" s="2974" t="s">
        <v>3568</v>
      </c>
    </row>
    <row r="609" spans="1:7" ht="15.6" hidden="1">
      <c r="A609" s="2973">
        <v>608</v>
      </c>
      <c r="B609" s="2974" t="s">
        <v>3800</v>
      </c>
      <c r="C609" s="2973">
        <v>-1</v>
      </c>
      <c r="D609" s="2973" t="s">
        <v>3824</v>
      </c>
      <c r="E609" s="2973">
        <v>13.87</v>
      </c>
      <c r="F609" s="2973" t="s">
        <v>3619</v>
      </c>
      <c r="G609" s="2974" t="s">
        <v>3568</v>
      </c>
    </row>
    <row r="610" spans="1:7" ht="15.6" hidden="1">
      <c r="A610" s="2973">
        <v>609</v>
      </c>
      <c r="B610" s="2974" t="s">
        <v>3800</v>
      </c>
      <c r="C610" s="2973">
        <v>-1</v>
      </c>
      <c r="D610" s="2973" t="s">
        <v>3825</v>
      </c>
      <c r="E610" s="2973">
        <v>14.64</v>
      </c>
      <c r="F610" s="2973" t="s">
        <v>3619</v>
      </c>
      <c r="G610" s="2974" t="s">
        <v>3568</v>
      </c>
    </row>
    <row r="611" spans="1:7" ht="15.6" hidden="1">
      <c r="A611" s="2973">
        <v>610</v>
      </c>
      <c r="B611" s="2974" t="s">
        <v>3800</v>
      </c>
      <c r="C611" s="2973">
        <v>-1</v>
      </c>
      <c r="D611" s="2973" t="s">
        <v>3826</v>
      </c>
      <c r="E611" s="2973">
        <v>12.58</v>
      </c>
      <c r="F611" s="2973" t="s">
        <v>3619</v>
      </c>
      <c r="G611" s="2974" t="s">
        <v>3568</v>
      </c>
    </row>
    <row r="612" spans="1:7" ht="15.6" hidden="1">
      <c r="A612" s="2973">
        <v>611</v>
      </c>
      <c r="B612" s="2974" t="s">
        <v>3800</v>
      </c>
      <c r="C612" s="2974">
        <v>1</v>
      </c>
      <c r="D612" s="2976">
        <v>103</v>
      </c>
      <c r="E612" s="2976">
        <v>102.32</v>
      </c>
      <c r="F612" s="2974" t="s">
        <v>3615</v>
      </c>
      <c r="G612" s="2973" t="s">
        <v>3616</v>
      </c>
    </row>
    <row r="613" spans="1:7" ht="15.6" hidden="1">
      <c r="A613" s="2973">
        <v>612</v>
      </c>
      <c r="B613" s="2974" t="s">
        <v>3800</v>
      </c>
      <c r="C613" s="2974">
        <v>2</v>
      </c>
      <c r="D613" s="2976">
        <v>201</v>
      </c>
      <c r="E613" s="2976">
        <v>135.88999999999999</v>
      </c>
      <c r="F613" s="2974" t="s">
        <v>3615</v>
      </c>
      <c r="G613" s="2973" t="s">
        <v>3616</v>
      </c>
    </row>
    <row r="614" spans="1:7" ht="15.6" hidden="1">
      <c r="A614" s="2973">
        <v>613</v>
      </c>
      <c r="B614" s="2974" t="s">
        <v>3800</v>
      </c>
      <c r="C614" s="2974">
        <v>2</v>
      </c>
      <c r="D614" s="2976">
        <v>202</v>
      </c>
      <c r="E614" s="2976">
        <v>115.55</v>
      </c>
      <c r="F614" s="2974" t="s">
        <v>3615</v>
      </c>
      <c r="G614" s="2973" t="s">
        <v>3616</v>
      </c>
    </row>
    <row r="615" spans="1:7" ht="15.6" hidden="1">
      <c r="A615" s="2973">
        <v>614</v>
      </c>
      <c r="B615" s="2974" t="s">
        <v>3800</v>
      </c>
      <c r="C615" s="2974">
        <v>2</v>
      </c>
      <c r="D615" s="2976">
        <v>203</v>
      </c>
      <c r="E615" s="2976">
        <v>115.55</v>
      </c>
      <c r="F615" s="2974" t="s">
        <v>3615</v>
      </c>
      <c r="G615" s="2973" t="s">
        <v>3616</v>
      </c>
    </row>
    <row r="616" spans="1:7" ht="15.6" hidden="1">
      <c r="A616" s="2973">
        <v>615</v>
      </c>
      <c r="B616" s="2974" t="s">
        <v>3800</v>
      </c>
      <c r="C616" s="2974">
        <v>2</v>
      </c>
      <c r="D616" s="2976">
        <v>204</v>
      </c>
      <c r="E616" s="2976">
        <v>135.88999999999999</v>
      </c>
      <c r="F616" s="2974" t="s">
        <v>3615</v>
      </c>
      <c r="G616" s="2973" t="s">
        <v>3616</v>
      </c>
    </row>
    <row r="617" spans="1:7" ht="15.6" hidden="1">
      <c r="A617" s="2973">
        <v>616</v>
      </c>
      <c r="B617" s="2974" t="s">
        <v>3800</v>
      </c>
      <c r="C617" s="2974">
        <v>3</v>
      </c>
      <c r="D617" s="2976">
        <v>301</v>
      </c>
      <c r="E617" s="2976">
        <v>135.88999999999999</v>
      </c>
      <c r="F617" s="2974" t="s">
        <v>3615</v>
      </c>
      <c r="G617" s="2973" t="s">
        <v>3616</v>
      </c>
    </row>
    <row r="618" spans="1:7" ht="15.6" hidden="1">
      <c r="A618" s="2973">
        <v>617</v>
      </c>
      <c r="B618" s="2974" t="s">
        <v>3800</v>
      </c>
      <c r="C618" s="2974">
        <v>3</v>
      </c>
      <c r="D618" s="2976">
        <v>302</v>
      </c>
      <c r="E618" s="2976">
        <v>115.55</v>
      </c>
      <c r="F618" s="2974" t="s">
        <v>3615</v>
      </c>
      <c r="G618" s="2973" t="s">
        <v>3616</v>
      </c>
    </row>
    <row r="619" spans="1:7" ht="15.6" hidden="1">
      <c r="A619" s="2973">
        <v>618</v>
      </c>
      <c r="B619" s="2974" t="s">
        <v>3800</v>
      </c>
      <c r="C619" s="2974">
        <v>3</v>
      </c>
      <c r="D619" s="2976">
        <v>303</v>
      </c>
      <c r="E619" s="2976">
        <v>115.55</v>
      </c>
      <c r="F619" s="2974" t="s">
        <v>3615</v>
      </c>
      <c r="G619" s="2973" t="s">
        <v>3616</v>
      </c>
    </row>
    <row r="620" spans="1:7" ht="15.6" hidden="1">
      <c r="A620" s="2973">
        <v>619</v>
      </c>
      <c r="B620" s="2974" t="s">
        <v>3800</v>
      </c>
      <c r="C620" s="2974">
        <v>3</v>
      </c>
      <c r="D620" s="2976">
        <v>304</v>
      </c>
      <c r="E620" s="2976">
        <v>135.88999999999999</v>
      </c>
      <c r="F620" s="2974" t="s">
        <v>3615</v>
      </c>
      <c r="G620" s="2973" t="s">
        <v>3616</v>
      </c>
    </row>
    <row r="621" spans="1:7" ht="15.6" hidden="1">
      <c r="A621" s="2973">
        <v>620</v>
      </c>
      <c r="B621" s="2974" t="s">
        <v>3800</v>
      </c>
      <c r="C621" s="2974">
        <v>4</v>
      </c>
      <c r="D621" s="2976">
        <v>401</v>
      </c>
      <c r="E621" s="2976">
        <v>135.88999999999999</v>
      </c>
      <c r="F621" s="2974" t="s">
        <v>3615</v>
      </c>
      <c r="G621" s="2973" t="s">
        <v>3616</v>
      </c>
    </row>
    <row r="622" spans="1:7" ht="15.6" hidden="1">
      <c r="A622" s="2973">
        <v>621</v>
      </c>
      <c r="B622" s="2974" t="s">
        <v>3800</v>
      </c>
      <c r="C622" s="2974">
        <v>4</v>
      </c>
      <c r="D622" s="2976">
        <v>402</v>
      </c>
      <c r="E622" s="2976">
        <v>115.55</v>
      </c>
      <c r="F622" s="2974" t="s">
        <v>3615</v>
      </c>
      <c r="G622" s="2973" t="s">
        <v>3616</v>
      </c>
    </row>
    <row r="623" spans="1:7" ht="15.6" hidden="1">
      <c r="A623" s="2973">
        <v>622</v>
      </c>
      <c r="B623" s="2974" t="s">
        <v>3800</v>
      </c>
      <c r="C623" s="2974">
        <v>4</v>
      </c>
      <c r="D623" s="2976">
        <v>403</v>
      </c>
      <c r="E623" s="2976">
        <v>115.55</v>
      </c>
      <c r="F623" s="2974" t="s">
        <v>3615</v>
      </c>
      <c r="G623" s="2973" t="s">
        <v>3616</v>
      </c>
    </row>
    <row r="624" spans="1:7" ht="15.6" hidden="1">
      <c r="A624" s="2973">
        <v>623</v>
      </c>
      <c r="B624" s="2974" t="s">
        <v>3800</v>
      </c>
      <c r="C624" s="2974">
        <v>4</v>
      </c>
      <c r="D624" s="2976">
        <v>404</v>
      </c>
      <c r="E624" s="2976">
        <v>135.88999999999999</v>
      </c>
      <c r="F624" s="2974" t="s">
        <v>3615</v>
      </c>
      <c r="G624" s="2973" t="s">
        <v>3616</v>
      </c>
    </row>
    <row r="625" spans="1:7" ht="15.6" hidden="1">
      <c r="A625" s="2973">
        <v>624</v>
      </c>
      <c r="B625" s="2974" t="s">
        <v>3800</v>
      </c>
      <c r="C625" s="2974">
        <v>5</v>
      </c>
      <c r="D625" s="2976">
        <v>501</v>
      </c>
      <c r="E625" s="2976">
        <v>135.88999999999999</v>
      </c>
      <c r="F625" s="2974" t="s">
        <v>3615</v>
      </c>
      <c r="G625" s="2973" t="s">
        <v>3616</v>
      </c>
    </row>
    <row r="626" spans="1:7" ht="15.6" hidden="1">
      <c r="A626" s="2973">
        <v>625</v>
      </c>
      <c r="B626" s="2974" t="s">
        <v>3800</v>
      </c>
      <c r="C626" s="2974">
        <v>5</v>
      </c>
      <c r="D626" s="2976">
        <v>503</v>
      </c>
      <c r="E626" s="2976">
        <v>115.55</v>
      </c>
      <c r="F626" s="2974" t="s">
        <v>3615</v>
      </c>
      <c r="G626" s="2973" t="s">
        <v>3616</v>
      </c>
    </row>
    <row r="627" spans="1:7" ht="15.6" hidden="1">
      <c r="A627" s="2973">
        <v>626</v>
      </c>
      <c r="B627" s="2974" t="s">
        <v>3800</v>
      </c>
      <c r="C627" s="2974">
        <v>5</v>
      </c>
      <c r="D627" s="2976">
        <v>504</v>
      </c>
      <c r="E627" s="2976">
        <v>135.88999999999999</v>
      </c>
      <c r="F627" s="2974" t="s">
        <v>3615</v>
      </c>
      <c r="G627" s="2973" t="s">
        <v>3616</v>
      </c>
    </row>
    <row r="628" spans="1:7" ht="15.6" hidden="1">
      <c r="A628" s="2973">
        <v>627</v>
      </c>
      <c r="B628" s="2974" t="s">
        <v>3800</v>
      </c>
      <c r="C628" s="2974">
        <v>6</v>
      </c>
      <c r="D628" s="2976">
        <v>601</v>
      </c>
      <c r="E628" s="2976">
        <v>135.88999999999999</v>
      </c>
      <c r="F628" s="2974" t="s">
        <v>3615</v>
      </c>
      <c r="G628" s="2973" t="s">
        <v>3616</v>
      </c>
    </row>
    <row r="629" spans="1:7" ht="15.6" hidden="1">
      <c r="A629" s="2973">
        <v>628</v>
      </c>
      <c r="B629" s="2974" t="s">
        <v>3800</v>
      </c>
      <c r="C629" s="2974">
        <v>6</v>
      </c>
      <c r="D629" s="2976">
        <v>604</v>
      </c>
      <c r="E629" s="2976">
        <v>135.88999999999999</v>
      </c>
      <c r="F629" s="2974" t="s">
        <v>3615</v>
      </c>
      <c r="G629" s="2973" t="s">
        <v>3616</v>
      </c>
    </row>
    <row r="630" spans="1:7" ht="15.6" hidden="1">
      <c r="A630" s="2973">
        <v>629</v>
      </c>
      <c r="B630" s="2974" t="s">
        <v>3800</v>
      </c>
      <c r="C630" s="2974">
        <v>7</v>
      </c>
      <c r="D630" s="2976">
        <v>701</v>
      </c>
      <c r="E630" s="2976">
        <v>135.88999999999999</v>
      </c>
      <c r="F630" s="2974" t="s">
        <v>3615</v>
      </c>
      <c r="G630" s="2973" t="s">
        <v>3616</v>
      </c>
    </row>
    <row r="631" spans="1:7" ht="15.6" hidden="1">
      <c r="A631" s="2973">
        <v>630</v>
      </c>
      <c r="B631" s="2974" t="s">
        <v>3800</v>
      </c>
      <c r="C631" s="2974">
        <v>8</v>
      </c>
      <c r="D631" s="2976">
        <v>801</v>
      </c>
      <c r="E631" s="2976">
        <v>135.88999999999999</v>
      </c>
      <c r="F631" s="2974" t="s">
        <v>3615</v>
      </c>
      <c r="G631" s="2973" t="s">
        <v>3616</v>
      </c>
    </row>
    <row r="632" spans="1:7" ht="15.6" hidden="1">
      <c r="A632" s="2973">
        <v>631</v>
      </c>
      <c r="B632" s="2974" t="s">
        <v>3800</v>
      </c>
      <c r="C632" s="2974">
        <v>8</v>
      </c>
      <c r="D632" s="2976">
        <v>802</v>
      </c>
      <c r="E632" s="2976">
        <v>115.55</v>
      </c>
      <c r="F632" s="2974" t="s">
        <v>3615</v>
      </c>
      <c r="G632" s="2973" t="s">
        <v>3616</v>
      </c>
    </row>
    <row r="633" spans="1:7" ht="15.6" hidden="1">
      <c r="A633" s="2973">
        <v>632</v>
      </c>
      <c r="B633" s="2974" t="s">
        <v>3800</v>
      </c>
      <c r="C633" s="2974">
        <v>8</v>
      </c>
      <c r="D633" s="2976">
        <v>803</v>
      </c>
      <c r="E633" s="2976">
        <v>115.55</v>
      </c>
      <c r="F633" s="2974" t="s">
        <v>3615</v>
      </c>
      <c r="G633" s="2973" t="s">
        <v>3616</v>
      </c>
    </row>
    <row r="634" spans="1:7" ht="15.6" hidden="1">
      <c r="A634" s="2973">
        <v>633</v>
      </c>
      <c r="B634" s="2974" t="s">
        <v>3800</v>
      </c>
      <c r="C634" s="2974">
        <v>8</v>
      </c>
      <c r="D634" s="2976">
        <v>804</v>
      </c>
      <c r="E634" s="2976">
        <v>135.88999999999999</v>
      </c>
      <c r="F634" s="2974" t="s">
        <v>3615</v>
      </c>
      <c r="G634" s="2973" t="s">
        <v>3616</v>
      </c>
    </row>
    <row r="635" spans="1:7" ht="15.6" hidden="1">
      <c r="A635" s="2973">
        <v>634</v>
      </c>
      <c r="B635" s="2974" t="s">
        <v>3800</v>
      </c>
      <c r="C635" s="2974">
        <v>9</v>
      </c>
      <c r="D635" s="2976">
        <v>901</v>
      </c>
      <c r="E635" s="2976">
        <v>128.28</v>
      </c>
      <c r="F635" s="2974" t="s">
        <v>3615</v>
      </c>
      <c r="G635" s="2973" t="s">
        <v>3616</v>
      </c>
    </row>
    <row r="636" spans="1:7" ht="15.6" hidden="1">
      <c r="A636" s="2973">
        <v>635</v>
      </c>
      <c r="B636" s="2974" t="s">
        <v>3800</v>
      </c>
      <c r="C636" s="2974">
        <v>9</v>
      </c>
      <c r="D636" s="2976">
        <v>902</v>
      </c>
      <c r="E636" s="2976">
        <v>104.79</v>
      </c>
      <c r="F636" s="2974" t="s">
        <v>3615</v>
      </c>
      <c r="G636" s="2973" t="s">
        <v>3616</v>
      </c>
    </row>
    <row r="637" spans="1:7" ht="15.6" hidden="1">
      <c r="A637" s="2973">
        <v>636</v>
      </c>
      <c r="B637" s="2974" t="s">
        <v>3800</v>
      </c>
      <c r="C637" s="2974">
        <v>9</v>
      </c>
      <c r="D637" s="2976">
        <v>903</v>
      </c>
      <c r="E637" s="2976">
        <v>104.79</v>
      </c>
      <c r="F637" s="2974" t="s">
        <v>3615</v>
      </c>
      <c r="G637" s="2973" t="s">
        <v>3616</v>
      </c>
    </row>
    <row r="638" spans="1:7" ht="15.6" hidden="1">
      <c r="A638" s="2973">
        <v>637</v>
      </c>
      <c r="B638" s="2974" t="s">
        <v>3800</v>
      </c>
      <c r="C638" s="2974">
        <v>9</v>
      </c>
      <c r="D638" s="2976">
        <v>904</v>
      </c>
      <c r="E638" s="2976">
        <v>128.28</v>
      </c>
      <c r="F638" s="2974" t="s">
        <v>3615</v>
      </c>
      <c r="G638" s="2973" t="s">
        <v>3616</v>
      </c>
    </row>
    <row r="639" spans="1:7" ht="15.6" hidden="1">
      <c r="A639" s="2973">
        <v>638</v>
      </c>
      <c r="B639" s="2974" t="s">
        <v>3827</v>
      </c>
      <c r="C639" s="2973">
        <v>-1</v>
      </c>
      <c r="D639" s="2973" t="s">
        <v>3828</v>
      </c>
      <c r="E639" s="2973">
        <v>8.66</v>
      </c>
      <c r="F639" s="2973" t="s">
        <v>3619</v>
      </c>
      <c r="G639" s="2974" t="s">
        <v>3568</v>
      </c>
    </row>
    <row r="640" spans="1:7" ht="15.6" hidden="1">
      <c r="A640" s="2973">
        <v>639</v>
      </c>
      <c r="B640" s="2974" t="s">
        <v>3827</v>
      </c>
      <c r="C640" s="2973">
        <v>-1</v>
      </c>
      <c r="D640" s="2973" t="s">
        <v>3829</v>
      </c>
      <c r="E640" s="2973">
        <v>11.85</v>
      </c>
      <c r="F640" s="2973" t="s">
        <v>3619</v>
      </c>
      <c r="G640" s="2974" t="s">
        <v>3568</v>
      </c>
    </row>
    <row r="641" spans="1:7" ht="15.6" hidden="1">
      <c r="A641" s="2973">
        <v>640</v>
      </c>
      <c r="B641" s="2974" t="s">
        <v>3827</v>
      </c>
      <c r="C641" s="2973">
        <v>-1</v>
      </c>
      <c r="D641" s="2973" t="s">
        <v>3830</v>
      </c>
      <c r="E641" s="2973">
        <v>9.57</v>
      </c>
      <c r="F641" s="2973" t="s">
        <v>3619</v>
      </c>
      <c r="G641" s="2974" t="s">
        <v>3568</v>
      </c>
    </row>
    <row r="642" spans="1:7" ht="15.6" hidden="1">
      <c r="A642" s="2973">
        <v>641</v>
      </c>
      <c r="B642" s="2974" t="s">
        <v>3827</v>
      </c>
      <c r="C642" s="2973">
        <v>-1</v>
      </c>
      <c r="D642" s="2973" t="s">
        <v>3831</v>
      </c>
      <c r="E642" s="2973">
        <v>29.09</v>
      </c>
      <c r="F642" s="2973" t="s">
        <v>3619</v>
      </c>
      <c r="G642" s="2974" t="s">
        <v>3568</v>
      </c>
    </row>
    <row r="643" spans="1:7" ht="15.6" hidden="1">
      <c r="A643" s="2973">
        <v>642</v>
      </c>
      <c r="B643" s="2974" t="s">
        <v>3827</v>
      </c>
      <c r="C643" s="2973">
        <v>-1</v>
      </c>
      <c r="D643" s="2973" t="s">
        <v>3832</v>
      </c>
      <c r="E643" s="2973">
        <v>17.28</v>
      </c>
      <c r="F643" s="2973" t="s">
        <v>3619</v>
      </c>
      <c r="G643" s="2974" t="s">
        <v>3568</v>
      </c>
    </row>
    <row r="644" spans="1:7" ht="15.6" hidden="1">
      <c r="A644" s="2973">
        <v>643</v>
      </c>
      <c r="B644" s="2974" t="s">
        <v>3827</v>
      </c>
      <c r="C644" s="2973">
        <v>-1</v>
      </c>
      <c r="D644" s="2973" t="s">
        <v>3833</v>
      </c>
      <c r="E644" s="2973">
        <v>13.02</v>
      </c>
      <c r="F644" s="2973" t="s">
        <v>3619</v>
      </c>
      <c r="G644" s="2974" t="s">
        <v>3568</v>
      </c>
    </row>
    <row r="645" spans="1:7" ht="15.6" hidden="1">
      <c r="A645" s="2973">
        <v>644</v>
      </c>
      <c r="B645" s="2974" t="s">
        <v>3827</v>
      </c>
      <c r="C645" s="2973">
        <v>-1</v>
      </c>
      <c r="D645" s="2973" t="s">
        <v>3834</v>
      </c>
      <c r="E645" s="2973">
        <v>15.02</v>
      </c>
      <c r="F645" s="2973" t="s">
        <v>3619</v>
      </c>
      <c r="G645" s="2974" t="s">
        <v>3568</v>
      </c>
    </row>
    <row r="646" spans="1:7" ht="15.6" hidden="1">
      <c r="A646" s="2973">
        <v>645</v>
      </c>
      <c r="B646" s="2974" t="s">
        <v>3827</v>
      </c>
      <c r="C646" s="2973">
        <v>-1</v>
      </c>
      <c r="D646" s="2973" t="s">
        <v>3835</v>
      </c>
      <c r="E646" s="2973">
        <v>8.75</v>
      </c>
      <c r="F646" s="2973" t="s">
        <v>3619</v>
      </c>
      <c r="G646" s="2974" t="s">
        <v>3568</v>
      </c>
    </row>
    <row r="647" spans="1:7" ht="15.6" hidden="1">
      <c r="A647" s="2973">
        <v>646</v>
      </c>
      <c r="B647" s="2974" t="s">
        <v>3827</v>
      </c>
      <c r="C647" s="2973">
        <v>-1</v>
      </c>
      <c r="D647" s="2973" t="s">
        <v>3836</v>
      </c>
      <c r="E647" s="2973">
        <v>10.77</v>
      </c>
      <c r="F647" s="2973" t="s">
        <v>3619</v>
      </c>
      <c r="G647" s="2974" t="s">
        <v>3649</v>
      </c>
    </row>
    <row r="648" spans="1:7" ht="15.6" hidden="1">
      <c r="A648" s="2973">
        <v>647</v>
      </c>
      <c r="B648" s="2974" t="s">
        <v>3837</v>
      </c>
      <c r="C648" s="2973">
        <v>-1</v>
      </c>
      <c r="D648" s="2973" t="s">
        <v>3838</v>
      </c>
      <c r="E648" s="2973">
        <v>13.32</v>
      </c>
      <c r="F648" s="2973" t="s">
        <v>3619</v>
      </c>
      <c r="G648" s="2974" t="s">
        <v>3649</v>
      </c>
    </row>
    <row r="649" spans="1:7" ht="15.6" hidden="1">
      <c r="A649" s="2973">
        <v>648</v>
      </c>
      <c r="B649" s="2974" t="s">
        <v>3837</v>
      </c>
      <c r="C649" s="2973">
        <v>-1</v>
      </c>
      <c r="D649" s="2973" t="s">
        <v>3839</v>
      </c>
      <c r="E649" s="2973">
        <v>15.51</v>
      </c>
      <c r="F649" s="2973" t="s">
        <v>3619</v>
      </c>
      <c r="G649" s="2974" t="s">
        <v>3649</v>
      </c>
    </row>
    <row r="650" spans="1:7" ht="15.6" hidden="1">
      <c r="A650" s="2973">
        <v>649</v>
      </c>
      <c r="B650" s="2974" t="s">
        <v>3837</v>
      </c>
      <c r="C650" s="2973">
        <v>-1</v>
      </c>
      <c r="D650" s="2973" t="s">
        <v>3840</v>
      </c>
      <c r="E650" s="2973">
        <v>14.69</v>
      </c>
      <c r="F650" s="2973" t="s">
        <v>3619</v>
      </c>
      <c r="G650" s="2974" t="s">
        <v>3649</v>
      </c>
    </row>
    <row r="651" spans="1:7" ht="15.6" hidden="1">
      <c r="A651" s="2973">
        <v>650</v>
      </c>
      <c r="B651" s="2974" t="s">
        <v>3837</v>
      </c>
      <c r="C651" s="2973">
        <v>-1</v>
      </c>
      <c r="D651" s="2973" t="s">
        <v>3841</v>
      </c>
      <c r="E651" s="2973">
        <v>14.69</v>
      </c>
      <c r="F651" s="2973" t="s">
        <v>3619</v>
      </c>
      <c r="G651" s="2974" t="s">
        <v>3649</v>
      </c>
    </row>
    <row r="652" spans="1:7" ht="15.6" hidden="1">
      <c r="A652" s="2973">
        <v>651</v>
      </c>
      <c r="B652" s="2974" t="s">
        <v>3837</v>
      </c>
      <c r="C652" s="2973">
        <v>-1</v>
      </c>
      <c r="D652" s="2973" t="s">
        <v>3842</v>
      </c>
      <c r="E652" s="2973">
        <v>15.45</v>
      </c>
      <c r="F652" s="2973" t="s">
        <v>3619</v>
      </c>
      <c r="G652" s="2974" t="s">
        <v>3649</v>
      </c>
    </row>
    <row r="653" spans="1:7" ht="15.6" hidden="1">
      <c r="A653" s="2973">
        <v>652</v>
      </c>
      <c r="B653" s="2974" t="s">
        <v>3837</v>
      </c>
      <c r="C653" s="2973">
        <v>-1</v>
      </c>
      <c r="D653" s="2973" t="s">
        <v>3843</v>
      </c>
      <c r="E653" s="2973">
        <v>14.19</v>
      </c>
      <c r="F653" s="2973" t="s">
        <v>3619</v>
      </c>
      <c r="G653" s="2974" t="s">
        <v>3649</v>
      </c>
    </row>
    <row r="654" spans="1:7" ht="15.6" hidden="1">
      <c r="A654" s="2973">
        <v>653</v>
      </c>
      <c r="B654" s="2974" t="s">
        <v>3837</v>
      </c>
      <c r="C654" s="2973">
        <v>-1</v>
      </c>
      <c r="D654" s="2973" t="s">
        <v>3844</v>
      </c>
      <c r="E654" s="2973">
        <v>16.97</v>
      </c>
      <c r="F654" s="2973" t="s">
        <v>3619</v>
      </c>
      <c r="G654" s="2974" t="s">
        <v>3649</v>
      </c>
    </row>
    <row r="655" spans="1:7" ht="15.6" hidden="1">
      <c r="A655" s="2973">
        <v>654</v>
      </c>
      <c r="B655" s="2974" t="s">
        <v>3837</v>
      </c>
      <c r="C655" s="2973">
        <v>-1</v>
      </c>
      <c r="D655" s="2973" t="s">
        <v>3845</v>
      </c>
      <c r="E655" s="2973">
        <v>9.57</v>
      </c>
      <c r="F655" s="2973" t="s">
        <v>3619</v>
      </c>
      <c r="G655" s="2974" t="s">
        <v>3649</v>
      </c>
    </row>
    <row r="656" spans="1:7" ht="15.6" hidden="1">
      <c r="A656" s="2973">
        <v>655</v>
      </c>
      <c r="B656" s="2974" t="s">
        <v>3837</v>
      </c>
      <c r="C656" s="2973">
        <v>-1</v>
      </c>
      <c r="D656" s="2973" t="s">
        <v>3846</v>
      </c>
      <c r="E656" s="2973">
        <v>11.85</v>
      </c>
      <c r="F656" s="2973" t="s">
        <v>3619</v>
      </c>
      <c r="G656" s="2974" t="s">
        <v>3649</v>
      </c>
    </row>
    <row r="657" spans="1:7" ht="15.6" hidden="1">
      <c r="A657" s="2973">
        <v>656</v>
      </c>
      <c r="B657" s="2974" t="s">
        <v>3837</v>
      </c>
      <c r="C657" s="2973">
        <v>1</v>
      </c>
      <c r="D657" s="2974" t="s">
        <v>3847</v>
      </c>
      <c r="E657" s="2974">
        <v>43.73</v>
      </c>
      <c r="F657" s="2974" t="s">
        <v>3848</v>
      </c>
      <c r="G657" s="2974" t="s">
        <v>3649</v>
      </c>
    </row>
    <row r="658" spans="1:7" ht="15.6" hidden="1">
      <c r="A658" s="2973">
        <v>657</v>
      </c>
      <c r="B658" s="2974" t="s">
        <v>3837</v>
      </c>
      <c r="C658" s="2973">
        <v>1</v>
      </c>
      <c r="D658" s="2974" t="s">
        <v>3849</v>
      </c>
      <c r="E658" s="2974">
        <v>35.54</v>
      </c>
      <c r="F658" s="2974" t="s">
        <v>3848</v>
      </c>
      <c r="G658" s="2974" t="s">
        <v>3649</v>
      </c>
    </row>
    <row r="659" spans="1:7" ht="15.6" hidden="1">
      <c r="A659" s="2973">
        <v>658</v>
      </c>
      <c r="B659" s="2974" t="s">
        <v>3837</v>
      </c>
      <c r="C659" s="2973">
        <v>1</v>
      </c>
      <c r="D659" s="2974" t="s">
        <v>3850</v>
      </c>
      <c r="E659" s="2974">
        <v>37.130000000000003</v>
      </c>
      <c r="F659" s="2974" t="s">
        <v>3848</v>
      </c>
      <c r="G659" s="2974" t="s">
        <v>3649</v>
      </c>
    </row>
    <row r="660" spans="1:7" ht="15.6" hidden="1">
      <c r="A660" s="2973">
        <v>659</v>
      </c>
      <c r="B660" s="2974" t="s">
        <v>3837</v>
      </c>
      <c r="C660" s="2973">
        <v>1</v>
      </c>
      <c r="D660" s="2974" t="s">
        <v>3851</v>
      </c>
      <c r="E660" s="2974">
        <v>60</v>
      </c>
      <c r="F660" s="2974" t="s">
        <v>3848</v>
      </c>
      <c r="G660" s="2974" t="s">
        <v>3649</v>
      </c>
    </row>
    <row r="661" spans="1:7" ht="15.6" hidden="1">
      <c r="A661" s="2973">
        <v>660</v>
      </c>
      <c r="B661" s="2974" t="s">
        <v>3837</v>
      </c>
      <c r="C661" s="2973">
        <v>1</v>
      </c>
      <c r="D661" s="2974" t="s">
        <v>3852</v>
      </c>
      <c r="E661" s="2974">
        <v>55.33</v>
      </c>
      <c r="F661" s="2974" t="s">
        <v>3848</v>
      </c>
      <c r="G661" s="2974" t="s">
        <v>3649</v>
      </c>
    </row>
    <row r="662" spans="1:7" ht="62.4" hidden="1">
      <c r="A662" s="2973">
        <v>661</v>
      </c>
      <c r="B662" s="2974" t="s">
        <v>3837</v>
      </c>
      <c r="C662" s="2973">
        <v>1</v>
      </c>
      <c r="D662" s="2976" t="s">
        <v>3853</v>
      </c>
      <c r="E662" s="2974">
        <v>65.430000000000007</v>
      </c>
      <c r="F662" s="2974" t="s">
        <v>3848</v>
      </c>
      <c r="G662" s="2974" t="s">
        <v>3649</v>
      </c>
    </row>
    <row r="663" spans="1:7" ht="15.6" hidden="1">
      <c r="A663" s="2973">
        <v>662</v>
      </c>
      <c r="B663" s="2974" t="s">
        <v>3837</v>
      </c>
      <c r="C663" s="2973">
        <v>1</v>
      </c>
      <c r="D663" s="2974" t="s">
        <v>3854</v>
      </c>
      <c r="E663" s="2974">
        <v>69.61</v>
      </c>
      <c r="F663" s="2974" t="s">
        <v>3848</v>
      </c>
      <c r="G663" s="2974" t="s">
        <v>3649</v>
      </c>
    </row>
    <row r="664" spans="1:7" ht="15.6" hidden="1">
      <c r="A664" s="2973">
        <v>663</v>
      </c>
      <c r="B664" s="2974" t="s">
        <v>3837</v>
      </c>
      <c r="C664" s="2973">
        <v>1</v>
      </c>
      <c r="D664" s="2974" t="s">
        <v>3855</v>
      </c>
      <c r="E664" s="2974">
        <v>82.56</v>
      </c>
      <c r="F664" s="2974" t="s">
        <v>3856</v>
      </c>
      <c r="G664" s="2974" t="s">
        <v>3857</v>
      </c>
    </row>
    <row r="665" spans="1:7" ht="15.6" hidden="1">
      <c r="A665" s="2973">
        <v>664</v>
      </c>
      <c r="B665" s="2974" t="s">
        <v>3858</v>
      </c>
      <c r="C665" s="2974">
        <v>1</v>
      </c>
      <c r="D665" s="2976">
        <v>101</v>
      </c>
      <c r="E665" s="2976">
        <v>115.98</v>
      </c>
      <c r="F665" s="2974" t="s">
        <v>3859</v>
      </c>
      <c r="G665" s="2973" t="s">
        <v>3860</v>
      </c>
    </row>
    <row r="666" spans="1:7" ht="15.6" hidden="1">
      <c r="A666" s="2973">
        <v>665</v>
      </c>
      <c r="B666" s="2974" t="s">
        <v>3858</v>
      </c>
      <c r="C666" s="2974">
        <v>1</v>
      </c>
      <c r="D666" s="2976">
        <v>102</v>
      </c>
      <c r="E666" s="2976">
        <v>103.42</v>
      </c>
      <c r="F666" s="2974" t="s">
        <v>3859</v>
      </c>
      <c r="G666" s="2973" t="s">
        <v>3860</v>
      </c>
    </row>
    <row r="667" spans="1:7" ht="15.6" hidden="1">
      <c r="A667" s="2973">
        <v>666</v>
      </c>
      <c r="B667" s="2974" t="s">
        <v>3858</v>
      </c>
      <c r="C667" s="2974">
        <v>2</v>
      </c>
      <c r="D667" s="2976">
        <v>201</v>
      </c>
      <c r="E667" s="2976">
        <v>115.98</v>
      </c>
      <c r="F667" s="2974" t="s">
        <v>3859</v>
      </c>
      <c r="G667" s="2973" t="s">
        <v>3860</v>
      </c>
    </row>
    <row r="668" spans="1:7" ht="15.6" hidden="1">
      <c r="A668" s="2973">
        <v>667</v>
      </c>
      <c r="B668" s="2974" t="s">
        <v>3858</v>
      </c>
      <c r="C668" s="2974">
        <v>2</v>
      </c>
      <c r="D668" s="2976">
        <v>202</v>
      </c>
      <c r="E668" s="2976">
        <v>116.79</v>
      </c>
      <c r="F668" s="2974" t="s">
        <v>3859</v>
      </c>
      <c r="G668" s="2973" t="s">
        <v>3860</v>
      </c>
    </row>
    <row r="669" spans="1:7" ht="15.6" hidden="1">
      <c r="A669" s="2973">
        <v>668</v>
      </c>
      <c r="B669" s="2974" t="s">
        <v>3858</v>
      </c>
      <c r="C669" s="2974">
        <v>2</v>
      </c>
      <c r="D669" s="2976">
        <v>203</v>
      </c>
      <c r="E669" s="2976">
        <v>116.79</v>
      </c>
      <c r="F669" s="2974" t="s">
        <v>3859</v>
      </c>
      <c r="G669" s="2973" t="s">
        <v>3860</v>
      </c>
    </row>
    <row r="670" spans="1:7" ht="15.6" hidden="1">
      <c r="A670" s="2973">
        <v>669</v>
      </c>
      <c r="B670" s="2974" t="s">
        <v>3858</v>
      </c>
      <c r="C670" s="2974">
        <v>3</v>
      </c>
      <c r="D670" s="2976">
        <v>302</v>
      </c>
      <c r="E670" s="2976">
        <v>116.79</v>
      </c>
      <c r="F670" s="2974" t="s">
        <v>3859</v>
      </c>
      <c r="G670" s="2973" t="s">
        <v>3860</v>
      </c>
    </row>
    <row r="671" spans="1:7" ht="15.6" hidden="1">
      <c r="A671" s="2973">
        <v>670</v>
      </c>
      <c r="B671" s="2974" t="s">
        <v>3858</v>
      </c>
      <c r="C671" s="2974">
        <v>3</v>
      </c>
      <c r="D671" s="2976">
        <v>303</v>
      </c>
      <c r="E671" s="2976">
        <v>116.79</v>
      </c>
      <c r="F671" s="2974" t="s">
        <v>3859</v>
      </c>
      <c r="G671" s="2973" t="s">
        <v>3860</v>
      </c>
    </row>
    <row r="672" spans="1:7" ht="15.6" hidden="1">
      <c r="A672" s="2973">
        <v>671</v>
      </c>
      <c r="B672" s="2974" t="s">
        <v>3858</v>
      </c>
      <c r="C672" s="2974">
        <v>3</v>
      </c>
      <c r="D672" s="2976">
        <v>304</v>
      </c>
      <c r="E672" s="2976">
        <v>115.98</v>
      </c>
      <c r="F672" s="2974" t="s">
        <v>3859</v>
      </c>
      <c r="G672" s="2973" t="s">
        <v>3860</v>
      </c>
    </row>
    <row r="673" spans="1:7" ht="15.6" hidden="1">
      <c r="A673" s="2973">
        <v>672</v>
      </c>
      <c r="B673" s="2974" t="s">
        <v>3858</v>
      </c>
      <c r="C673" s="2974">
        <v>4</v>
      </c>
      <c r="D673" s="2976">
        <v>401</v>
      </c>
      <c r="E673" s="2976">
        <v>115.98</v>
      </c>
      <c r="F673" s="2974" t="s">
        <v>3859</v>
      </c>
      <c r="G673" s="2973" t="s">
        <v>3860</v>
      </c>
    </row>
    <row r="674" spans="1:7" ht="15.6" hidden="1">
      <c r="A674" s="2973">
        <v>673</v>
      </c>
      <c r="B674" s="2974" t="s">
        <v>3858</v>
      </c>
      <c r="C674" s="2974">
        <v>4</v>
      </c>
      <c r="D674" s="2976">
        <v>402</v>
      </c>
      <c r="E674" s="2976">
        <v>116.79</v>
      </c>
      <c r="F674" s="2974" t="s">
        <v>3859</v>
      </c>
      <c r="G674" s="2973" t="s">
        <v>3860</v>
      </c>
    </row>
    <row r="675" spans="1:7" ht="15.6" hidden="1">
      <c r="A675" s="2973">
        <v>674</v>
      </c>
      <c r="B675" s="2974" t="s">
        <v>3858</v>
      </c>
      <c r="C675" s="2974">
        <v>4</v>
      </c>
      <c r="D675" s="2976">
        <v>403</v>
      </c>
      <c r="E675" s="2976">
        <v>116.79</v>
      </c>
      <c r="F675" s="2974" t="s">
        <v>3859</v>
      </c>
      <c r="G675" s="2973" t="s">
        <v>3860</v>
      </c>
    </row>
    <row r="676" spans="1:7" ht="15.6" hidden="1">
      <c r="A676" s="2973">
        <v>675</v>
      </c>
      <c r="B676" s="2974" t="s">
        <v>3858</v>
      </c>
      <c r="C676" s="2974">
        <v>4</v>
      </c>
      <c r="D676" s="2976">
        <v>404</v>
      </c>
      <c r="E676" s="2976">
        <v>115.98</v>
      </c>
      <c r="F676" s="2974" t="s">
        <v>3859</v>
      </c>
      <c r="G676" s="2973" t="s">
        <v>3860</v>
      </c>
    </row>
    <row r="677" spans="1:7" ht="15.6" hidden="1">
      <c r="A677" s="2973">
        <v>676</v>
      </c>
      <c r="B677" s="2974" t="s">
        <v>3858</v>
      </c>
      <c r="C677" s="2974">
        <v>5</v>
      </c>
      <c r="D677" s="2976">
        <v>502</v>
      </c>
      <c r="E677" s="2976">
        <v>116.79</v>
      </c>
      <c r="F677" s="2974" t="s">
        <v>3859</v>
      </c>
      <c r="G677" s="2973" t="s">
        <v>3860</v>
      </c>
    </row>
    <row r="678" spans="1:7" ht="15.6" hidden="1">
      <c r="A678" s="2973">
        <v>677</v>
      </c>
      <c r="B678" s="2974" t="s">
        <v>3858</v>
      </c>
      <c r="C678" s="2974">
        <v>5</v>
      </c>
      <c r="D678" s="2976">
        <v>503</v>
      </c>
      <c r="E678" s="2976">
        <v>116.79</v>
      </c>
      <c r="F678" s="2974" t="s">
        <v>3859</v>
      </c>
      <c r="G678" s="2973" t="s">
        <v>3860</v>
      </c>
    </row>
    <row r="679" spans="1:7" ht="15.6" hidden="1">
      <c r="A679" s="2973">
        <v>678</v>
      </c>
      <c r="B679" s="2974" t="s">
        <v>3858</v>
      </c>
      <c r="C679" s="2974">
        <v>5</v>
      </c>
      <c r="D679" s="2976">
        <v>504</v>
      </c>
      <c r="E679" s="2976">
        <v>115.98</v>
      </c>
      <c r="F679" s="2974" t="s">
        <v>3859</v>
      </c>
      <c r="G679" s="2973" t="s">
        <v>3860</v>
      </c>
    </row>
    <row r="680" spans="1:7" ht="15.6" hidden="1">
      <c r="A680" s="2973">
        <v>679</v>
      </c>
      <c r="B680" s="2974" t="s">
        <v>3858</v>
      </c>
      <c r="C680" s="2974">
        <v>6</v>
      </c>
      <c r="D680" s="2976">
        <v>602</v>
      </c>
      <c r="E680" s="2976">
        <v>116.79</v>
      </c>
      <c r="F680" s="2974" t="s">
        <v>3859</v>
      </c>
      <c r="G680" s="2973" t="s">
        <v>3860</v>
      </c>
    </row>
    <row r="681" spans="1:7" ht="15.6" hidden="1">
      <c r="A681" s="2973">
        <v>680</v>
      </c>
      <c r="B681" s="2974" t="s">
        <v>3858</v>
      </c>
      <c r="C681" s="2974">
        <v>6</v>
      </c>
      <c r="D681" s="2976">
        <v>603</v>
      </c>
      <c r="E681" s="2976">
        <v>116.79</v>
      </c>
      <c r="F681" s="2974" t="s">
        <v>3859</v>
      </c>
      <c r="G681" s="2973" t="s">
        <v>3860</v>
      </c>
    </row>
    <row r="682" spans="1:7" ht="15.6" hidden="1">
      <c r="A682" s="2973">
        <v>681</v>
      </c>
      <c r="B682" s="2974" t="s">
        <v>3858</v>
      </c>
      <c r="C682" s="2974">
        <v>7</v>
      </c>
      <c r="D682" s="2976">
        <v>702</v>
      </c>
      <c r="E682" s="2976">
        <v>116.79</v>
      </c>
      <c r="F682" s="2974" t="s">
        <v>3859</v>
      </c>
      <c r="G682" s="2973" t="s">
        <v>3860</v>
      </c>
    </row>
    <row r="683" spans="1:7" ht="15.6" hidden="1">
      <c r="A683" s="2973">
        <v>682</v>
      </c>
      <c r="B683" s="2974" t="s">
        <v>3858</v>
      </c>
      <c r="C683" s="2974">
        <v>7</v>
      </c>
      <c r="D683" s="2976">
        <v>703</v>
      </c>
      <c r="E683" s="2976">
        <v>116.79</v>
      </c>
      <c r="F683" s="2974" t="s">
        <v>3859</v>
      </c>
      <c r="G683" s="2973" t="s">
        <v>3860</v>
      </c>
    </row>
    <row r="684" spans="1:7" ht="15.6" hidden="1">
      <c r="A684" s="2973">
        <v>683</v>
      </c>
      <c r="B684" s="2974" t="s">
        <v>3858</v>
      </c>
      <c r="C684" s="2974">
        <v>7</v>
      </c>
      <c r="D684" s="2976">
        <v>704</v>
      </c>
      <c r="E684" s="2976">
        <v>115.98</v>
      </c>
      <c r="F684" s="2974" t="s">
        <v>3859</v>
      </c>
      <c r="G684" s="2973" t="s">
        <v>3860</v>
      </c>
    </row>
    <row r="685" spans="1:7" ht="15.6" hidden="1">
      <c r="A685" s="2973">
        <v>684</v>
      </c>
      <c r="B685" s="2974" t="s">
        <v>3858</v>
      </c>
      <c r="C685" s="2974">
        <v>8</v>
      </c>
      <c r="D685" s="2976">
        <v>802</v>
      </c>
      <c r="E685" s="2976">
        <v>116.79</v>
      </c>
      <c r="F685" s="2974" t="s">
        <v>3859</v>
      </c>
      <c r="G685" s="2973" t="s">
        <v>3860</v>
      </c>
    </row>
    <row r="686" spans="1:7" ht="15.6" hidden="1">
      <c r="A686" s="2973">
        <v>685</v>
      </c>
      <c r="B686" s="2974" t="s">
        <v>3858</v>
      </c>
      <c r="C686" s="2974">
        <v>8</v>
      </c>
      <c r="D686" s="2976">
        <v>803</v>
      </c>
      <c r="E686" s="2976">
        <v>116.79</v>
      </c>
      <c r="F686" s="2974" t="s">
        <v>3859</v>
      </c>
      <c r="G686" s="2973" t="s">
        <v>3860</v>
      </c>
    </row>
    <row r="687" spans="1:7" ht="15.6" hidden="1">
      <c r="A687" s="2973">
        <v>686</v>
      </c>
      <c r="B687" s="2974" t="s">
        <v>3858</v>
      </c>
      <c r="C687" s="2974">
        <v>8</v>
      </c>
      <c r="D687" s="2976">
        <v>804</v>
      </c>
      <c r="E687" s="2976">
        <v>115.98</v>
      </c>
      <c r="F687" s="2974" t="s">
        <v>3859</v>
      </c>
      <c r="G687" s="2973" t="s">
        <v>3860</v>
      </c>
    </row>
    <row r="688" spans="1:7" ht="15.6" hidden="1">
      <c r="A688" s="2973">
        <v>687</v>
      </c>
      <c r="B688" s="2974" t="s">
        <v>3858</v>
      </c>
      <c r="C688" s="2974">
        <v>9</v>
      </c>
      <c r="D688" s="2976">
        <v>904</v>
      </c>
      <c r="E688" s="2976">
        <v>105.06</v>
      </c>
      <c r="F688" s="2974" t="s">
        <v>3859</v>
      </c>
      <c r="G688" s="2973" t="s">
        <v>3860</v>
      </c>
    </row>
    <row r="689" spans="1:7" ht="15.6" hidden="1">
      <c r="A689" s="2973">
        <v>688</v>
      </c>
      <c r="B689" s="2974" t="s">
        <v>3861</v>
      </c>
      <c r="C689" s="2973">
        <v>1</v>
      </c>
      <c r="D689" s="2976">
        <v>101</v>
      </c>
      <c r="E689" s="2976">
        <v>115.35</v>
      </c>
      <c r="F689" s="2974" t="s">
        <v>3859</v>
      </c>
      <c r="G689" s="2973" t="s">
        <v>3862</v>
      </c>
    </row>
    <row r="690" spans="1:7" ht="15.6" hidden="1">
      <c r="A690" s="2973">
        <v>689</v>
      </c>
      <c r="B690" s="2974" t="s">
        <v>3861</v>
      </c>
      <c r="C690" s="2973">
        <v>1</v>
      </c>
      <c r="D690" s="2976">
        <v>102</v>
      </c>
      <c r="E690" s="2976">
        <v>61.37</v>
      </c>
      <c r="F690" s="2974" t="s">
        <v>3859</v>
      </c>
      <c r="G690" s="2973" t="s">
        <v>3862</v>
      </c>
    </row>
    <row r="691" spans="1:7" ht="15.6" hidden="1">
      <c r="A691" s="2973">
        <v>690</v>
      </c>
      <c r="B691" s="2974" t="s">
        <v>3861</v>
      </c>
      <c r="C691" s="2974">
        <v>1</v>
      </c>
      <c r="D691" s="2976">
        <v>103</v>
      </c>
      <c r="E691" s="2976">
        <v>94.49</v>
      </c>
      <c r="F691" s="2974" t="s">
        <v>3859</v>
      </c>
      <c r="G691" s="2973" t="s">
        <v>3862</v>
      </c>
    </row>
    <row r="692" spans="1:7" ht="15.6" hidden="1">
      <c r="A692" s="2973">
        <v>691</v>
      </c>
      <c r="B692" s="2974" t="s">
        <v>3861</v>
      </c>
      <c r="C692" s="2974">
        <v>1</v>
      </c>
      <c r="D692" s="2976">
        <v>104</v>
      </c>
      <c r="E692" s="2976">
        <v>115.26</v>
      </c>
      <c r="F692" s="2974" t="s">
        <v>3859</v>
      </c>
      <c r="G692" s="2973" t="s">
        <v>3862</v>
      </c>
    </row>
    <row r="693" spans="1:7" ht="15.6" hidden="1">
      <c r="A693" s="2973">
        <v>692</v>
      </c>
      <c r="B693" s="2974" t="s">
        <v>3861</v>
      </c>
      <c r="C693" s="2974">
        <v>2</v>
      </c>
      <c r="D693" s="2976">
        <v>201</v>
      </c>
      <c r="E693" s="2976">
        <v>115.26</v>
      </c>
      <c r="F693" s="2974" t="s">
        <v>3859</v>
      </c>
      <c r="G693" s="2973" t="s">
        <v>3862</v>
      </c>
    </row>
    <row r="694" spans="1:7" ht="15.6" hidden="1">
      <c r="A694" s="2973">
        <v>693</v>
      </c>
      <c r="B694" s="2974" t="s">
        <v>3861</v>
      </c>
      <c r="C694" s="2974">
        <v>2</v>
      </c>
      <c r="D694" s="2976">
        <v>202</v>
      </c>
      <c r="E694" s="2976">
        <v>94.49</v>
      </c>
      <c r="F694" s="2974" t="s">
        <v>3859</v>
      </c>
      <c r="G694" s="2973" t="s">
        <v>3862</v>
      </c>
    </row>
    <row r="695" spans="1:7" ht="15.6" hidden="1">
      <c r="A695" s="2973">
        <v>694</v>
      </c>
      <c r="B695" s="2974" t="s">
        <v>3861</v>
      </c>
      <c r="C695" s="2974">
        <v>2</v>
      </c>
      <c r="D695" s="2976">
        <v>203</v>
      </c>
      <c r="E695" s="2976">
        <v>94.49</v>
      </c>
      <c r="F695" s="2974" t="s">
        <v>3859</v>
      </c>
      <c r="G695" s="2973" t="s">
        <v>3862</v>
      </c>
    </row>
    <row r="696" spans="1:7" ht="15.6" hidden="1">
      <c r="A696" s="2973">
        <v>695</v>
      </c>
      <c r="B696" s="2974" t="s">
        <v>3861</v>
      </c>
      <c r="C696" s="2974">
        <v>2</v>
      </c>
      <c r="D696" s="2976">
        <v>204</v>
      </c>
      <c r="E696" s="2976">
        <v>115.26</v>
      </c>
      <c r="F696" s="2974" t="s">
        <v>3859</v>
      </c>
      <c r="G696" s="2973" t="s">
        <v>3862</v>
      </c>
    </row>
    <row r="697" spans="1:7" ht="15.6" hidden="1">
      <c r="A697" s="2973">
        <v>696</v>
      </c>
      <c r="B697" s="2974" t="s">
        <v>3861</v>
      </c>
      <c r="C697" s="2974">
        <v>3</v>
      </c>
      <c r="D697" s="2976">
        <v>301</v>
      </c>
      <c r="E697" s="2976">
        <v>115.26</v>
      </c>
      <c r="F697" s="2974" t="s">
        <v>3859</v>
      </c>
      <c r="G697" s="2973" t="s">
        <v>3862</v>
      </c>
    </row>
    <row r="698" spans="1:7" ht="15.6" hidden="1">
      <c r="A698" s="2973">
        <v>697</v>
      </c>
      <c r="B698" s="2974" t="s">
        <v>3861</v>
      </c>
      <c r="C698" s="2974">
        <v>3</v>
      </c>
      <c r="D698" s="2976">
        <v>302</v>
      </c>
      <c r="E698" s="2976">
        <v>94.49</v>
      </c>
      <c r="F698" s="2974" t="s">
        <v>3859</v>
      </c>
      <c r="G698" s="2973" t="s">
        <v>3862</v>
      </c>
    </row>
    <row r="699" spans="1:7" ht="15.6" hidden="1">
      <c r="A699" s="2973">
        <v>698</v>
      </c>
      <c r="B699" s="2974" t="s">
        <v>3861</v>
      </c>
      <c r="C699" s="2974">
        <v>3</v>
      </c>
      <c r="D699" s="2976">
        <v>303</v>
      </c>
      <c r="E699" s="2976">
        <v>94.49</v>
      </c>
      <c r="F699" s="2974" t="s">
        <v>3859</v>
      </c>
      <c r="G699" s="2973" t="s">
        <v>3862</v>
      </c>
    </row>
    <row r="700" spans="1:7" ht="15.6" hidden="1">
      <c r="A700" s="2973">
        <v>699</v>
      </c>
      <c r="B700" s="2974" t="s">
        <v>3861</v>
      </c>
      <c r="C700" s="2974">
        <v>3</v>
      </c>
      <c r="D700" s="2976">
        <v>304</v>
      </c>
      <c r="E700" s="2976">
        <v>115.26</v>
      </c>
      <c r="F700" s="2974" t="s">
        <v>3859</v>
      </c>
      <c r="G700" s="2973" t="s">
        <v>3862</v>
      </c>
    </row>
    <row r="701" spans="1:7" ht="15.6" hidden="1">
      <c r="A701" s="2973">
        <v>700</v>
      </c>
      <c r="B701" s="2974" t="s">
        <v>3861</v>
      </c>
      <c r="C701" s="2974">
        <v>4</v>
      </c>
      <c r="D701" s="2976">
        <v>401</v>
      </c>
      <c r="E701" s="2976">
        <v>115.26</v>
      </c>
      <c r="F701" s="2974" t="s">
        <v>3859</v>
      </c>
      <c r="G701" s="2973" t="s">
        <v>3862</v>
      </c>
    </row>
    <row r="702" spans="1:7" ht="15.6" hidden="1">
      <c r="A702" s="2973">
        <v>701</v>
      </c>
      <c r="B702" s="2974" t="s">
        <v>3861</v>
      </c>
      <c r="C702" s="2974">
        <v>4</v>
      </c>
      <c r="D702" s="2976">
        <v>402</v>
      </c>
      <c r="E702" s="2976">
        <v>94.49</v>
      </c>
      <c r="F702" s="2974" t="s">
        <v>3859</v>
      </c>
      <c r="G702" s="2973" t="s">
        <v>3862</v>
      </c>
    </row>
    <row r="703" spans="1:7" ht="15.6" hidden="1">
      <c r="A703" s="2973">
        <v>702</v>
      </c>
      <c r="B703" s="2974" t="s">
        <v>3861</v>
      </c>
      <c r="C703" s="2974">
        <v>4</v>
      </c>
      <c r="D703" s="2976">
        <v>403</v>
      </c>
      <c r="E703" s="2976">
        <v>94.49</v>
      </c>
      <c r="F703" s="2974" t="s">
        <v>3859</v>
      </c>
      <c r="G703" s="2973" t="s">
        <v>3862</v>
      </c>
    </row>
    <row r="704" spans="1:7" ht="15.6" hidden="1">
      <c r="A704" s="2973">
        <v>703</v>
      </c>
      <c r="B704" s="2974" t="s">
        <v>3861</v>
      </c>
      <c r="C704" s="2974">
        <v>4</v>
      </c>
      <c r="D704" s="2976">
        <v>404</v>
      </c>
      <c r="E704" s="2976">
        <v>115.26</v>
      </c>
      <c r="F704" s="2974" t="s">
        <v>3859</v>
      </c>
      <c r="G704" s="2973" t="s">
        <v>3862</v>
      </c>
    </row>
    <row r="705" spans="1:7" ht="15.6" hidden="1">
      <c r="A705" s="2973">
        <v>704</v>
      </c>
      <c r="B705" s="2974" t="s">
        <v>3861</v>
      </c>
      <c r="C705" s="2974">
        <v>5</v>
      </c>
      <c r="D705" s="2976">
        <v>501</v>
      </c>
      <c r="E705" s="2976">
        <v>115.26</v>
      </c>
      <c r="F705" s="2974" t="s">
        <v>3859</v>
      </c>
      <c r="G705" s="2973" t="s">
        <v>3862</v>
      </c>
    </row>
    <row r="706" spans="1:7" ht="15.6" hidden="1">
      <c r="A706" s="2973">
        <v>705</v>
      </c>
      <c r="B706" s="2974" t="s">
        <v>3861</v>
      </c>
      <c r="C706" s="2974">
        <v>5</v>
      </c>
      <c r="D706" s="2976">
        <v>502</v>
      </c>
      <c r="E706" s="2976">
        <v>94.49</v>
      </c>
      <c r="F706" s="2974" t="s">
        <v>3859</v>
      </c>
      <c r="G706" s="2973" t="s">
        <v>3862</v>
      </c>
    </row>
    <row r="707" spans="1:7" ht="15.6" hidden="1">
      <c r="A707" s="2973">
        <v>706</v>
      </c>
      <c r="B707" s="2974" t="s">
        <v>3861</v>
      </c>
      <c r="C707" s="2974">
        <v>5</v>
      </c>
      <c r="D707" s="2976">
        <v>503</v>
      </c>
      <c r="E707" s="2976">
        <v>94.49</v>
      </c>
      <c r="F707" s="2974" t="s">
        <v>3859</v>
      </c>
      <c r="G707" s="2973" t="s">
        <v>3862</v>
      </c>
    </row>
    <row r="708" spans="1:7" ht="15.6" hidden="1">
      <c r="A708" s="2973">
        <v>707</v>
      </c>
      <c r="B708" s="2974" t="s">
        <v>3861</v>
      </c>
      <c r="C708" s="2974">
        <v>5</v>
      </c>
      <c r="D708" s="2976">
        <v>504</v>
      </c>
      <c r="E708" s="2976">
        <v>115.26</v>
      </c>
      <c r="F708" s="2974" t="s">
        <v>3859</v>
      </c>
      <c r="G708" s="2973" t="s">
        <v>3862</v>
      </c>
    </row>
    <row r="709" spans="1:7" ht="15.6" hidden="1">
      <c r="A709" s="2973">
        <v>708</v>
      </c>
      <c r="B709" s="2974" t="s">
        <v>3861</v>
      </c>
      <c r="C709" s="2974">
        <v>6</v>
      </c>
      <c r="D709" s="2976">
        <v>601</v>
      </c>
      <c r="E709" s="2976">
        <v>115.26</v>
      </c>
      <c r="F709" s="2974" t="s">
        <v>3859</v>
      </c>
      <c r="G709" s="2973" t="s">
        <v>3862</v>
      </c>
    </row>
    <row r="710" spans="1:7" ht="15.6" hidden="1">
      <c r="A710" s="2973">
        <v>709</v>
      </c>
      <c r="B710" s="2974" t="s">
        <v>3861</v>
      </c>
      <c r="C710" s="2974">
        <v>6</v>
      </c>
      <c r="D710" s="2976">
        <v>602</v>
      </c>
      <c r="E710" s="2976">
        <v>94.49</v>
      </c>
      <c r="F710" s="2974" t="s">
        <v>3859</v>
      </c>
      <c r="G710" s="2973" t="s">
        <v>3862</v>
      </c>
    </row>
    <row r="711" spans="1:7" ht="15.6" hidden="1">
      <c r="A711" s="2973">
        <v>710</v>
      </c>
      <c r="B711" s="2974" t="s">
        <v>3861</v>
      </c>
      <c r="C711" s="2974">
        <v>6</v>
      </c>
      <c r="D711" s="2976">
        <v>603</v>
      </c>
      <c r="E711" s="2976">
        <v>94.49</v>
      </c>
      <c r="F711" s="2974" t="s">
        <v>3859</v>
      </c>
      <c r="G711" s="2973" t="s">
        <v>3862</v>
      </c>
    </row>
    <row r="712" spans="1:7" ht="15.6" hidden="1">
      <c r="A712" s="2973">
        <v>711</v>
      </c>
      <c r="B712" s="2974" t="s">
        <v>3861</v>
      </c>
      <c r="C712" s="2974">
        <v>6</v>
      </c>
      <c r="D712" s="2976">
        <v>604</v>
      </c>
      <c r="E712" s="2976">
        <v>115.26</v>
      </c>
      <c r="F712" s="2974" t="s">
        <v>3859</v>
      </c>
      <c r="G712" s="2973" t="s">
        <v>3862</v>
      </c>
    </row>
    <row r="713" spans="1:7" ht="15.6" hidden="1">
      <c r="A713" s="2973">
        <v>712</v>
      </c>
      <c r="B713" s="2974" t="s">
        <v>3861</v>
      </c>
      <c r="C713" s="2974">
        <v>7</v>
      </c>
      <c r="D713" s="2976">
        <v>701</v>
      </c>
      <c r="E713" s="2976">
        <v>115.26</v>
      </c>
      <c r="F713" s="2974" t="s">
        <v>3859</v>
      </c>
      <c r="G713" s="2973" t="s">
        <v>3862</v>
      </c>
    </row>
    <row r="714" spans="1:7" ht="15.6" hidden="1">
      <c r="A714" s="2973">
        <v>713</v>
      </c>
      <c r="B714" s="2974" t="s">
        <v>3861</v>
      </c>
      <c r="C714" s="2974">
        <v>7</v>
      </c>
      <c r="D714" s="2976">
        <v>702</v>
      </c>
      <c r="E714" s="2976">
        <v>94.49</v>
      </c>
      <c r="F714" s="2974" t="s">
        <v>3859</v>
      </c>
      <c r="G714" s="2973" t="s">
        <v>3862</v>
      </c>
    </row>
    <row r="715" spans="1:7" ht="15.6" hidden="1">
      <c r="A715" s="2973">
        <v>714</v>
      </c>
      <c r="B715" s="2974" t="s">
        <v>3861</v>
      </c>
      <c r="C715" s="2974">
        <v>7</v>
      </c>
      <c r="D715" s="2976">
        <v>703</v>
      </c>
      <c r="E715" s="2976">
        <v>94.49</v>
      </c>
      <c r="F715" s="2974" t="s">
        <v>3859</v>
      </c>
      <c r="G715" s="2973" t="s">
        <v>3862</v>
      </c>
    </row>
    <row r="716" spans="1:7" ht="15.6" hidden="1">
      <c r="A716" s="2973">
        <v>715</v>
      </c>
      <c r="B716" s="2974" t="s">
        <v>3861</v>
      </c>
      <c r="C716" s="2974">
        <v>7</v>
      </c>
      <c r="D716" s="2976">
        <v>704</v>
      </c>
      <c r="E716" s="2976">
        <v>115.26</v>
      </c>
      <c r="F716" s="2974" t="s">
        <v>3859</v>
      </c>
      <c r="G716" s="2973" t="s">
        <v>3862</v>
      </c>
    </row>
    <row r="717" spans="1:7" ht="15.6" hidden="1">
      <c r="A717" s="2973">
        <v>716</v>
      </c>
      <c r="B717" s="2974" t="s">
        <v>3861</v>
      </c>
      <c r="C717" s="2974">
        <v>8</v>
      </c>
      <c r="D717" s="2976">
        <v>801</v>
      </c>
      <c r="E717" s="2976">
        <v>115.26</v>
      </c>
      <c r="F717" s="2974" t="s">
        <v>3859</v>
      </c>
      <c r="G717" s="2973" t="s">
        <v>3862</v>
      </c>
    </row>
    <row r="718" spans="1:7" ht="15.6" hidden="1">
      <c r="A718" s="2973">
        <v>717</v>
      </c>
      <c r="B718" s="2974" t="s">
        <v>3861</v>
      </c>
      <c r="C718" s="2974">
        <v>8</v>
      </c>
      <c r="D718" s="2976">
        <v>802</v>
      </c>
      <c r="E718" s="2976">
        <v>94.49</v>
      </c>
      <c r="F718" s="2974" t="s">
        <v>3859</v>
      </c>
      <c r="G718" s="2973" t="s">
        <v>3862</v>
      </c>
    </row>
    <row r="719" spans="1:7" ht="15.6" hidden="1">
      <c r="A719" s="2973">
        <v>718</v>
      </c>
      <c r="B719" s="2974" t="s">
        <v>3861</v>
      </c>
      <c r="C719" s="2974">
        <v>8</v>
      </c>
      <c r="D719" s="2976">
        <v>803</v>
      </c>
      <c r="E719" s="2976">
        <v>94.49</v>
      </c>
      <c r="F719" s="2974" t="s">
        <v>3859</v>
      </c>
      <c r="G719" s="2973" t="s">
        <v>3862</v>
      </c>
    </row>
    <row r="720" spans="1:7" ht="15.6" hidden="1">
      <c r="A720" s="2973">
        <v>719</v>
      </c>
      <c r="B720" s="2974" t="s">
        <v>3861</v>
      </c>
      <c r="C720" s="2974">
        <v>8</v>
      </c>
      <c r="D720" s="2976">
        <v>804</v>
      </c>
      <c r="E720" s="2976">
        <v>115.26</v>
      </c>
      <c r="F720" s="2974" t="s">
        <v>3859</v>
      </c>
      <c r="G720" s="2973" t="s">
        <v>3862</v>
      </c>
    </row>
    <row r="721" spans="1:7" ht="15.6" hidden="1">
      <c r="A721" s="2973">
        <v>720</v>
      </c>
      <c r="B721" s="2974" t="s">
        <v>3861</v>
      </c>
      <c r="C721" s="2974">
        <v>9</v>
      </c>
      <c r="D721" s="2976">
        <v>901</v>
      </c>
      <c r="E721" s="2976">
        <v>115.26</v>
      </c>
      <c r="F721" s="2974" t="s">
        <v>3859</v>
      </c>
      <c r="G721" s="2973" t="s">
        <v>3862</v>
      </c>
    </row>
    <row r="722" spans="1:7" ht="15.6" hidden="1">
      <c r="A722" s="2973">
        <v>721</v>
      </c>
      <c r="B722" s="2974" t="s">
        <v>3861</v>
      </c>
      <c r="C722" s="2974">
        <v>9</v>
      </c>
      <c r="D722" s="2976">
        <v>902</v>
      </c>
      <c r="E722" s="2976">
        <v>94.49</v>
      </c>
      <c r="F722" s="2974" t="s">
        <v>3859</v>
      </c>
      <c r="G722" s="2973" t="s">
        <v>3862</v>
      </c>
    </row>
    <row r="723" spans="1:7" ht="15.6" hidden="1">
      <c r="A723" s="2973">
        <v>722</v>
      </c>
      <c r="B723" s="2974" t="s">
        <v>3861</v>
      </c>
      <c r="C723" s="2974">
        <v>9</v>
      </c>
      <c r="D723" s="2976">
        <v>903</v>
      </c>
      <c r="E723" s="2976">
        <v>94.49</v>
      </c>
      <c r="F723" s="2974" t="s">
        <v>3859</v>
      </c>
      <c r="G723" s="2973" t="s">
        <v>3862</v>
      </c>
    </row>
    <row r="724" spans="1:7" ht="15.6" hidden="1">
      <c r="A724" s="2973">
        <v>723</v>
      </c>
      <c r="B724" s="2974" t="s">
        <v>3861</v>
      </c>
      <c r="C724" s="2974">
        <v>9</v>
      </c>
      <c r="D724" s="2976">
        <v>904</v>
      </c>
      <c r="E724" s="2976">
        <v>115.26</v>
      </c>
      <c r="F724" s="2974" t="s">
        <v>3859</v>
      </c>
      <c r="G724" s="2973" t="s">
        <v>3862</v>
      </c>
    </row>
    <row r="725" spans="1:7" ht="15.6" hidden="1">
      <c r="A725" s="2973">
        <v>724</v>
      </c>
      <c r="B725" s="2974" t="s">
        <v>3861</v>
      </c>
      <c r="C725" s="2974">
        <v>10</v>
      </c>
      <c r="D725" s="2976">
        <v>1001</v>
      </c>
      <c r="E725" s="2976">
        <v>115.26</v>
      </c>
      <c r="F725" s="2974" t="s">
        <v>3859</v>
      </c>
      <c r="G725" s="2973" t="s">
        <v>3862</v>
      </c>
    </row>
    <row r="726" spans="1:7" ht="15.6" hidden="1">
      <c r="A726" s="2973">
        <v>725</v>
      </c>
      <c r="B726" s="2974" t="s">
        <v>3861</v>
      </c>
      <c r="C726" s="2974">
        <v>10</v>
      </c>
      <c r="D726" s="2976">
        <v>1002</v>
      </c>
      <c r="E726" s="2976">
        <v>94.49</v>
      </c>
      <c r="F726" s="2974" t="s">
        <v>3859</v>
      </c>
      <c r="G726" s="2973" t="s">
        <v>3862</v>
      </c>
    </row>
    <row r="727" spans="1:7" ht="15.6" hidden="1">
      <c r="A727" s="2973">
        <v>726</v>
      </c>
      <c r="B727" s="2974" t="s">
        <v>3861</v>
      </c>
      <c r="C727" s="2974">
        <v>10</v>
      </c>
      <c r="D727" s="2976">
        <v>1003</v>
      </c>
      <c r="E727" s="2976">
        <v>94.49</v>
      </c>
      <c r="F727" s="2974" t="s">
        <v>3859</v>
      </c>
      <c r="G727" s="2973" t="s">
        <v>3862</v>
      </c>
    </row>
    <row r="728" spans="1:7" ht="15.6" hidden="1">
      <c r="A728" s="2973">
        <v>727</v>
      </c>
      <c r="B728" s="2974" t="s">
        <v>3861</v>
      </c>
      <c r="C728" s="2974">
        <v>10</v>
      </c>
      <c r="D728" s="2976">
        <v>1004</v>
      </c>
      <c r="E728" s="2976">
        <v>115.26</v>
      </c>
      <c r="F728" s="2974" t="s">
        <v>3859</v>
      </c>
      <c r="G728" s="2973" t="s">
        <v>3862</v>
      </c>
    </row>
    <row r="729" spans="1:7" ht="15.6" hidden="1">
      <c r="A729" s="2973">
        <v>728</v>
      </c>
      <c r="B729" s="2974" t="s">
        <v>3861</v>
      </c>
      <c r="C729" s="2974">
        <v>11</v>
      </c>
      <c r="D729" s="2976">
        <v>1101</v>
      </c>
      <c r="E729" s="2976">
        <v>115.26</v>
      </c>
      <c r="F729" s="2974" t="s">
        <v>3859</v>
      </c>
      <c r="G729" s="2973" t="s">
        <v>3862</v>
      </c>
    </row>
    <row r="730" spans="1:7" ht="15.6" hidden="1">
      <c r="A730" s="2973">
        <v>729</v>
      </c>
      <c r="B730" s="2974" t="s">
        <v>3861</v>
      </c>
      <c r="C730" s="2974">
        <v>11</v>
      </c>
      <c r="D730" s="2976">
        <v>1102</v>
      </c>
      <c r="E730" s="2976">
        <v>94.49</v>
      </c>
      <c r="F730" s="2974" t="s">
        <v>3859</v>
      </c>
      <c r="G730" s="2973" t="s">
        <v>3862</v>
      </c>
    </row>
    <row r="731" spans="1:7" ht="15.6" hidden="1">
      <c r="A731" s="2973">
        <v>730</v>
      </c>
      <c r="B731" s="2974" t="s">
        <v>3861</v>
      </c>
      <c r="C731" s="2974">
        <v>11</v>
      </c>
      <c r="D731" s="2976">
        <v>1103</v>
      </c>
      <c r="E731" s="2976">
        <v>94.49</v>
      </c>
      <c r="F731" s="2974" t="s">
        <v>3859</v>
      </c>
      <c r="G731" s="2973" t="s">
        <v>3862</v>
      </c>
    </row>
    <row r="732" spans="1:7" ht="15.6" hidden="1">
      <c r="A732" s="2973">
        <v>731</v>
      </c>
      <c r="B732" s="2974" t="s">
        <v>3861</v>
      </c>
      <c r="C732" s="2974">
        <v>11</v>
      </c>
      <c r="D732" s="2976">
        <v>1104</v>
      </c>
      <c r="E732" s="2976">
        <v>115.26</v>
      </c>
      <c r="F732" s="2974" t="s">
        <v>3859</v>
      </c>
      <c r="G732" s="2973" t="s">
        <v>3862</v>
      </c>
    </row>
    <row r="733" spans="1:7" ht="15.6" hidden="1">
      <c r="A733" s="2973">
        <v>732</v>
      </c>
      <c r="B733" s="2974" t="s">
        <v>3861</v>
      </c>
      <c r="C733" s="2974">
        <v>12</v>
      </c>
      <c r="D733" s="2976">
        <v>1201</v>
      </c>
      <c r="E733" s="2976">
        <v>115.26</v>
      </c>
      <c r="F733" s="2974" t="s">
        <v>3859</v>
      </c>
      <c r="G733" s="2973" t="s">
        <v>3862</v>
      </c>
    </row>
    <row r="734" spans="1:7" ht="15.6" hidden="1">
      <c r="A734" s="2973">
        <v>733</v>
      </c>
      <c r="B734" s="2974" t="s">
        <v>3861</v>
      </c>
      <c r="C734" s="2974">
        <v>12</v>
      </c>
      <c r="D734" s="2976">
        <v>1202</v>
      </c>
      <c r="E734" s="2976">
        <v>94.49</v>
      </c>
      <c r="F734" s="2974" t="s">
        <v>3859</v>
      </c>
      <c r="G734" s="2973" t="s">
        <v>3862</v>
      </c>
    </row>
    <row r="735" spans="1:7" ht="15.6" hidden="1">
      <c r="A735" s="2973">
        <v>734</v>
      </c>
      <c r="B735" s="2974" t="s">
        <v>3861</v>
      </c>
      <c r="C735" s="2974">
        <v>12</v>
      </c>
      <c r="D735" s="2976">
        <v>1203</v>
      </c>
      <c r="E735" s="2976">
        <v>94.49</v>
      </c>
      <c r="F735" s="2974" t="s">
        <v>3859</v>
      </c>
      <c r="G735" s="2973" t="s">
        <v>3862</v>
      </c>
    </row>
    <row r="736" spans="1:7" ht="15.6" hidden="1">
      <c r="A736" s="2973">
        <v>735</v>
      </c>
      <c r="B736" s="2974" t="s">
        <v>3861</v>
      </c>
      <c r="C736" s="2974">
        <v>12</v>
      </c>
      <c r="D736" s="2976">
        <v>1204</v>
      </c>
      <c r="E736" s="2976">
        <v>115.26</v>
      </c>
      <c r="F736" s="2974" t="s">
        <v>3859</v>
      </c>
      <c r="G736" s="2973" t="s">
        <v>3862</v>
      </c>
    </row>
    <row r="737" spans="1:7" ht="15.6" hidden="1">
      <c r="A737" s="2973">
        <v>736</v>
      </c>
      <c r="B737" s="2974" t="s">
        <v>3861</v>
      </c>
      <c r="C737" s="2974">
        <v>13</v>
      </c>
      <c r="D737" s="2976">
        <v>1301</v>
      </c>
      <c r="E737" s="2976">
        <v>115.26</v>
      </c>
      <c r="F737" s="2974" t="s">
        <v>3859</v>
      </c>
      <c r="G737" s="2973" t="s">
        <v>3862</v>
      </c>
    </row>
    <row r="738" spans="1:7" ht="15.6" hidden="1">
      <c r="A738" s="2973">
        <v>737</v>
      </c>
      <c r="B738" s="2974" t="s">
        <v>3861</v>
      </c>
      <c r="C738" s="2974">
        <v>13</v>
      </c>
      <c r="D738" s="2976">
        <v>1302</v>
      </c>
      <c r="E738" s="2976">
        <v>94.49</v>
      </c>
      <c r="F738" s="2974" t="s">
        <v>3859</v>
      </c>
      <c r="G738" s="2973" t="s">
        <v>3862</v>
      </c>
    </row>
    <row r="739" spans="1:7" ht="15.6" hidden="1">
      <c r="A739" s="2973">
        <v>738</v>
      </c>
      <c r="B739" s="2974" t="s">
        <v>3861</v>
      </c>
      <c r="C739" s="2974">
        <v>13</v>
      </c>
      <c r="D739" s="2976">
        <v>1303</v>
      </c>
      <c r="E739" s="2976">
        <v>94.49</v>
      </c>
      <c r="F739" s="2974" t="s">
        <v>3859</v>
      </c>
      <c r="G739" s="2973" t="s">
        <v>3862</v>
      </c>
    </row>
    <row r="740" spans="1:7" ht="15.6" hidden="1">
      <c r="A740" s="2973">
        <v>739</v>
      </c>
      <c r="B740" s="2974" t="s">
        <v>3861</v>
      </c>
      <c r="C740" s="2974">
        <v>13</v>
      </c>
      <c r="D740" s="2976">
        <v>1304</v>
      </c>
      <c r="E740" s="2976">
        <v>115.26</v>
      </c>
      <c r="F740" s="2974" t="s">
        <v>3859</v>
      </c>
      <c r="G740" s="2973" t="s">
        <v>3862</v>
      </c>
    </row>
    <row r="741" spans="1:7" ht="15.6" hidden="1">
      <c r="A741" s="2973">
        <v>740</v>
      </c>
      <c r="B741" s="2974" t="s">
        <v>3861</v>
      </c>
      <c r="C741" s="2974">
        <v>14</v>
      </c>
      <c r="D741" s="2976">
        <v>1401</v>
      </c>
      <c r="E741" s="2976">
        <v>115.26</v>
      </c>
      <c r="F741" s="2974" t="s">
        <v>3859</v>
      </c>
      <c r="G741" s="2973" t="s">
        <v>3862</v>
      </c>
    </row>
    <row r="742" spans="1:7" ht="15.6" hidden="1">
      <c r="A742" s="2973">
        <v>741</v>
      </c>
      <c r="B742" s="2974" t="s">
        <v>3861</v>
      </c>
      <c r="C742" s="2974">
        <v>14</v>
      </c>
      <c r="D742" s="2976">
        <v>1402</v>
      </c>
      <c r="E742" s="2976">
        <v>94.49</v>
      </c>
      <c r="F742" s="2974" t="s">
        <v>3859</v>
      </c>
      <c r="G742" s="2973" t="s">
        <v>3862</v>
      </c>
    </row>
    <row r="743" spans="1:7" ht="15.6" hidden="1">
      <c r="A743" s="2973">
        <v>742</v>
      </c>
      <c r="B743" s="2974" t="s">
        <v>3861</v>
      </c>
      <c r="C743" s="2974">
        <v>14</v>
      </c>
      <c r="D743" s="2976">
        <v>1403</v>
      </c>
      <c r="E743" s="2976">
        <v>94.49</v>
      </c>
      <c r="F743" s="2974" t="s">
        <v>3859</v>
      </c>
      <c r="G743" s="2973" t="s">
        <v>3862</v>
      </c>
    </row>
    <row r="744" spans="1:7" ht="15.6" hidden="1">
      <c r="A744" s="2973">
        <v>743</v>
      </c>
      <c r="B744" s="2974" t="s">
        <v>3861</v>
      </c>
      <c r="C744" s="2974">
        <v>14</v>
      </c>
      <c r="D744" s="2976">
        <v>1404</v>
      </c>
      <c r="E744" s="2976">
        <v>115.26</v>
      </c>
      <c r="F744" s="2974" t="s">
        <v>3859</v>
      </c>
      <c r="G744" s="2973" t="s">
        <v>3862</v>
      </c>
    </row>
    <row r="745" spans="1:7" ht="15.6" hidden="1">
      <c r="A745" s="2973">
        <v>744</v>
      </c>
      <c r="B745" s="2974" t="s">
        <v>3861</v>
      </c>
      <c r="C745" s="2974">
        <v>15</v>
      </c>
      <c r="D745" s="2976">
        <v>1501</v>
      </c>
      <c r="E745" s="2976">
        <v>115.26</v>
      </c>
      <c r="F745" s="2974" t="s">
        <v>3859</v>
      </c>
      <c r="G745" s="2973" t="s">
        <v>3862</v>
      </c>
    </row>
    <row r="746" spans="1:7" ht="15.6" hidden="1">
      <c r="A746" s="2973">
        <v>745</v>
      </c>
      <c r="B746" s="2974" t="s">
        <v>3861</v>
      </c>
      <c r="C746" s="2974">
        <v>15</v>
      </c>
      <c r="D746" s="2976">
        <v>1502</v>
      </c>
      <c r="E746" s="2976">
        <v>94.49</v>
      </c>
      <c r="F746" s="2974" t="s">
        <v>3859</v>
      </c>
      <c r="G746" s="2973" t="s">
        <v>3862</v>
      </c>
    </row>
    <row r="747" spans="1:7" ht="15.6" hidden="1">
      <c r="A747" s="2973">
        <v>746</v>
      </c>
      <c r="B747" s="2974" t="s">
        <v>3861</v>
      </c>
      <c r="C747" s="2974">
        <v>15</v>
      </c>
      <c r="D747" s="2976">
        <v>1503</v>
      </c>
      <c r="E747" s="2976">
        <v>94.49</v>
      </c>
      <c r="F747" s="2974" t="s">
        <v>3859</v>
      </c>
      <c r="G747" s="2973" t="s">
        <v>3862</v>
      </c>
    </row>
    <row r="748" spans="1:7" ht="15.6" hidden="1">
      <c r="A748" s="2973">
        <v>747</v>
      </c>
      <c r="B748" s="2974" t="s">
        <v>3861</v>
      </c>
      <c r="C748" s="2974">
        <v>15</v>
      </c>
      <c r="D748" s="2976">
        <v>1504</v>
      </c>
      <c r="E748" s="2976">
        <v>115.26</v>
      </c>
      <c r="F748" s="2974" t="s">
        <v>3859</v>
      </c>
      <c r="G748" s="2973" t="s">
        <v>3862</v>
      </c>
    </row>
    <row r="749" spans="1:7" ht="15.6" hidden="1">
      <c r="A749" s="2973">
        <v>748</v>
      </c>
      <c r="B749" s="2974" t="s">
        <v>3861</v>
      </c>
      <c r="C749" s="2974">
        <v>16</v>
      </c>
      <c r="D749" s="2976">
        <v>1601</v>
      </c>
      <c r="E749" s="2976">
        <v>115.26</v>
      </c>
      <c r="F749" s="2974" t="s">
        <v>3859</v>
      </c>
      <c r="G749" s="2973" t="s">
        <v>3862</v>
      </c>
    </row>
    <row r="750" spans="1:7" ht="15.6" hidden="1">
      <c r="A750" s="2973">
        <v>749</v>
      </c>
      <c r="B750" s="2974" t="s">
        <v>3861</v>
      </c>
      <c r="C750" s="2974">
        <v>16</v>
      </c>
      <c r="D750" s="2976">
        <v>1602</v>
      </c>
      <c r="E750" s="2976">
        <v>94.49</v>
      </c>
      <c r="F750" s="2974" t="s">
        <v>3859</v>
      </c>
      <c r="G750" s="2973" t="s">
        <v>3862</v>
      </c>
    </row>
    <row r="751" spans="1:7" ht="15.6" hidden="1">
      <c r="A751" s="2973">
        <v>750</v>
      </c>
      <c r="B751" s="2974" t="s">
        <v>3861</v>
      </c>
      <c r="C751" s="2974">
        <v>16</v>
      </c>
      <c r="D751" s="2976">
        <v>1603</v>
      </c>
      <c r="E751" s="2976">
        <v>94.49</v>
      </c>
      <c r="F751" s="2974" t="s">
        <v>3859</v>
      </c>
      <c r="G751" s="2973" t="s">
        <v>3862</v>
      </c>
    </row>
    <row r="752" spans="1:7" ht="15.6" hidden="1">
      <c r="A752" s="2973">
        <v>751</v>
      </c>
      <c r="B752" s="2974" t="s">
        <v>3861</v>
      </c>
      <c r="C752" s="2974">
        <v>16</v>
      </c>
      <c r="D752" s="2976">
        <v>1604</v>
      </c>
      <c r="E752" s="2976">
        <v>115.26</v>
      </c>
      <c r="F752" s="2974" t="s">
        <v>3859</v>
      </c>
      <c r="G752" s="2973" t="s">
        <v>3862</v>
      </c>
    </row>
    <row r="753" spans="1:7" ht="15.6" hidden="1">
      <c r="A753" s="2973">
        <v>752</v>
      </c>
      <c r="B753" s="2974" t="s">
        <v>3861</v>
      </c>
      <c r="C753" s="2974">
        <v>17</v>
      </c>
      <c r="D753" s="2976">
        <v>1701</v>
      </c>
      <c r="E753" s="2976">
        <v>115.26</v>
      </c>
      <c r="F753" s="2974" t="s">
        <v>3859</v>
      </c>
      <c r="G753" s="2973" t="s">
        <v>3862</v>
      </c>
    </row>
    <row r="754" spans="1:7" ht="15.6" hidden="1">
      <c r="A754" s="2973">
        <v>753</v>
      </c>
      <c r="B754" s="2974" t="s">
        <v>3861</v>
      </c>
      <c r="C754" s="2974">
        <v>17</v>
      </c>
      <c r="D754" s="2976">
        <v>1702</v>
      </c>
      <c r="E754" s="2976">
        <v>94.49</v>
      </c>
      <c r="F754" s="2974" t="s">
        <v>3859</v>
      </c>
      <c r="G754" s="2973" t="s">
        <v>3862</v>
      </c>
    </row>
    <row r="755" spans="1:7" ht="15.6" hidden="1">
      <c r="A755" s="2973">
        <v>754</v>
      </c>
      <c r="B755" s="2974" t="s">
        <v>3861</v>
      </c>
      <c r="C755" s="2974">
        <v>17</v>
      </c>
      <c r="D755" s="2976">
        <v>1703</v>
      </c>
      <c r="E755" s="2976">
        <v>94.49</v>
      </c>
      <c r="F755" s="2974" t="s">
        <v>3859</v>
      </c>
      <c r="G755" s="2973" t="s">
        <v>3862</v>
      </c>
    </row>
    <row r="756" spans="1:7" ht="15.6" hidden="1">
      <c r="A756" s="2973">
        <v>755</v>
      </c>
      <c r="B756" s="2974" t="s">
        <v>3861</v>
      </c>
      <c r="C756" s="2974">
        <v>17</v>
      </c>
      <c r="D756" s="2976">
        <v>1704</v>
      </c>
      <c r="E756" s="2976">
        <v>115.26</v>
      </c>
      <c r="F756" s="2974" t="s">
        <v>3859</v>
      </c>
      <c r="G756" s="2973" t="s">
        <v>3862</v>
      </c>
    </row>
    <row r="757" spans="1:7" ht="15.6" hidden="1">
      <c r="A757" s="2973">
        <v>756</v>
      </c>
      <c r="B757" s="2974" t="s">
        <v>3861</v>
      </c>
      <c r="C757" s="2974">
        <v>18</v>
      </c>
      <c r="D757" s="2976">
        <v>1801</v>
      </c>
      <c r="E757" s="2976">
        <v>115.26</v>
      </c>
      <c r="F757" s="2974" t="s">
        <v>3859</v>
      </c>
      <c r="G757" s="2973" t="s">
        <v>3862</v>
      </c>
    </row>
    <row r="758" spans="1:7" ht="15.6" hidden="1">
      <c r="A758" s="2973">
        <v>757</v>
      </c>
      <c r="B758" s="2974" t="s">
        <v>3861</v>
      </c>
      <c r="C758" s="2974">
        <v>18</v>
      </c>
      <c r="D758" s="2976">
        <v>1802</v>
      </c>
      <c r="E758" s="2976">
        <v>94.49</v>
      </c>
      <c r="F758" s="2974" t="s">
        <v>3859</v>
      </c>
      <c r="G758" s="2973" t="s">
        <v>3862</v>
      </c>
    </row>
    <row r="759" spans="1:7" ht="15.6" hidden="1">
      <c r="A759" s="2973">
        <v>758</v>
      </c>
      <c r="B759" s="2974" t="s">
        <v>3861</v>
      </c>
      <c r="C759" s="2974">
        <v>18</v>
      </c>
      <c r="D759" s="2976">
        <v>1803</v>
      </c>
      <c r="E759" s="2976">
        <v>94.49</v>
      </c>
      <c r="F759" s="2974" t="s">
        <v>3859</v>
      </c>
      <c r="G759" s="2973" t="s">
        <v>3862</v>
      </c>
    </row>
    <row r="760" spans="1:7" ht="15.6" hidden="1">
      <c r="A760" s="2973">
        <v>759</v>
      </c>
      <c r="B760" s="2974" t="s">
        <v>3861</v>
      </c>
      <c r="C760" s="2974">
        <v>18</v>
      </c>
      <c r="D760" s="2976">
        <v>1804</v>
      </c>
      <c r="E760" s="2976">
        <v>115.26</v>
      </c>
      <c r="F760" s="2974" t="s">
        <v>3859</v>
      </c>
      <c r="G760" s="2973" t="s">
        <v>3862</v>
      </c>
    </row>
    <row r="761" spans="1:7" ht="15.6" hidden="1">
      <c r="A761" s="2973">
        <v>760</v>
      </c>
      <c r="B761" s="2974" t="s">
        <v>3861</v>
      </c>
      <c r="C761" s="2974">
        <v>19</v>
      </c>
      <c r="D761" s="2976">
        <v>1901</v>
      </c>
      <c r="E761" s="2976">
        <v>115.26</v>
      </c>
      <c r="F761" s="2974" t="s">
        <v>3859</v>
      </c>
      <c r="G761" s="2973" t="s">
        <v>3862</v>
      </c>
    </row>
    <row r="762" spans="1:7" ht="15.6" hidden="1">
      <c r="A762" s="2973">
        <v>761</v>
      </c>
      <c r="B762" s="2974" t="s">
        <v>3861</v>
      </c>
      <c r="C762" s="2974">
        <v>19</v>
      </c>
      <c r="D762" s="2976">
        <v>1902</v>
      </c>
      <c r="E762" s="2976">
        <v>94.49</v>
      </c>
      <c r="F762" s="2974" t="s">
        <v>3859</v>
      </c>
      <c r="G762" s="2973" t="s">
        <v>3862</v>
      </c>
    </row>
    <row r="763" spans="1:7" ht="15.6" hidden="1">
      <c r="A763" s="2973">
        <v>762</v>
      </c>
      <c r="B763" s="2974" t="s">
        <v>3861</v>
      </c>
      <c r="C763" s="2974">
        <v>19</v>
      </c>
      <c r="D763" s="2976">
        <v>1903</v>
      </c>
      <c r="E763" s="2976">
        <v>94.49</v>
      </c>
      <c r="F763" s="2974" t="s">
        <v>3859</v>
      </c>
      <c r="G763" s="2973" t="s">
        <v>3862</v>
      </c>
    </row>
    <row r="764" spans="1:7" ht="15.6" hidden="1">
      <c r="A764" s="2973">
        <v>763</v>
      </c>
      <c r="B764" s="2974" t="s">
        <v>3861</v>
      </c>
      <c r="C764" s="2974">
        <v>19</v>
      </c>
      <c r="D764" s="2976">
        <v>1904</v>
      </c>
      <c r="E764" s="2976">
        <v>115.26</v>
      </c>
      <c r="F764" s="2974" t="s">
        <v>3859</v>
      </c>
      <c r="G764" s="2973" t="s">
        <v>3862</v>
      </c>
    </row>
    <row r="765" spans="1:7" ht="15.6" hidden="1">
      <c r="A765" s="2973">
        <v>764</v>
      </c>
      <c r="B765" s="2974" t="s">
        <v>3861</v>
      </c>
      <c r="C765" s="2974">
        <v>20</v>
      </c>
      <c r="D765" s="2976">
        <v>2001</v>
      </c>
      <c r="E765" s="2976">
        <v>115.26</v>
      </c>
      <c r="F765" s="2974" t="s">
        <v>3859</v>
      </c>
      <c r="G765" s="2973" t="s">
        <v>3862</v>
      </c>
    </row>
    <row r="766" spans="1:7" ht="15.6" hidden="1">
      <c r="A766" s="2973">
        <v>765</v>
      </c>
      <c r="B766" s="2974" t="s">
        <v>3861</v>
      </c>
      <c r="C766" s="2974">
        <v>20</v>
      </c>
      <c r="D766" s="2976">
        <v>2002</v>
      </c>
      <c r="E766" s="2976">
        <v>94.49</v>
      </c>
      <c r="F766" s="2974" t="s">
        <v>3859</v>
      </c>
      <c r="G766" s="2973" t="s">
        <v>3862</v>
      </c>
    </row>
    <row r="767" spans="1:7" ht="15.6" hidden="1">
      <c r="A767" s="2973">
        <v>766</v>
      </c>
      <c r="B767" s="2974" t="s">
        <v>3861</v>
      </c>
      <c r="C767" s="2974">
        <v>20</v>
      </c>
      <c r="D767" s="2976">
        <v>2003</v>
      </c>
      <c r="E767" s="2976">
        <v>94.49</v>
      </c>
      <c r="F767" s="2974" t="s">
        <v>3859</v>
      </c>
      <c r="G767" s="2973" t="s">
        <v>3862</v>
      </c>
    </row>
    <row r="768" spans="1:7" ht="15.6" hidden="1">
      <c r="A768" s="2973">
        <v>767</v>
      </c>
      <c r="B768" s="2974" t="s">
        <v>3861</v>
      </c>
      <c r="C768" s="2974">
        <v>20</v>
      </c>
      <c r="D768" s="2976">
        <v>2004</v>
      </c>
      <c r="E768" s="2976">
        <v>115.26</v>
      </c>
      <c r="F768" s="2974" t="s">
        <v>3859</v>
      </c>
      <c r="G768" s="2973" t="s">
        <v>3862</v>
      </c>
    </row>
    <row r="769" spans="1:7" ht="15.6" hidden="1">
      <c r="A769" s="2973">
        <v>768</v>
      </c>
      <c r="B769" s="2974" t="s">
        <v>3863</v>
      </c>
      <c r="C769" s="2973">
        <v>1</v>
      </c>
      <c r="D769" s="2976">
        <v>101</v>
      </c>
      <c r="E769" s="2976">
        <v>116.79</v>
      </c>
      <c r="F769" s="2974" t="s">
        <v>3859</v>
      </c>
      <c r="G769" s="2973" t="s">
        <v>3862</v>
      </c>
    </row>
    <row r="770" spans="1:7" ht="15.6" hidden="1">
      <c r="A770" s="2973">
        <v>769</v>
      </c>
      <c r="B770" s="2974" t="s">
        <v>3863</v>
      </c>
      <c r="C770" s="2973">
        <v>1</v>
      </c>
      <c r="D770" s="2976">
        <v>102</v>
      </c>
      <c r="E770" s="2976">
        <v>62.86</v>
      </c>
      <c r="F770" s="2974" t="s">
        <v>3859</v>
      </c>
      <c r="G770" s="2973" t="s">
        <v>3862</v>
      </c>
    </row>
    <row r="771" spans="1:7" ht="15.6" hidden="1">
      <c r="A771" s="2973">
        <v>770</v>
      </c>
      <c r="B771" s="2974" t="s">
        <v>3863</v>
      </c>
      <c r="C771" s="2974">
        <v>1</v>
      </c>
      <c r="D771" s="2976">
        <v>103</v>
      </c>
      <c r="E771" s="2976">
        <v>95.88</v>
      </c>
      <c r="F771" s="2974" t="s">
        <v>3859</v>
      </c>
      <c r="G771" s="2973" t="s">
        <v>3862</v>
      </c>
    </row>
    <row r="772" spans="1:7" ht="15.6" hidden="1">
      <c r="A772" s="2973">
        <v>771</v>
      </c>
      <c r="B772" s="2974" t="s">
        <v>3863</v>
      </c>
      <c r="C772" s="2974">
        <v>1</v>
      </c>
      <c r="D772" s="2976">
        <v>104</v>
      </c>
      <c r="E772" s="2976">
        <v>116.79</v>
      </c>
      <c r="F772" s="2974" t="s">
        <v>3859</v>
      </c>
      <c r="G772" s="2973" t="s">
        <v>3862</v>
      </c>
    </row>
    <row r="773" spans="1:7" ht="15.6" hidden="1">
      <c r="A773" s="2973">
        <v>772</v>
      </c>
      <c r="B773" s="2974" t="s">
        <v>3863</v>
      </c>
      <c r="C773" s="2974">
        <v>2</v>
      </c>
      <c r="D773" s="2976">
        <v>201</v>
      </c>
      <c r="E773" s="2976">
        <v>116.79</v>
      </c>
      <c r="F773" s="2974" t="s">
        <v>3859</v>
      </c>
      <c r="G773" s="2973" t="s">
        <v>3862</v>
      </c>
    </row>
    <row r="774" spans="1:7" ht="15.6" hidden="1">
      <c r="A774" s="2973">
        <v>773</v>
      </c>
      <c r="B774" s="2974" t="s">
        <v>3863</v>
      </c>
      <c r="C774" s="2974">
        <v>2</v>
      </c>
      <c r="D774" s="2976">
        <v>202</v>
      </c>
      <c r="E774" s="2976">
        <v>95.88</v>
      </c>
      <c r="F774" s="2974" t="s">
        <v>3859</v>
      </c>
      <c r="G774" s="2973" t="s">
        <v>3862</v>
      </c>
    </row>
    <row r="775" spans="1:7" ht="15.6" hidden="1">
      <c r="A775" s="2973">
        <v>774</v>
      </c>
      <c r="B775" s="2974" t="s">
        <v>3863</v>
      </c>
      <c r="C775" s="2974">
        <v>2</v>
      </c>
      <c r="D775" s="2976">
        <v>203</v>
      </c>
      <c r="E775" s="2976">
        <v>95.88</v>
      </c>
      <c r="F775" s="2974" t="s">
        <v>3859</v>
      </c>
      <c r="G775" s="2973" t="s">
        <v>3862</v>
      </c>
    </row>
    <row r="776" spans="1:7" ht="15.6" hidden="1">
      <c r="A776" s="2973">
        <v>775</v>
      </c>
      <c r="B776" s="2974" t="s">
        <v>3863</v>
      </c>
      <c r="C776" s="2974">
        <v>2</v>
      </c>
      <c r="D776" s="2976">
        <v>204</v>
      </c>
      <c r="E776" s="2976">
        <v>116.79</v>
      </c>
      <c r="F776" s="2974" t="s">
        <v>3859</v>
      </c>
      <c r="G776" s="2973" t="s">
        <v>3862</v>
      </c>
    </row>
    <row r="777" spans="1:7" ht="15.6" hidden="1">
      <c r="A777" s="2973">
        <v>776</v>
      </c>
      <c r="B777" s="2974" t="s">
        <v>3863</v>
      </c>
      <c r="C777" s="2974">
        <v>3</v>
      </c>
      <c r="D777" s="2976">
        <v>301</v>
      </c>
      <c r="E777" s="2976">
        <v>116.79</v>
      </c>
      <c r="F777" s="2974" t="s">
        <v>3859</v>
      </c>
      <c r="G777" s="2973" t="s">
        <v>3862</v>
      </c>
    </row>
    <row r="778" spans="1:7" ht="15.6" hidden="1">
      <c r="A778" s="2973">
        <v>777</v>
      </c>
      <c r="B778" s="2974" t="s">
        <v>3863</v>
      </c>
      <c r="C778" s="2974">
        <v>3</v>
      </c>
      <c r="D778" s="2976">
        <v>302</v>
      </c>
      <c r="E778" s="2976">
        <v>95.88</v>
      </c>
      <c r="F778" s="2974" t="s">
        <v>3859</v>
      </c>
      <c r="G778" s="2973" t="s">
        <v>3862</v>
      </c>
    </row>
    <row r="779" spans="1:7" ht="15.6" hidden="1">
      <c r="A779" s="2973">
        <v>778</v>
      </c>
      <c r="B779" s="2974" t="s">
        <v>3863</v>
      </c>
      <c r="C779" s="2974">
        <v>3</v>
      </c>
      <c r="D779" s="2976">
        <v>303</v>
      </c>
      <c r="E779" s="2976">
        <v>95.88</v>
      </c>
      <c r="F779" s="2974" t="s">
        <v>3859</v>
      </c>
      <c r="G779" s="2973" t="s">
        <v>3862</v>
      </c>
    </row>
    <row r="780" spans="1:7" ht="15.6" hidden="1">
      <c r="A780" s="2973">
        <v>779</v>
      </c>
      <c r="B780" s="2974" t="s">
        <v>3863</v>
      </c>
      <c r="C780" s="2974">
        <v>3</v>
      </c>
      <c r="D780" s="2976">
        <v>304</v>
      </c>
      <c r="E780" s="2976">
        <v>116.79</v>
      </c>
      <c r="F780" s="2974" t="s">
        <v>3859</v>
      </c>
      <c r="G780" s="2973" t="s">
        <v>3862</v>
      </c>
    </row>
    <row r="781" spans="1:7" ht="15.6" hidden="1">
      <c r="A781" s="2973">
        <v>780</v>
      </c>
      <c r="B781" s="2974" t="s">
        <v>3863</v>
      </c>
      <c r="C781" s="2974">
        <v>4</v>
      </c>
      <c r="D781" s="2976">
        <v>401</v>
      </c>
      <c r="E781" s="2976">
        <v>116.79</v>
      </c>
      <c r="F781" s="2974" t="s">
        <v>3859</v>
      </c>
      <c r="G781" s="2973" t="s">
        <v>3862</v>
      </c>
    </row>
    <row r="782" spans="1:7" ht="15.6" hidden="1">
      <c r="A782" s="2973">
        <v>781</v>
      </c>
      <c r="B782" s="2974" t="s">
        <v>3863</v>
      </c>
      <c r="C782" s="2974">
        <v>4</v>
      </c>
      <c r="D782" s="2976">
        <v>402</v>
      </c>
      <c r="E782" s="2976">
        <v>95.88</v>
      </c>
      <c r="F782" s="2974" t="s">
        <v>3859</v>
      </c>
      <c r="G782" s="2973" t="s">
        <v>3862</v>
      </c>
    </row>
    <row r="783" spans="1:7" ht="15.6" hidden="1">
      <c r="A783" s="2973">
        <v>782</v>
      </c>
      <c r="B783" s="2974" t="s">
        <v>3863</v>
      </c>
      <c r="C783" s="2974">
        <v>4</v>
      </c>
      <c r="D783" s="2976">
        <v>403</v>
      </c>
      <c r="E783" s="2976">
        <v>95.88</v>
      </c>
      <c r="F783" s="2974" t="s">
        <v>3859</v>
      </c>
      <c r="G783" s="2973" t="s">
        <v>3862</v>
      </c>
    </row>
    <row r="784" spans="1:7" ht="15.6" hidden="1">
      <c r="A784" s="2973">
        <v>783</v>
      </c>
      <c r="B784" s="2974" t="s">
        <v>3863</v>
      </c>
      <c r="C784" s="2974">
        <v>4</v>
      </c>
      <c r="D784" s="2976">
        <v>404</v>
      </c>
      <c r="E784" s="2976">
        <v>116.79</v>
      </c>
      <c r="F784" s="2974" t="s">
        <v>3859</v>
      </c>
      <c r="G784" s="2973" t="s">
        <v>3862</v>
      </c>
    </row>
    <row r="785" spans="1:7" ht="15.6" hidden="1">
      <c r="A785" s="2973">
        <v>784</v>
      </c>
      <c r="B785" s="2974" t="s">
        <v>3863</v>
      </c>
      <c r="C785" s="2974">
        <v>5</v>
      </c>
      <c r="D785" s="2976">
        <v>501</v>
      </c>
      <c r="E785" s="2976">
        <v>116.79</v>
      </c>
      <c r="F785" s="2974" t="s">
        <v>3859</v>
      </c>
      <c r="G785" s="2973" t="s">
        <v>3862</v>
      </c>
    </row>
    <row r="786" spans="1:7" ht="15.6" hidden="1">
      <c r="A786" s="2973">
        <v>785</v>
      </c>
      <c r="B786" s="2974" t="s">
        <v>3863</v>
      </c>
      <c r="C786" s="2974">
        <v>5</v>
      </c>
      <c r="D786" s="2976">
        <v>502</v>
      </c>
      <c r="E786" s="2976">
        <v>95.88</v>
      </c>
      <c r="F786" s="2974" t="s">
        <v>3859</v>
      </c>
      <c r="G786" s="2973" t="s">
        <v>3862</v>
      </c>
    </row>
    <row r="787" spans="1:7" ht="15.6" hidden="1">
      <c r="A787" s="2973">
        <v>786</v>
      </c>
      <c r="B787" s="2974" t="s">
        <v>3863</v>
      </c>
      <c r="C787" s="2974">
        <v>5</v>
      </c>
      <c r="D787" s="2976">
        <v>503</v>
      </c>
      <c r="E787" s="2976">
        <v>95.88</v>
      </c>
      <c r="F787" s="2974" t="s">
        <v>3859</v>
      </c>
      <c r="G787" s="2973" t="s">
        <v>3862</v>
      </c>
    </row>
    <row r="788" spans="1:7" ht="15.6" hidden="1">
      <c r="A788" s="2973">
        <v>787</v>
      </c>
      <c r="B788" s="2974" t="s">
        <v>3863</v>
      </c>
      <c r="C788" s="2974">
        <v>5</v>
      </c>
      <c r="D788" s="2976">
        <v>504</v>
      </c>
      <c r="E788" s="2976">
        <v>116.79</v>
      </c>
      <c r="F788" s="2974" t="s">
        <v>3859</v>
      </c>
      <c r="G788" s="2973" t="s">
        <v>3862</v>
      </c>
    </row>
    <row r="789" spans="1:7" ht="15.6" hidden="1">
      <c r="A789" s="2973">
        <v>788</v>
      </c>
      <c r="B789" s="2974" t="s">
        <v>3863</v>
      </c>
      <c r="C789" s="2974">
        <v>6</v>
      </c>
      <c r="D789" s="2976">
        <v>601</v>
      </c>
      <c r="E789" s="2976">
        <v>116.79</v>
      </c>
      <c r="F789" s="2974" t="s">
        <v>3859</v>
      </c>
      <c r="G789" s="2973" t="s">
        <v>3862</v>
      </c>
    </row>
    <row r="790" spans="1:7" ht="15.6" hidden="1">
      <c r="A790" s="2973">
        <v>789</v>
      </c>
      <c r="B790" s="2974" t="s">
        <v>3863</v>
      </c>
      <c r="C790" s="2974">
        <v>6</v>
      </c>
      <c r="D790" s="2976">
        <v>602</v>
      </c>
      <c r="E790" s="2976">
        <v>95.88</v>
      </c>
      <c r="F790" s="2974" t="s">
        <v>3859</v>
      </c>
      <c r="G790" s="2973" t="s">
        <v>3862</v>
      </c>
    </row>
    <row r="791" spans="1:7" ht="15.6" hidden="1">
      <c r="A791" s="2973">
        <v>790</v>
      </c>
      <c r="B791" s="2974" t="s">
        <v>3863</v>
      </c>
      <c r="C791" s="2974">
        <v>6</v>
      </c>
      <c r="D791" s="2976">
        <v>603</v>
      </c>
      <c r="E791" s="2976">
        <v>95.88</v>
      </c>
      <c r="F791" s="2974" t="s">
        <v>3859</v>
      </c>
      <c r="G791" s="2973" t="s">
        <v>3862</v>
      </c>
    </row>
    <row r="792" spans="1:7" ht="15.6" hidden="1">
      <c r="A792" s="2973">
        <v>791</v>
      </c>
      <c r="B792" s="2974" t="s">
        <v>3863</v>
      </c>
      <c r="C792" s="2974">
        <v>6</v>
      </c>
      <c r="D792" s="2976">
        <v>604</v>
      </c>
      <c r="E792" s="2976">
        <v>116.79</v>
      </c>
      <c r="F792" s="2974" t="s">
        <v>3859</v>
      </c>
      <c r="G792" s="2973" t="s">
        <v>3862</v>
      </c>
    </row>
    <row r="793" spans="1:7" ht="15.6" hidden="1">
      <c r="A793" s="2973">
        <v>792</v>
      </c>
      <c r="B793" s="2974" t="s">
        <v>3863</v>
      </c>
      <c r="C793" s="2974">
        <v>7</v>
      </c>
      <c r="D793" s="2976">
        <v>701</v>
      </c>
      <c r="E793" s="2976">
        <v>116.79</v>
      </c>
      <c r="F793" s="2974" t="s">
        <v>3859</v>
      </c>
      <c r="G793" s="2973" t="s">
        <v>3862</v>
      </c>
    </row>
    <row r="794" spans="1:7" ht="15.6" hidden="1">
      <c r="A794" s="2973">
        <v>793</v>
      </c>
      <c r="B794" s="2974" t="s">
        <v>3863</v>
      </c>
      <c r="C794" s="2974">
        <v>7</v>
      </c>
      <c r="D794" s="2976">
        <v>702</v>
      </c>
      <c r="E794" s="2976">
        <v>95.88</v>
      </c>
      <c r="F794" s="2974" t="s">
        <v>3859</v>
      </c>
      <c r="G794" s="2973" t="s">
        <v>3862</v>
      </c>
    </row>
    <row r="795" spans="1:7" ht="15.6" hidden="1">
      <c r="A795" s="2973">
        <v>794</v>
      </c>
      <c r="B795" s="2974" t="s">
        <v>3863</v>
      </c>
      <c r="C795" s="2974">
        <v>7</v>
      </c>
      <c r="D795" s="2976">
        <v>703</v>
      </c>
      <c r="E795" s="2976">
        <v>95.88</v>
      </c>
      <c r="F795" s="2974" t="s">
        <v>3859</v>
      </c>
      <c r="G795" s="2973" t="s">
        <v>3862</v>
      </c>
    </row>
    <row r="796" spans="1:7" ht="15.6" hidden="1">
      <c r="A796" s="2973">
        <v>795</v>
      </c>
      <c r="B796" s="2974" t="s">
        <v>3863</v>
      </c>
      <c r="C796" s="2974">
        <v>7</v>
      </c>
      <c r="D796" s="2976">
        <v>704</v>
      </c>
      <c r="E796" s="2976">
        <v>116.79</v>
      </c>
      <c r="F796" s="2974" t="s">
        <v>3859</v>
      </c>
      <c r="G796" s="2973" t="s">
        <v>3862</v>
      </c>
    </row>
    <row r="797" spans="1:7" ht="15.6" hidden="1">
      <c r="A797" s="2973">
        <v>796</v>
      </c>
      <c r="B797" s="2974" t="s">
        <v>3863</v>
      </c>
      <c r="C797" s="2974">
        <v>8</v>
      </c>
      <c r="D797" s="2976">
        <v>801</v>
      </c>
      <c r="E797" s="2976">
        <v>116.79</v>
      </c>
      <c r="F797" s="2974" t="s">
        <v>3859</v>
      </c>
      <c r="G797" s="2973" t="s">
        <v>3862</v>
      </c>
    </row>
    <row r="798" spans="1:7" ht="15.6" hidden="1">
      <c r="A798" s="2973">
        <v>797</v>
      </c>
      <c r="B798" s="2974" t="s">
        <v>3863</v>
      </c>
      <c r="C798" s="2974">
        <v>8</v>
      </c>
      <c r="D798" s="2976">
        <v>802</v>
      </c>
      <c r="E798" s="2976">
        <v>95.88</v>
      </c>
      <c r="F798" s="2974" t="s">
        <v>3859</v>
      </c>
      <c r="G798" s="2973" t="s">
        <v>3862</v>
      </c>
    </row>
    <row r="799" spans="1:7" ht="15.6" hidden="1">
      <c r="A799" s="2973">
        <v>798</v>
      </c>
      <c r="B799" s="2974" t="s">
        <v>3863</v>
      </c>
      <c r="C799" s="2974">
        <v>8</v>
      </c>
      <c r="D799" s="2976">
        <v>803</v>
      </c>
      <c r="E799" s="2976">
        <v>95.88</v>
      </c>
      <c r="F799" s="2974" t="s">
        <v>3859</v>
      </c>
      <c r="G799" s="2973" t="s">
        <v>3862</v>
      </c>
    </row>
    <row r="800" spans="1:7" ht="15.6" hidden="1">
      <c r="A800" s="2973">
        <v>799</v>
      </c>
      <c r="B800" s="2974" t="s">
        <v>3863</v>
      </c>
      <c r="C800" s="2974">
        <v>8</v>
      </c>
      <c r="D800" s="2976">
        <v>804</v>
      </c>
      <c r="E800" s="2976">
        <v>116.79</v>
      </c>
      <c r="F800" s="2974" t="s">
        <v>3859</v>
      </c>
      <c r="G800" s="2973" t="s">
        <v>3862</v>
      </c>
    </row>
    <row r="801" spans="1:7" ht="15.6" hidden="1">
      <c r="A801" s="2973">
        <v>800</v>
      </c>
      <c r="B801" s="2974" t="s">
        <v>3863</v>
      </c>
      <c r="C801" s="2974">
        <v>9</v>
      </c>
      <c r="D801" s="2976">
        <v>901</v>
      </c>
      <c r="E801" s="2976">
        <v>116.79</v>
      </c>
      <c r="F801" s="2974" t="s">
        <v>3859</v>
      </c>
      <c r="G801" s="2973" t="s">
        <v>3862</v>
      </c>
    </row>
    <row r="802" spans="1:7" ht="15.6" hidden="1">
      <c r="A802" s="2973">
        <v>801</v>
      </c>
      <c r="B802" s="2974" t="s">
        <v>3863</v>
      </c>
      <c r="C802" s="2974">
        <v>9</v>
      </c>
      <c r="D802" s="2976">
        <v>902</v>
      </c>
      <c r="E802" s="2976">
        <v>95.88</v>
      </c>
      <c r="F802" s="2974" t="s">
        <v>3859</v>
      </c>
      <c r="G802" s="2973" t="s">
        <v>3862</v>
      </c>
    </row>
    <row r="803" spans="1:7" ht="15.6" hidden="1">
      <c r="A803" s="2973">
        <v>802</v>
      </c>
      <c r="B803" s="2974" t="s">
        <v>3863</v>
      </c>
      <c r="C803" s="2974">
        <v>9</v>
      </c>
      <c r="D803" s="2976">
        <v>903</v>
      </c>
      <c r="E803" s="2976">
        <v>95.88</v>
      </c>
      <c r="F803" s="2974" t="s">
        <v>3859</v>
      </c>
      <c r="G803" s="2973" t="s">
        <v>3862</v>
      </c>
    </row>
    <row r="804" spans="1:7" ht="15.6" hidden="1">
      <c r="A804" s="2973">
        <v>803</v>
      </c>
      <c r="B804" s="2974" t="s">
        <v>3863</v>
      </c>
      <c r="C804" s="2974">
        <v>9</v>
      </c>
      <c r="D804" s="2976">
        <v>904</v>
      </c>
      <c r="E804" s="2976">
        <v>116.79</v>
      </c>
      <c r="F804" s="2974" t="s">
        <v>3859</v>
      </c>
      <c r="G804" s="2973" t="s">
        <v>3862</v>
      </c>
    </row>
    <row r="805" spans="1:7" ht="15.6" hidden="1">
      <c r="A805" s="2973">
        <v>804</v>
      </c>
      <c r="B805" s="2974" t="s">
        <v>3863</v>
      </c>
      <c r="C805" s="2974">
        <v>10</v>
      </c>
      <c r="D805" s="2976">
        <v>1001</v>
      </c>
      <c r="E805" s="2976">
        <v>116.79</v>
      </c>
      <c r="F805" s="2974" t="s">
        <v>3859</v>
      </c>
      <c r="G805" s="2973" t="s">
        <v>3862</v>
      </c>
    </row>
    <row r="806" spans="1:7" ht="15.6" hidden="1">
      <c r="A806" s="2973">
        <v>805</v>
      </c>
      <c r="B806" s="2974" t="s">
        <v>3863</v>
      </c>
      <c r="C806" s="2974">
        <v>10</v>
      </c>
      <c r="D806" s="2976">
        <v>1002</v>
      </c>
      <c r="E806" s="2976">
        <v>95.88</v>
      </c>
      <c r="F806" s="2974" t="s">
        <v>3859</v>
      </c>
      <c r="G806" s="2973" t="s">
        <v>3862</v>
      </c>
    </row>
    <row r="807" spans="1:7" ht="15.6" hidden="1">
      <c r="A807" s="2973">
        <v>806</v>
      </c>
      <c r="B807" s="2974" t="s">
        <v>3863</v>
      </c>
      <c r="C807" s="2974">
        <v>10</v>
      </c>
      <c r="D807" s="2976">
        <v>1003</v>
      </c>
      <c r="E807" s="2976">
        <v>95.88</v>
      </c>
      <c r="F807" s="2974" t="s">
        <v>3859</v>
      </c>
      <c r="G807" s="2973" t="s">
        <v>3862</v>
      </c>
    </row>
    <row r="808" spans="1:7" ht="15.6" hidden="1">
      <c r="A808" s="2973">
        <v>807</v>
      </c>
      <c r="B808" s="2974" t="s">
        <v>3863</v>
      </c>
      <c r="C808" s="2974">
        <v>10</v>
      </c>
      <c r="D808" s="2976">
        <v>1004</v>
      </c>
      <c r="E808" s="2976">
        <v>116.79</v>
      </c>
      <c r="F808" s="2974" t="s">
        <v>3859</v>
      </c>
      <c r="G808" s="2973" t="s">
        <v>3862</v>
      </c>
    </row>
    <row r="809" spans="1:7" ht="15.6" hidden="1">
      <c r="A809" s="2973">
        <v>808</v>
      </c>
      <c r="B809" s="2974" t="s">
        <v>3863</v>
      </c>
      <c r="C809" s="2974">
        <v>11</v>
      </c>
      <c r="D809" s="2976">
        <v>1101</v>
      </c>
      <c r="E809" s="2976">
        <v>116.79</v>
      </c>
      <c r="F809" s="2974" t="s">
        <v>3859</v>
      </c>
      <c r="G809" s="2973" t="s">
        <v>3862</v>
      </c>
    </row>
    <row r="810" spans="1:7" ht="15.6" hidden="1">
      <c r="A810" s="2973">
        <v>809</v>
      </c>
      <c r="B810" s="2974" t="s">
        <v>3863</v>
      </c>
      <c r="C810" s="2974">
        <v>11</v>
      </c>
      <c r="D810" s="2976">
        <v>1102</v>
      </c>
      <c r="E810" s="2976">
        <v>95.88</v>
      </c>
      <c r="F810" s="2974" t="s">
        <v>3859</v>
      </c>
      <c r="G810" s="2973" t="s">
        <v>3862</v>
      </c>
    </row>
    <row r="811" spans="1:7" ht="15.6" hidden="1">
      <c r="A811" s="2973">
        <v>810</v>
      </c>
      <c r="B811" s="2974" t="s">
        <v>3863</v>
      </c>
      <c r="C811" s="2974">
        <v>11</v>
      </c>
      <c r="D811" s="2976">
        <v>1103</v>
      </c>
      <c r="E811" s="2976">
        <v>95.88</v>
      </c>
      <c r="F811" s="2974" t="s">
        <v>3859</v>
      </c>
      <c r="G811" s="2973" t="s">
        <v>3862</v>
      </c>
    </row>
    <row r="812" spans="1:7" ht="15.6" hidden="1">
      <c r="A812" s="2973">
        <v>811</v>
      </c>
      <c r="B812" s="2974" t="s">
        <v>3863</v>
      </c>
      <c r="C812" s="2974">
        <v>11</v>
      </c>
      <c r="D812" s="2976">
        <v>1104</v>
      </c>
      <c r="E812" s="2976">
        <v>116.79</v>
      </c>
      <c r="F812" s="2974" t="s">
        <v>3859</v>
      </c>
      <c r="G812" s="2973" t="s">
        <v>3862</v>
      </c>
    </row>
    <row r="813" spans="1:7" ht="15.6" hidden="1">
      <c r="A813" s="2973">
        <v>812</v>
      </c>
      <c r="B813" s="2974" t="s">
        <v>3863</v>
      </c>
      <c r="C813" s="2974">
        <v>12</v>
      </c>
      <c r="D813" s="2976">
        <v>1201</v>
      </c>
      <c r="E813" s="2976">
        <v>116.79</v>
      </c>
      <c r="F813" s="2974" t="s">
        <v>3859</v>
      </c>
      <c r="G813" s="2973" t="s">
        <v>3862</v>
      </c>
    </row>
    <row r="814" spans="1:7" ht="15.6" hidden="1">
      <c r="A814" s="2973">
        <v>813</v>
      </c>
      <c r="B814" s="2974" t="s">
        <v>3863</v>
      </c>
      <c r="C814" s="2974">
        <v>12</v>
      </c>
      <c r="D814" s="2976">
        <v>1202</v>
      </c>
      <c r="E814" s="2976">
        <v>95.88</v>
      </c>
      <c r="F814" s="2974" t="s">
        <v>3859</v>
      </c>
      <c r="G814" s="2973" t="s">
        <v>3862</v>
      </c>
    </row>
    <row r="815" spans="1:7" ht="15.6" hidden="1">
      <c r="A815" s="2973">
        <v>814</v>
      </c>
      <c r="B815" s="2974" t="s">
        <v>3863</v>
      </c>
      <c r="C815" s="2974">
        <v>12</v>
      </c>
      <c r="D815" s="2976">
        <v>1203</v>
      </c>
      <c r="E815" s="2976">
        <v>95.88</v>
      </c>
      <c r="F815" s="2974" t="s">
        <v>3859</v>
      </c>
      <c r="G815" s="2973" t="s">
        <v>3862</v>
      </c>
    </row>
    <row r="816" spans="1:7" ht="15.6" hidden="1">
      <c r="A816" s="2973">
        <v>815</v>
      </c>
      <c r="B816" s="2974" t="s">
        <v>3863</v>
      </c>
      <c r="C816" s="2974">
        <v>12</v>
      </c>
      <c r="D816" s="2976">
        <v>1204</v>
      </c>
      <c r="E816" s="2976">
        <v>116.79</v>
      </c>
      <c r="F816" s="2974" t="s">
        <v>3859</v>
      </c>
      <c r="G816" s="2973" t="s">
        <v>3862</v>
      </c>
    </row>
    <row r="817" spans="1:7" ht="15.6" hidden="1">
      <c r="A817" s="2973">
        <v>816</v>
      </c>
      <c r="B817" s="2974" t="s">
        <v>3863</v>
      </c>
      <c r="C817" s="2974">
        <v>13</v>
      </c>
      <c r="D817" s="2976">
        <v>1301</v>
      </c>
      <c r="E817" s="2976">
        <v>116.79</v>
      </c>
      <c r="F817" s="2974" t="s">
        <v>3859</v>
      </c>
      <c r="G817" s="2973" t="s">
        <v>3862</v>
      </c>
    </row>
    <row r="818" spans="1:7" ht="15.6" hidden="1">
      <c r="A818" s="2973">
        <v>817</v>
      </c>
      <c r="B818" s="2974" t="s">
        <v>3863</v>
      </c>
      <c r="C818" s="2974">
        <v>13</v>
      </c>
      <c r="D818" s="2976">
        <v>1302</v>
      </c>
      <c r="E818" s="2976">
        <v>95.88</v>
      </c>
      <c r="F818" s="2974" t="s">
        <v>3859</v>
      </c>
      <c r="G818" s="2973" t="s">
        <v>3862</v>
      </c>
    </row>
    <row r="819" spans="1:7" ht="15.6" hidden="1">
      <c r="A819" s="2973">
        <v>818</v>
      </c>
      <c r="B819" s="2974" t="s">
        <v>3863</v>
      </c>
      <c r="C819" s="2974">
        <v>13</v>
      </c>
      <c r="D819" s="2976">
        <v>1303</v>
      </c>
      <c r="E819" s="2976">
        <v>95.88</v>
      </c>
      <c r="F819" s="2974" t="s">
        <v>3859</v>
      </c>
      <c r="G819" s="2973" t="s">
        <v>3862</v>
      </c>
    </row>
    <row r="820" spans="1:7" ht="15.6" hidden="1">
      <c r="A820" s="2973">
        <v>819</v>
      </c>
      <c r="B820" s="2974" t="s">
        <v>3863</v>
      </c>
      <c r="C820" s="2974">
        <v>13</v>
      </c>
      <c r="D820" s="2976">
        <v>1304</v>
      </c>
      <c r="E820" s="2976">
        <v>116.79</v>
      </c>
      <c r="F820" s="2974" t="s">
        <v>3859</v>
      </c>
      <c r="G820" s="2973" t="s">
        <v>3862</v>
      </c>
    </row>
    <row r="821" spans="1:7" ht="15.6" hidden="1">
      <c r="A821" s="2973">
        <v>820</v>
      </c>
      <c r="B821" s="2974" t="s">
        <v>3863</v>
      </c>
      <c r="C821" s="2974">
        <v>14</v>
      </c>
      <c r="D821" s="2976">
        <v>1401</v>
      </c>
      <c r="E821" s="2976">
        <v>116.79</v>
      </c>
      <c r="F821" s="2974" t="s">
        <v>3859</v>
      </c>
      <c r="G821" s="2973" t="s">
        <v>3862</v>
      </c>
    </row>
    <row r="822" spans="1:7" ht="15.6" hidden="1">
      <c r="A822" s="2973">
        <v>821</v>
      </c>
      <c r="B822" s="2974" t="s">
        <v>3863</v>
      </c>
      <c r="C822" s="2974">
        <v>14</v>
      </c>
      <c r="D822" s="2976">
        <v>1402</v>
      </c>
      <c r="E822" s="2976">
        <v>95.88</v>
      </c>
      <c r="F822" s="2974" t="s">
        <v>3859</v>
      </c>
      <c r="G822" s="2973" t="s">
        <v>3862</v>
      </c>
    </row>
    <row r="823" spans="1:7" ht="15.6" hidden="1">
      <c r="A823" s="2973">
        <v>822</v>
      </c>
      <c r="B823" s="2974" t="s">
        <v>3863</v>
      </c>
      <c r="C823" s="2974">
        <v>14</v>
      </c>
      <c r="D823" s="2976">
        <v>1403</v>
      </c>
      <c r="E823" s="2976">
        <v>95.88</v>
      </c>
      <c r="F823" s="2974" t="s">
        <v>3859</v>
      </c>
      <c r="G823" s="2973" t="s">
        <v>3862</v>
      </c>
    </row>
    <row r="824" spans="1:7" ht="15.6" hidden="1">
      <c r="A824" s="2973">
        <v>823</v>
      </c>
      <c r="B824" s="2974" t="s">
        <v>3863</v>
      </c>
      <c r="C824" s="2974">
        <v>14</v>
      </c>
      <c r="D824" s="2976">
        <v>1404</v>
      </c>
      <c r="E824" s="2976">
        <v>116.79</v>
      </c>
      <c r="F824" s="2974" t="s">
        <v>3859</v>
      </c>
      <c r="G824" s="2973" t="s">
        <v>3862</v>
      </c>
    </row>
    <row r="825" spans="1:7" ht="15.6" hidden="1">
      <c r="A825" s="2973">
        <v>824</v>
      </c>
      <c r="B825" s="2974" t="s">
        <v>3863</v>
      </c>
      <c r="C825" s="2974">
        <v>15</v>
      </c>
      <c r="D825" s="2976">
        <v>1501</v>
      </c>
      <c r="E825" s="2976">
        <v>116.79</v>
      </c>
      <c r="F825" s="2974" t="s">
        <v>3859</v>
      </c>
      <c r="G825" s="2973" t="s">
        <v>3862</v>
      </c>
    </row>
    <row r="826" spans="1:7" ht="15.6" hidden="1">
      <c r="A826" s="2973">
        <v>825</v>
      </c>
      <c r="B826" s="2974" t="s">
        <v>3863</v>
      </c>
      <c r="C826" s="2974">
        <v>15</v>
      </c>
      <c r="D826" s="2976">
        <v>1502</v>
      </c>
      <c r="E826" s="2976">
        <v>95.88</v>
      </c>
      <c r="F826" s="2974" t="s">
        <v>3859</v>
      </c>
      <c r="G826" s="2973" t="s">
        <v>3862</v>
      </c>
    </row>
    <row r="827" spans="1:7" ht="15.6" hidden="1">
      <c r="A827" s="2973">
        <v>826</v>
      </c>
      <c r="B827" s="2974" t="s">
        <v>3863</v>
      </c>
      <c r="C827" s="2974">
        <v>15</v>
      </c>
      <c r="D827" s="2976">
        <v>1503</v>
      </c>
      <c r="E827" s="2976">
        <v>95.88</v>
      </c>
      <c r="F827" s="2974" t="s">
        <v>3859</v>
      </c>
      <c r="G827" s="2973" t="s">
        <v>3862</v>
      </c>
    </row>
    <row r="828" spans="1:7" ht="15.6" hidden="1">
      <c r="A828" s="2973">
        <v>827</v>
      </c>
      <c r="B828" s="2974" t="s">
        <v>3863</v>
      </c>
      <c r="C828" s="2974">
        <v>15</v>
      </c>
      <c r="D828" s="2976">
        <v>1504</v>
      </c>
      <c r="E828" s="2976">
        <v>116.79</v>
      </c>
      <c r="F828" s="2974" t="s">
        <v>3859</v>
      </c>
      <c r="G828" s="2973" t="s">
        <v>3862</v>
      </c>
    </row>
    <row r="829" spans="1:7" ht="15.6" hidden="1">
      <c r="A829" s="2973">
        <v>828</v>
      </c>
      <c r="B829" s="2974" t="s">
        <v>3863</v>
      </c>
      <c r="C829" s="2974">
        <v>16</v>
      </c>
      <c r="D829" s="2976">
        <v>1601</v>
      </c>
      <c r="E829" s="2976">
        <v>116.79</v>
      </c>
      <c r="F829" s="2974" t="s">
        <v>3859</v>
      </c>
      <c r="G829" s="2973" t="s">
        <v>3862</v>
      </c>
    </row>
    <row r="830" spans="1:7" ht="15.6" hidden="1">
      <c r="A830" s="2973">
        <v>829</v>
      </c>
      <c r="B830" s="2974" t="s">
        <v>3863</v>
      </c>
      <c r="C830" s="2974">
        <v>16</v>
      </c>
      <c r="D830" s="2976">
        <v>1602</v>
      </c>
      <c r="E830" s="2976">
        <v>95.88</v>
      </c>
      <c r="F830" s="2974" t="s">
        <v>3859</v>
      </c>
      <c r="G830" s="2973" t="s">
        <v>3862</v>
      </c>
    </row>
    <row r="831" spans="1:7" ht="15.6" hidden="1">
      <c r="A831" s="2973">
        <v>830</v>
      </c>
      <c r="B831" s="2974" t="s">
        <v>3863</v>
      </c>
      <c r="C831" s="2974">
        <v>16</v>
      </c>
      <c r="D831" s="2976">
        <v>1603</v>
      </c>
      <c r="E831" s="2976">
        <v>95.88</v>
      </c>
      <c r="F831" s="2974" t="s">
        <v>3859</v>
      </c>
      <c r="G831" s="2973" t="s">
        <v>3862</v>
      </c>
    </row>
    <row r="832" spans="1:7" ht="15.6" hidden="1">
      <c r="A832" s="2973">
        <v>831</v>
      </c>
      <c r="B832" s="2974" t="s">
        <v>3863</v>
      </c>
      <c r="C832" s="2974">
        <v>16</v>
      </c>
      <c r="D832" s="2976">
        <v>1604</v>
      </c>
      <c r="E832" s="2976">
        <v>116.79</v>
      </c>
      <c r="F832" s="2974" t="s">
        <v>3859</v>
      </c>
      <c r="G832" s="2973" t="s">
        <v>3862</v>
      </c>
    </row>
    <row r="833" spans="1:7" ht="15.6" hidden="1">
      <c r="A833" s="2973">
        <v>832</v>
      </c>
      <c r="B833" s="2974" t="s">
        <v>3863</v>
      </c>
      <c r="C833" s="2974">
        <v>17</v>
      </c>
      <c r="D833" s="2976">
        <v>1701</v>
      </c>
      <c r="E833" s="2976">
        <v>116.79</v>
      </c>
      <c r="F833" s="2974" t="s">
        <v>3859</v>
      </c>
      <c r="G833" s="2973" t="s">
        <v>3862</v>
      </c>
    </row>
    <row r="834" spans="1:7" ht="15.6" hidden="1">
      <c r="A834" s="2973">
        <v>833</v>
      </c>
      <c r="B834" s="2974" t="s">
        <v>3863</v>
      </c>
      <c r="C834" s="2974">
        <v>17</v>
      </c>
      <c r="D834" s="2976">
        <v>1702</v>
      </c>
      <c r="E834" s="2976">
        <v>95.88</v>
      </c>
      <c r="F834" s="2974" t="s">
        <v>3859</v>
      </c>
      <c r="G834" s="2973" t="s">
        <v>3862</v>
      </c>
    </row>
    <row r="835" spans="1:7" ht="15.6" hidden="1">
      <c r="A835" s="2973">
        <v>834</v>
      </c>
      <c r="B835" s="2974" t="s">
        <v>3863</v>
      </c>
      <c r="C835" s="2974">
        <v>17</v>
      </c>
      <c r="D835" s="2976">
        <v>1703</v>
      </c>
      <c r="E835" s="2976">
        <v>95.88</v>
      </c>
      <c r="F835" s="2974" t="s">
        <v>3859</v>
      </c>
      <c r="G835" s="2973" t="s">
        <v>3862</v>
      </c>
    </row>
    <row r="836" spans="1:7" ht="15.6" hidden="1">
      <c r="A836" s="2973">
        <v>835</v>
      </c>
      <c r="B836" s="2974" t="s">
        <v>3863</v>
      </c>
      <c r="C836" s="2974">
        <v>17</v>
      </c>
      <c r="D836" s="2976">
        <v>1704</v>
      </c>
      <c r="E836" s="2976">
        <v>116.79</v>
      </c>
      <c r="F836" s="2974" t="s">
        <v>3859</v>
      </c>
      <c r="G836" s="2973" t="s">
        <v>3862</v>
      </c>
    </row>
    <row r="837" spans="1:7" ht="15.6" hidden="1">
      <c r="A837" s="2973">
        <v>836</v>
      </c>
      <c r="B837" s="2974" t="s">
        <v>3863</v>
      </c>
      <c r="C837" s="2974">
        <v>18</v>
      </c>
      <c r="D837" s="2976">
        <v>1801</v>
      </c>
      <c r="E837" s="2976">
        <v>116.79</v>
      </c>
      <c r="F837" s="2974" t="s">
        <v>3859</v>
      </c>
      <c r="G837" s="2973" t="s">
        <v>3862</v>
      </c>
    </row>
    <row r="838" spans="1:7" ht="15.6" hidden="1">
      <c r="A838" s="2973">
        <v>837</v>
      </c>
      <c r="B838" s="2974" t="s">
        <v>3863</v>
      </c>
      <c r="C838" s="2974">
        <v>18</v>
      </c>
      <c r="D838" s="2976">
        <v>1802</v>
      </c>
      <c r="E838" s="2976">
        <v>95.88</v>
      </c>
      <c r="F838" s="2974" t="s">
        <v>3859</v>
      </c>
      <c r="G838" s="2973" t="s">
        <v>3862</v>
      </c>
    </row>
    <row r="839" spans="1:7" ht="15.6" hidden="1">
      <c r="A839" s="2973">
        <v>838</v>
      </c>
      <c r="B839" s="2974" t="s">
        <v>3863</v>
      </c>
      <c r="C839" s="2974">
        <v>18</v>
      </c>
      <c r="D839" s="2976">
        <v>1803</v>
      </c>
      <c r="E839" s="2976">
        <v>95.88</v>
      </c>
      <c r="F839" s="2974" t="s">
        <v>3859</v>
      </c>
      <c r="G839" s="2973" t="s">
        <v>3862</v>
      </c>
    </row>
    <row r="840" spans="1:7" ht="15.6" hidden="1">
      <c r="A840" s="2973">
        <v>839</v>
      </c>
      <c r="B840" s="2974" t="s">
        <v>3863</v>
      </c>
      <c r="C840" s="2974">
        <v>18</v>
      </c>
      <c r="D840" s="2976">
        <v>1804</v>
      </c>
      <c r="E840" s="2976">
        <v>116.79</v>
      </c>
      <c r="F840" s="2974" t="s">
        <v>3859</v>
      </c>
      <c r="G840" s="2973" t="s">
        <v>3862</v>
      </c>
    </row>
    <row r="841" spans="1:7" ht="15.6" hidden="1">
      <c r="A841" s="2973">
        <v>840</v>
      </c>
      <c r="B841" s="2974" t="s">
        <v>3863</v>
      </c>
      <c r="C841" s="2974">
        <v>19</v>
      </c>
      <c r="D841" s="2976">
        <v>1901</v>
      </c>
      <c r="E841" s="2976">
        <v>116.79</v>
      </c>
      <c r="F841" s="2974" t="s">
        <v>3859</v>
      </c>
      <c r="G841" s="2973" t="s">
        <v>3862</v>
      </c>
    </row>
    <row r="842" spans="1:7" ht="15.6" hidden="1">
      <c r="A842" s="2973">
        <v>841</v>
      </c>
      <c r="B842" s="2974" t="s">
        <v>3863</v>
      </c>
      <c r="C842" s="2974">
        <v>19</v>
      </c>
      <c r="D842" s="2976">
        <v>1902</v>
      </c>
      <c r="E842" s="2976">
        <v>95.88</v>
      </c>
      <c r="F842" s="2974" t="s">
        <v>3859</v>
      </c>
      <c r="G842" s="2973" t="s">
        <v>3862</v>
      </c>
    </row>
    <row r="843" spans="1:7" ht="15.6" hidden="1">
      <c r="A843" s="2973">
        <v>842</v>
      </c>
      <c r="B843" s="2974" t="s">
        <v>3863</v>
      </c>
      <c r="C843" s="2974">
        <v>19</v>
      </c>
      <c r="D843" s="2976">
        <v>1903</v>
      </c>
      <c r="E843" s="2976">
        <v>95.88</v>
      </c>
      <c r="F843" s="2974" t="s">
        <v>3859</v>
      </c>
      <c r="G843" s="2973" t="s">
        <v>3862</v>
      </c>
    </row>
    <row r="844" spans="1:7" ht="15.6" hidden="1">
      <c r="A844" s="2973">
        <v>843</v>
      </c>
      <c r="B844" s="2974" t="s">
        <v>3863</v>
      </c>
      <c r="C844" s="2974">
        <v>19</v>
      </c>
      <c r="D844" s="2976">
        <v>1904</v>
      </c>
      <c r="E844" s="2976">
        <v>116.79</v>
      </c>
      <c r="F844" s="2974" t="s">
        <v>3859</v>
      </c>
      <c r="G844" s="2973" t="s">
        <v>3862</v>
      </c>
    </row>
    <row r="845" spans="1:7" ht="15.6" hidden="1">
      <c r="A845" s="2973">
        <v>844</v>
      </c>
      <c r="B845" s="2974" t="s">
        <v>3863</v>
      </c>
      <c r="C845" s="2974">
        <v>20</v>
      </c>
      <c r="D845" s="2976">
        <v>2001</v>
      </c>
      <c r="E845" s="2976">
        <v>116.79</v>
      </c>
      <c r="F845" s="2974" t="s">
        <v>3859</v>
      </c>
      <c r="G845" s="2973" t="s">
        <v>3862</v>
      </c>
    </row>
    <row r="846" spans="1:7" ht="15.6" hidden="1">
      <c r="A846" s="2973">
        <v>845</v>
      </c>
      <c r="B846" s="2974" t="s">
        <v>3863</v>
      </c>
      <c r="C846" s="2974">
        <v>20</v>
      </c>
      <c r="D846" s="2976">
        <v>2002</v>
      </c>
      <c r="E846" s="2976">
        <v>95.88</v>
      </c>
      <c r="F846" s="2974" t="s">
        <v>3859</v>
      </c>
      <c r="G846" s="2973" t="s">
        <v>3862</v>
      </c>
    </row>
    <row r="847" spans="1:7" ht="15.6" hidden="1">
      <c r="A847" s="2973">
        <v>846</v>
      </c>
      <c r="B847" s="2974" t="s">
        <v>3863</v>
      </c>
      <c r="C847" s="2974">
        <v>20</v>
      </c>
      <c r="D847" s="2976">
        <v>2003</v>
      </c>
      <c r="E847" s="2976">
        <v>95.88</v>
      </c>
      <c r="F847" s="2974" t="s">
        <v>3859</v>
      </c>
      <c r="G847" s="2973" t="s">
        <v>3862</v>
      </c>
    </row>
    <row r="848" spans="1:7" ht="15.6" hidden="1">
      <c r="A848" s="2973">
        <v>847</v>
      </c>
      <c r="B848" s="2974" t="s">
        <v>3863</v>
      </c>
      <c r="C848" s="2974">
        <v>20</v>
      </c>
      <c r="D848" s="2976">
        <v>2004</v>
      </c>
      <c r="E848" s="2976">
        <v>116.79</v>
      </c>
      <c r="F848" s="2974" t="s">
        <v>3859</v>
      </c>
      <c r="G848" s="2973" t="s">
        <v>3862</v>
      </c>
    </row>
    <row r="849" spans="1:7" ht="15.6" hidden="1">
      <c r="A849" s="2973">
        <v>848</v>
      </c>
      <c r="B849" s="2974" t="s">
        <v>3864</v>
      </c>
      <c r="C849" s="2973">
        <v>1</v>
      </c>
      <c r="D849" s="2976">
        <v>101</v>
      </c>
      <c r="E849" s="2976">
        <v>126.14</v>
      </c>
      <c r="F849" s="2974" t="s">
        <v>3859</v>
      </c>
      <c r="G849" s="2973" t="s">
        <v>3862</v>
      </c>
    </row>
    <row r="850" spans="1:7" ht="15.6" hidden="1">
      <c r="A850" s="2973">
        <v>849</v>
      </c>
      <c r="B850" s="2974" t="s">
        <v>3864</v>
      </c>
      <c r="C850" s="2974">
        <v>1</v>
      </c>
      <c r="D850" s="2976">
        <v>102</v>
      </c>
      <c r="E850" s="2976">
        <v>75.709999999999994</v>
      </c>
      <c r="F850" s="2974" t="s">
        <v>3859</v>
      </c>
      <c r="G850" s="2973" t="s">
        <v>3862</v>
      </c>
    </row>
    <row r="851" spans="1:7" ht="15.6" hidden="1">
      <c r="A851" s="2973">
        <v>850</v>
      </c>
      <c r="B851" s="2974" t="s">
        <v>3864</v>
      </c>
      <c r="C851" s="2974">
        <v>1</v>
      </c>
      <c r="D851" s="2976">
        <v>103</v>
      </c>
      <c r="E851" s="2976">
        <v>105.49</v>
      </c>
      <c r="F851" s="2974" t="s">
        <v>3859</v>
      </c>
      <c r="G851" s="2973" t="s">
        <v>3862</v>
      </c>
    </row>
    <row r="852" spans="1:7" ht="15.6" hidden="1">
      <c r="A852" s="2973">
        <v>851</v>
      </c>
      <c r="B852" s="2974" t="s">
        <v>3864</v>
      </c>
      <c r="C852" s="2974">
        <v>2</v>
      </c>
      <c r="D852" s="2976">
        <v>201</v>
      </c>
      <c r="E852" s="2976">
        <v>126.14</v>
      </c>
      <c r="F852" s="2974" t="s">
        <v>3859</v>
      </c>
      <c r="G852" s="2973" t="s">
        <v>3862</v>
      </c>
    </row>
    <row r="853" spans="1:7" ht="15.6" hidden="1">
      <c r="A853" s="2973">
        <v>852</v>
      </c>
      <c r="B853" s="2974" t="s">
        <v>3864</v>
      </c>
      <c r="C853" s="2974">
        <v>2</v>
      </c>
      <c r="D853" s="2976">
        <v>203</v>
      </c>
      <c r="E853" s="2976">
        <v>105.49</v>
      </c>
      <c r="F853" s="2974" t="s">
        <v>3859</v>
      </c>
      <c r="G853" s="2973" t="s">
        <v>3862</v>
      </c>
    </row>
    <row r="854" spans="1:7" ht="15.6" hidden="1">
      <c r="A854" s="2973">
        <v>853</v>
      </c>
      <c r="B854" s="2974" t="s">
        <v>3864</v>
      </c>
      <c r="C854" s="2974">
        <v>2</v>
      </c>
      <c r="D854" s="2976">
        <v>204</v>
      </c>
      <c r="E854" s="2976">
        <v>126.14</v>
      </c>
      <c r="F854" s="2974" t="s">
        <v>3859</v>
      </c>
      <c r="G854" s="2973" t="s">
        <v>3862</v>
      </c>
    </row>
    <row r="855" spans="1:7" ht="15.6" hidden="1">
      <c r="A855" s="2973">
        <v>854</v>
      </c>
      <c r="B855" s="2974" t="s">
        <v>3864</v>
      </c>
      <c r="C855" s="2974">
        <v>3</v>
      </c>
      <c r="D855" s="2976">
        <v>301</v>
      </c>
      <c r="E855" s="2976">
        <v>126.14</v>
      </c>
      <c r="F855" s="2974" t="s">
        <v>3859</v>
      </c>
      <c r="G855" s="2973" t="s">
        <v>3862</v>
      </c>
    </row>
    <row r="856" spans="1:7" ht="15.6" hidden="1">
      <c r="A856" s="2973">
        <v>855</v>
      </c>
      <c r="B856" s="2974" t="s">
        <v>3864</v>
      </c>
      <c r="C856" s="2974">
        <v>3</v>
      </c>
      <c r="D856" s="2976">
        <v>302</v>
      </c>
      <c r="E856" s="2976">
        <v>105.49</v>
      </c>
      <c r="F856" s="2974" t="s">
        <v>3859</v>
      </c>
      <c r="G856" s="2973" t="s">
        <v>3862</v>
      </c>
    </row>
    <row r="857" spans="1:7" ht="15.6" hidden="1">
      <c r="A857" s="2973">
        <v>856</v>
      </c>
      <c r="B857" s="2974" t="s">
        <v>3864</v>
      </c>
      <c r="C857" s="2974">
        <v>3</v>
      </c>
      <c r="D857" s="2976">
        <v>303</v>
      </c>
      <c r="E857" s="2976">
        <v>105.49</v>
      </c>
      <c r="F857" s="2974" t="s">
        <v>3859</v>
      </c>
      <c r="G857" s="2973" t="s">
        <v>3862</v>
      </c>
    </row>
    <row r="858" spans="1:7" ht="15.6" hidden="1">
      <c r="A858" s="2973">
        <v>857</v>
      </c>
      <c r="B858" s="2974" t="s">
        <v>3864</v>
      </c>
      <c r="C858" s="2974">
        <v>3</v>
      </c>
      <c r="D858" s="2976">
        <v>304</v>
      </c>
      <c r="E858" s="2976">
        <v>126.14</v>
      </c>
      <c r="F858" s="2974" t="s">
        <v>3859</v>
      </c>
      <c r="G858" s="2973" t="s">
        <v>3862</v>
      </c>
    </row>
    <row r="859" spans="1:7" ht="15.6" hidden="1">
      <c r="A859" s="2973">
        <v>858</v>
      </c>
      <c r="B859" s="2974" t="s">
        <v>3864</v>
      </c>
      <c r="C859" s="2974">
        <v>4</v>
      </c>
      <c r="D859" s="2976">
        <v>401</v>
      </c>
      <c r="E859" s="2976">
        <v>126.14</v>
      </c>
      <c r="F859" s="2974" t="s">
        <v>3859</v>
      </c>
      <c r="G859" s="2973" t="s">
        <v>3862</v>
      </c>
    </row>
    <row r="860" spans="1:7" ht="15.6" hidden="1">
      <c r="A860" s="2973">
        <v>859</v>
      </c>
      <c r="B860" s="2974" t="s">
        <v>3864</v>
      </c>
      <c r="C860" s="2974">
        <v>4</v>
      </c>
      <c r="D860" s="2976">
        <v>402</v>
      </c>
      <c r="E860" s="2976">
        <v>105.49</v>
      </c>
      <c r="F860" s="2974" t="s">
        <v>3859</v>
      </c>
      <c r="G860" s="2973" t="s">
        <v>3862</v>
      </c>
    </row>
    <row r="861" spans="1:7" ht="15.6" hidden="1">
      <c r="A861" s="2973">
        <v>860</v>
      </c>
      <c r="B861" s="2974" t="s">
        <v>3864</v>
      </c>
      <c r="C861" s="2974">
        <v>4</v>
      </c>
      <c r="D861" s="2976">
        <v>403</v>
      </c>
      <c r="E861" s="2976">
        <v>105.49</v>
      </c>
      <c r="F861" s="2974" t="s">
        <v>3859</v>
      </c>
      <c r="G861" s="2973" t="s">
        <v>3862</v>
      </c>
    </row>
    <row r="862" spans="1:7" ht="15.6" hidden="1">
      <c r="A862" s="2973">
        <v>861</v>
      </c>
      <c r="B862" s="2974" t="s">
        <v>3864</v>
      </c>
      <c r="C862" s="2974">
        <v>4</v>
      </c>
      <c r="D862" s="2976">
        <v>404</v>
      </c>
      <c r="E862" s="2976">
        <v>126.14</v>
      </c>
      <c r="F862" s="2974" t="s">
        <v>3859</v>
      </c>
      <c r="G862" s="2973" t="s">
        <v>3862</v>
      </c>
    </row>
    <row r="863" spans="1:7" ht="15.6" hidden="1">
      <c r="A863" s="2973">
        <v>862</v>
      </c>
      <c r="B863" s="2974" t="s">
        <v>3864</v>
      </c>
      <c r="C863" s="2974">
        <v>5</v>
      </c>
      <c r="D863" s="2976">
        <v>501</v>
      </c>
      <c r="E863" s="2976">
        <v>126.14</v>
      </c>
      <c r="F863" s="2974" t="s">
        <v>3859</v>
      </c>
      <c r="G863" s="2973" t="s">
        <v>3862</v>
      </c>
    </row>
    <row r="864" spans="1:7" ht="15.6" hidden="1">
      <c r="A864" s="2973">
        <v>863</v>
      </c>
      <c r="B864" s="2974" t="s">
        <v>3864</v>
      </c>
      <c r="C864" s="2974">
        <v>5</v>
      </c>
      <c r="D864" s="2976">
        <v>502</v>
      </c>
      <c r="E864" s="2976">
        <v>105.49</v>
      </c>
      <c r="F864" s="2974" t="s">
        <v>3859</v>
      </c>
      <c r="G864" s="2973" t="s">
        <v>3862</v>
      </c>
    </row>
    <row r="865" spans="1:7" ht="15.6" hidden="1">
      <c r="A865" s="2973">
        <v>864</v>
      </c>
      <c r="B865" s="2974" t="s">
        <v>3864</v>
      </c>
      <c r="C865" s="2974">
        <v>5</v>
      </c>
      <c r="D865" s="2976">
        <v>503</v>
      </c>
      <c r="E865" s="2976">
        <v>105.49</v>
      </c>
      <c r="F865" s="2974" t="s">
        <v>3859</v>
      </c>
      <c r="G865" s="2973" t="s">
        <v>3862</v>
      </c>
    </row>
    <row r="866" spans="1:7" ht="15.6" hidden="1">
      <c r="A866" s="2973">
        <v>865</v>
      </c>
      <c r="B866" s="2974" t="s">
        <v>3864</v>
      </c>
      <c r="C866" s="2974">
        <v>5</v>
      </c>
      <c r="D866" s="2976">
        <v>504</v>
      </c>
      <c r="E866" s="2976">
        <v>126.14</v>
      </c>
      <c r="F866" s="2974" t="s">
        <v>3859</v>
      </c>
      <c r="G866" s="2973" t="s">
        <v>3862</v>
      </c>
    </row>
    <row r="867" spans="1:7" ht="15.6" hidden="1">
      <c r="A867" s="2973">
        <v>866</v>
      </c>
      <c r="B867" s="2974" t="s">
        <v>3864</v>
      </c>
      <c r="C867" s="2974">
        <v>6</v>
      </c>
      <c r="D867" s="2976">
        <v>601</v>
      </c>
      <c r="E867" s="2976">
        <v>126.14</v>
      </c>
      <c r="F867" s="2974" t="s">
        <v>3859</v>
      </c>
      <c r="G867" s="2973" t="s">
        <v>3862</v>
      </c>
    </row>
    <row r="868" spans="1:7" ht="15.6" hidden="1">
      <c r="A868" s="2973">
        <v>867</v>
      </c>
      <c r="B868" s="2974" t="s">
        <v>3864</v>
      </c>
      <c r="C868" s="2974">
        <v>6</v>
      </c>
      <c r="D868" s="2976">
        <v>603</v>
      </c>
      <c r="E868" s="2976">
        <v>105.49</v>
      </c>
      <c r="F868" s="2974" t="s">
        <v>3859</v>
      </c>
      <c r="G868" s="2973" t="s">
        <v>3862</v>
      </c>
    </row>
    <row r="869" spans="1:7" ht="15.6" hidden="1">
      <c r="A869" s="2973">
        <v>868</v>
      </c>
      <c r="B869" s="2974" t="s">
        <v>3864</v>
      </c>
      <c r="C869" s="2974">
        <v>6</v>
      </c>
      <c r="D869" s="2976">
        <v>604</v>
      </c>
      <c r="E869" s="2976">
        <v>126.14</v>
      </c>
      <c r="F869" s="2974" t="s">
        <v>3859</v>
      </c>
      <c r="G869" s="2973" t="s">
        <v>3862</v>
      </c>
    </row>
    <row r="870" spans="1:7" ht="15.6" hidden="1">
      <c r="A870" s="2973">
        <v>869</v>
      </c>
      <c r="B870" s="2974" t="s">
        <v>3864</v>
      </c>
      <c r="C870" s="2974">
        <v>7</v>
      </c>
      <c r="D870" s="2976">
        <v>701</v>
      </c>
      <c r="E870" s="2976">
        <v>126.14</v>
      </c>
      <c r="F870" s="2974" t="s">
        <v>3859</v>
      </c>
      <c r="G870" s="2973" t="s">
        <v>3862</v>
      </c>
    </row>
    <row r="871" spans="1:7" ht="15.6" hidden="1">
      <c r="A871" s="2973">
        <v>870</v>
      </c>
      <c r="B871" s="2974" t="s">
        <v>3864</v>
      </c>
      <c r="C871" s="2974">
        <v>7</v>
      </c>
      <c r="D871" s="2976">
        <v>702</v>
      </c>
      <c r="E871" s="2976">
        <v>105.49</v>
      </c>
      <c r="F871" s="2974" t="s">
        <v>3859</v>
      </c>
      <c r="G871" s="2973" t="s">
        <v>3862</v>
      </c>
    </row>
    <row r="872" spans="1:7" ht="15.6" hidden="1">
      <c r="A872" s="2973">
        <v>871</v>
      </c>
      <c r="B872" s="2974" t="s">
        <v>3864</v>
      </c>
      <c r="C872" s="2974">
        <v>7</v>
      </c>
      <c r="D872" s="2976">
        <v>703</v>
      </c>
      <c r="E872" s="2976">
        <v>105.49</v>
      </c>
      <c r="F872" s="2974" t="s">
        <v>3859</v>
      </c>
      <c r="G872" s="2973" t="s">
        <v>3862</v>
      </c>
    </row>
    <row r="873" spans="1:7" ht="15.6" hidden="1">
      <c r="A873" s="2973">
        <v>872</v>
      </c>
      <c r="B873" s="2974" t="s">
        <v>3864</v>
      </c>
      <c r="C873" s="2974">
        <v>7</v>
      </c>
      <c r="D873" s="2976">
        <v>704</v>
      </c>
      <c r="E873" s="2976">
        <v>126.14</v>
      </c>
      <c r="F873" s="2974" t="s">
        <v>3859</v>
      </c>
      <c r="G873" s="2973" t="s">
        <v>3862</v>
      </c>
    </row>
    <row r="874" spans="1:7" ht="15.6" hidden="1">
      <c r="A874" s="2973">
        <v>873</v>
      </c>
      <c r="B874" s="2974" t="s">
        <v>3864</v>
      </c>
      <c r="C874" s="2974">
        <v>8</v>
      </c>
      <c r="D874" s="2976">
        <v>801</v>
      </c>
      <c r="E874" s="2976">
        <v>126.14</v>
      </c>
      <c r="F874" s="2974" t="s">
        <v>3859</v>
      </c>
      <c r="G874" s="2973" t="s">
        <v>3862</v>
      </c>
    </row>
    <row r="875" spans="1:7" ht="15.6" hidden="1">
      <c r="A875" s="2973">
        <v>874</v>
      </c>
      <c r="B875" s="2974" t="s">
        <v>3864</v>
      </c>
      <c r="C875" s="2974">
        <v>8</v>
      </c>
      <c r="D875" s="2976">
        <v>803</v>
      </c>
      <c r="E875" s="2976">
        <v>105.49</v>
      </c>
      <c r="F875" s="2974" t="s">
        <v>3859</v>
      </c>
      <c r="G875" s="2973" t="s">
        <v>3862</v>
      </c>
    </row>
    <row r="876" spans="1:7" ht="15.6" hidden="1">
      <c r="A876" s="2973">
        <v>875</v>
      </c>
      <c r="B876" s="2974" t="s">
        <v>3864</v>
      </c>
      <c r="C876" s="2974">
        <v>8</v>
      </c>
      <c r="D876" s="2976">
        <v>804</v>
      </c>
      <c r="E876" s="2976">
        <v>126.14</v>
      </c>
      <c r="F876" s="2974" t="s">
        <v>3859</v>
      </c>
      <c r="G876" s="2973" t="s">
        <v>3862</v>
      </c>
    </row>
    <row r="877" spans="1:7" ht="15.6" hidden="1">
      <c r="A877" s="2973">
        <v>876</v>
      </c>
      <c r="B877" s="2974" t="s">
        <v>3864</v>
      </c>
      <c r="C877" s="2974">
        <v>9</v>
      </c>
      <c r="D877" s="2976">
        <v>901</v>
      </c>
      <c r="E877" s="2976">
        <v>126.14</v>
      </c>
      <c r="F877" s="2974" t="s">
        <v>3859</v>
      </c>
      <c r="G877" s="2973" t="s">
        <v>3862</v>
      </c>
    </row>
    <row r="878" spans="1:7" ht="15.6" hidden="1">
      <c r="A878" s="2973">
        <v>877</v>
      </c>
      <c r="B878" s="2974" t="s">
        <v>3864</v>
      </c>
      <c r="C878" s="2974">
        <v>9</v>
      </c>
      <c r="D878" s="2976">
        <v>903</v>
      </c>
      <c r="E878" s="2976">
        <v>105.49</v>
      </c>
      <c r="F878" s="2974" t="s">
        <v>3859</v>
      </c>
      <c r="G878" s="2973" t="s">
        <v>3862</v>
      </c>
    </row>
    <row r="879" spans="1:7" ht="15.6" hidden="1">
      <c r="A879" s="2973">
        <v>878</v>
      </c>
      <c r="B879" s="2974" t="s">
        <v>3864</v>
      </c>
      <c r="C879" s="2974">
        <v>9</v>
      </c>
      <c r="D879" s="2976">
        <v>904</v>
      </c>
      <c r="E879" s="2976">
        <v>126.14</v>
      </c>
      <c r="F879" s="2974" t="s">
        <v>3859</v>
      </c>
      <c r="G879" s="2973" t="s">
        <v>3862</v>
      </c>
    </row>
    <row r="880" spans="1:7" ht="15.6" hidden="1">
      <c r="A880" s="2973">
        <v>879</v>
      </c>
      <c r="B880" s="2974" t="s">
        <v>3864</v>
      </c>
      <c r="C880" s="2974">
        <v>10</v>
      </c>
      <c r="D880" s="2976">
        <v>1001</v>
      </c>
      <c r="E880" s="2976">
        <v>126.14</v>
      </c>
      <c r="F880" s="2974" t="s">
        <v>3859</v>
      </c>
      <c r="G880" s="2973" t="s">
        <v>3862</v>
      </c>
    </row>
    <row r="881" spans="1:7" ht="15.6" hidden="1">
      <c r="A881" s="2973">
        <v>880</v>
      </c>
      <c r="B881" s="2974" t="s">
        <v>3864</v>
      </c>
      <c r="C881" s="2974">
        <v>10</v>
      </c>
      <c r="D881" s="2976">
        <v>1003</v>
      </c>
      <c r="E881" s="2976">
        <v>105.49</v>
      </c>
      <c r="F881" s="2974" t="s">
        <v>3859</v>
      </c>
      <c r="G881" s="2973" t="s">
        <v>3862</v>
      </c>
    </row>
    <row r="882" spans="1:7" ht="15.6" hidden="1">
      <c r="A882" s="2973">
        <v>881</v>
      </c>
      <c r="B882" s="2974" t="s">
        <v>3864</v>
      </c>
      <c r="C882" s="2974">
        <v>10</v>
      </c>
      <c r="D882" s="2976">
        <v>1004</v>
      </c>
      <c r="E882" s="2976">
        <v>126.14</v>
      </c>
      <c r="F882" s="2974" t="s">
        <v>3859</v>
      </c>
      <c r="G882" s="2973" t="s">
        <v>3862</v>
      </c>
    </row>
    <row r="883" spans="1:7" ht="15.6" hidden="1">
      <c r="A883" s="2973">
        <v>882</v>
      </c>
      <c r="B883" s="2974" t="s">
        <v>3864</v>
      </c>
      <c r="C883" s="2974">
        <v>11</v>
      </c>
      <c r="D883" s="2976">
        <v>1101</v>
      </c>
      <c r="E883" s="2976">
        <v>126.14</v>
      </c>
      <c r="F883" s="2974" t="s">
        <v>3859</v>
      </c>
      <c r="G883" s="2973" t="s">
        <v>3862</v>
      </c>
    </row>
    <row r="884" spans="1:7" ht="15.6" hidden="1">
      <c r="A884" s="2973">
        <v>883</v>
      </c>
      <c r="B884" s="2974" t="s">
        <v>3864</v>
      </c>
      <c r="C884" s="2974">
        <v>11</v>
      </c>
      <c r="D884" s="2976">
        <v>1103</v>
      </c>
      <c r="E884" s="2976">
        <v>105.49</v>
      </c>
      <c r="F884" s="2974" t="s">
        <v>3859</v>
      </c>
      <c r="G884" s="2973" t="s">
        <v>3862</v>
      </c>
    </row>
    <row r="885" spans="1:7" ht="15.6" hidden="1">
      <c r="A885" s="2973">
        <v>884</v>
      </c>
      <c r="B885" s="2974" t="s">
        <v>3864</v>
      </c>
      <c r="C885" s="2974">
        <v>11</v>
      </c>
      <c r="D885" s="2976">
        <v>1104</v>
      </c>
      <c r="E885" s="2976">
        <v>126.14</v>
      </c>
      <c r="F885" s="2974" t="s">
        <v>3859</v>
      </c>
      <c r="G885" s="2973" t="s">
        <v>3862</v>
      </c>
    </row>
    <row r="886" spans="1:7" ht="15.6" hidden="1">
      <c r="A886" s="2973">
        <v>885</v>
      </c>
      <c r="B886" s="2974" t="s">
        <v>3864</v>
      </c>
      <c r="C886" s="2974">
        <v>12</v>
      </c>
      <c r="D886" s="2976">
        <v>1201</v>
      </c>
      <c r="E886" s="2976">
        <v>126.14</v>
      </c>
      <c r="F886" s="2974" t="s">
        <v>3859</v>
      </c>
      <c r="G886" s="2973" t="s">
        <v>3862</v>
      </c>
    </row>
    <row r="887" spans="1:7" ht="15.6" hidden="1">
      <c r="A887" s="2973">
        <v>886</v>
      </c>
      <c r="B887" s="2974" t="s">
        <v>3864</v>
      </c>
      <c r="C887" s="2974">
        <v>12</v>
      </c>
      <c r="D887" s="2976">
        <v>1202</v>
      </c>
      <c r="E887" s="2976">
        <v>105.49</v>
      </c>
      <c r="F887" s="2974" t="s">
        <v>3859</v>
      </c>
      <c r="G887" s="2973" t="s">
        <v>3862</v>
      </c>
    </row>
    <row r="888" spans="1:7" ht="15.6" hidden="1">
      <c r="A888" s="2973">
        <v>887</v>
      </c>
      <c r="B888" s="2974" t="s">
        <v>3864</v>
      </c>
      <c r="C888" s="2974">
        <v>12</v>
      </c>
      <c r="D888" s="2976">
        <v>1203</v>
      </c>
      <c r="E888" s="2976">
        <v>105.49</v>
      </c>
      <c r="F888" s="2974" t="s">
        <v>3859</v>
      </c>
      <c r="G888" s="2973" t="s">
        <v>3862</v>
      </c>
    </row>
    <row r="889" spans="1:7" ht="15.6" hidden="1">
      <c r="A889" s="2973">
        <v>888</v>
      </c>
      <c r="B889" s="2974" t="s">
        <v>3864</v>
      </c>
      <c r="C889" s="2974">
        <v>12</v>
      </c>
      <c r="D889" s="2976">
        <v>1204</v>
      </c>
      <c r="E889" s="2976">
        <v>126.14</v>
      </c>
      <c r="F889" s="2974" t="s">
        <v>3859</v>
      </c>
      <c r="G889" s="2973" t="s">
        <v>3862</v>
      </c>
    </row>
    <row r="890" spans="1:7" ht="15.6" hidden="1">
      <c r="A890" s="2973">
        <v>889</v>
      </c>
      <c r="B890" s="2974" t="s">
        <v>3864</v>
      </c>
      <c r="C890" s="2974">
        <v>13</v>
      </c>
      <c r="D890" s="2976">
        <v>1301</v>
      </c>
      <c r="E890" s="2976">
        <v>126.14</v>
      </c>
      <c r="F890" s="2974" t="s">
        <v>3859</v>
      </c>
      <c r="G890" s="2973" t="s">
        <v>3862</v>
      </c>
    </row>
    <row r="891" spans="1:7" ht="15.6" hidden="1">
      <c r="A891" s="2973">
        <v>890</v>
      </c>
      <c r="B891" s="2974" t="s">
        <v>3864</v>
      </c>
      <c r="C891" s="2974">
        <v>13</v>
      </c>
      <c r="D891" s="2976">
        <v>1302</v>
      </c>
      <c r="E891" s="2976">
        <v>105.49</v>
      </c>
      <c r="F891" s="2974" t="s">
        <v>3859</v>
      </c>
      <c r="G891" s="2973" t="s">
        <v>3862</v>
      </c>
    </row>
    <row r="892" spans="1:7" ht="15.6" hidden="1">
      <c r="A892" s="2973">
        <v>891</v>
      </c>
      <c r="B892" s="2974" t="s">
        <v>3864</v>
      </c>
      <c r="C892" s="2974">
        <v>13</v>
      </c>
      <c r="D892" s="2976">
        <v>1303</v>
      </c>
      <c r="E892" s="2976">
        <v>105.49</v>
      </c>
      <c r="F892" s="2974" t="s">
        <v>3859</v>
      </c>
      <c r="G892" s="2973" t="s">
        <v>3862</v>
      </c>
    </row>
    <row r="893" spans="1:7" ht="15.6" hidden="1">
      <c r="A893" s="2973">
        <v>892</v>
      </c>
      <c r="B893" s="2974" t="s">
        <v>3864</v>
      </c>
      <c r="C893" s="2974">
        <v>13</v>
      </c>
      <c r="D893" s="2976">
        <v>1304</v>
      </c>
      <c r="E893" s="2976">
        <v>126.14</v>
      </c>
      <c r="F893" s="2974" t="s">
        <v>3859</v>
      </c>
      <c r="G893" s="2973" t="s">
        <v>3862</v>
      </c>
    </row>
    <row r="894" spans="1:7" ht="15.6" hidden="1">
      <c r="A894" s="2973">
        <v>893</v>
      </c>
      <c r="B894" s="2974" t="s">
        <v>3864</v>
      </c>
      <c r="C894" s="2974">
        <v>14</v>
      </c>
      <c r="D894" s="2976">
        <v>1401</v>
      </c>
      <c r="E894" s="2976">
        <v>126.14</v>
      </c>
      <c r="F894" s="2974" t="s">
        <v>3859</v>
      </c>
      <c r="G894" s="2973" t="s">
        <v>3862</v>
      </c>
    </row>
    <row r="895" spans="1:7" ht="15.6" hidden="1">
      <c r="A895" s="2973">
        <v>894</v>
      </c>
      <c r="B895" s="2974" t="s">
        <v>3864</v>
      </c>
      <c r="C895" s="2974">
        <v>14</v>
      </c>
      <c r="D895" s="2976">
        <v>1402</v>
      </c>
      <c r="E895" s="2976">
        <v>105.49</v>
      </c>
      <c r="F895" s="2974" t="s">
        <v>3859</v>
      </c>
      <c r="G895" s="2973" t="s">
        <v>3862</v>
      </c>
    </row>
    <row r="896" spans="1:7" ht="15.6" hidden="1">
      <c r="A896" s="2973">
        <v>895</v>
      </c>
      <c r="B896" s="2974" t="s">
        <v>3864</v>
      </c>
      <c r="C896" s="2974">
        <v>14</v>
      </c>
      <c r="D896" s="2976">
        <v>1403</v>
      </c>
      <c r="E896" s="2976">
        <v>105.49</v>
      </c>
      <c r="F896" s="2974" t="s">
        <v>3859</v>
      </c>
      <c r="G896" s="2973" t="s">
        <v>3862</v>
      </c>
    </row>
    <row r="897" spans="1:7" ht="15.6" hidden="1">
      <c r="A897" s="2973">
        <v>896</v>
      </c>
      <c r="B897" s="2974" t="s">
        <v>3864</v>
      </c>
      <c r="C897" s="2974">
        <v>14</v>
      </c>
      <c r="D897" s="2976">
        <v>1404</v>
      </c>
      <c r="E897" s="2976">
        <v>126.14</v>
      </c>
      <c r="F897" s="2974" t="s">
        <v>3859</v>
      </c>
      <c r="G897" s="2973" t="s">
        <v>3862</v>
      </c>
    </row>
    <row r="898" spans="1:7" ht="15.6" hidden="1">
      <c r="A898" s="2973">
        <v>897</v>
      </c>
      <c r="B898" s="2974" t="s">
        <v>3864</v>
      </c>
      <c r="C898" s="2974">
        <v>15</v>
      </c>
      <c r="D898" s="2976">
        <v>1501</v>
      </c>
      <c r="E898" s="2976">
        <v>126.14</v>
      </c>
      <c r="F898" s="2974" t="s">
        <v>3859</v>
      </c>
      <c r="G898" s="2973" t="s">
        <v>3862</v>
      </c>
    </row>
    <row r="899" spans="1:7" ht="15.6" hidden="1">
      <c r="A899" s="2973">
        <v>898</v>
      </c>
      <c r="B899" s="2974" t="s">
        <v>3864</v>
      </c>
      <c r="C899" s="2974">
        <v>15</v>
      </c>
      <c r="D899" s="2976">
        <v>1503</v>
      </c>
      <c r="E899" s="2976">
        <v>105.49</v>
      </c>
      <c r="F899" s="2974" t="s">
        <v>3859</v>
      </c>
      <c r="G899" s="2973" t="s">
        <v>3862</v>
      </c>
    </row>
    <row r="900" spans="1:7" ht="15.6" hidden="1">
      <c r="A900" s="2973">
        <v>899</v>
      </c>
      <c r="B900" s="2974" t="s">
        <v>3864</v>
      </c>
      <c r="C900" s="2974">
        <v>15</v>
      </c>
      <c r="D900" s="2976">
        <v>1504</v>
      </c>
      <c r="E900" s="2976">
        <v>126.14</v>
      </c>
      <c r="F900" s="2974" t="s">
        <v>3859</v>
      </c>
      <c r="G900" s="2973" t="s">
        <v>3862</v>
      </c>
    </row>
    <row r="901" spans="1:7" ht="15.6" hidden="1">
      <c r="A901" s="2973">
        <v>900</v>
      </c>
      <c r="B901" s="2974" t="s">
        <v>3864</v>
      </c>
      <c r="C901" s="2974">
        <v>16</v>
      </c>
      <c r="D901" s="2976">
        <v>1601</v>
      </c>
      <c r="E901" s="2976">
        <v>126.14</v>
      </c>
      <c r="F901" s="2974" t="s">
        <v>3859</v>
      </c>
      <c r="G901" s="2973" t="s">
        <v>3862</v>
      </c>
    </row>
    <row r="902" spans="1:7" ht="15.6" hidden="1">
      <c r="A902" s="2973">
        <v>901</v>
      </c>
      <c r="B902" s="2974" t="s">
        <v>3864</v>
      </c>
      <c r="C902" s="2974">
        <v>16</v>
      </c>
      <c r="D902" s="2976">
        <v>1602</v>
      </c>
      <c r="E902" s="2976">
        <v>105.49</v>
      </c>
      <c r="F902" s="2974" t="s">
        <v>3859</v>
      </c>
      <c r="G902" s="2973" t="s">
        <v>3862</v>
      </c>
    </row>
    <row r="903" spans="1:7" ht="15.6" hidden="1">
      <c r="A903" s="2973">
        <v>902</v>
      </c>
      <c r="B903" s="2974" t="s">
        <v>3864</v>
      </c>
      <c r="C903" s="2974">
        <v>16</v>
      </c>
      <c r="D903" s="2976">
        <v>1603</v>
      </c>
      <c r="E903" s="2976">
        <v>105.49</v>
      </c>
      <c r="F903" s="2974" t="s">
        <v>3859</v>
      </c>
      <c r="G903" s="2973" t="s">
        <v>3862</v>
      </c>
    </row>
    <row r="904" spans="1:7" ht="15.6" hidden="1">
      <c r="A904" s="2973">
        <v>903</v>
      </c>
      <c r="B904" s="2974" t="s">
        <v>3864</v>
      </c>
      <c r="C904" s="2974">
        <v>16</v>
      </c>
      <c r="D904" s="2976">
        <v>1604</v>
      </c>
      <c r="E904" s="2976">
        <v>126.14</v>
      </c>
      <c r="F904" s="2974" t="s">
        <v>3859</v>
      </c>
      <c r="G904" s="2973" t="s">
        <v>3862</v>
      </c>
    </row>
    <row r="905" spans="1:7" ht="15.6" hidden="1">
      <c r="A905" s="2973">
        <v>904</v>
      </c>
      <c r="B905" s="2974" t="s">
        <v>3864</v>
      </c>
      <c r="C905" s="2974">
        <v>17</v>
      </c>
      <c r="D905" s="2976">
        <v>1701</v>
      </c>
      <c r="E905" s="2976">
        <v>126.14</v>
      </c>
      <c r="F905" s="2974" t="s">
        <v>3859</v>
      </c>
      <c r="G905" s="2973" t="s">
        <v>3862</v>
      </c>
    </row>
    <row r="906" spans="1:7" ht="15.6" hidden="1">
      <c r="A906" s="2973">
        <v>905</v>
      </c>
      <c r="B906" s="2974" t="s">
        <v>3864</v>
      </c>
      <c r="C906" s="2974">
        <v>17</v>
      </c>
      <c r="D906" s="2976">
        <v>1702</v>
      </c>
      <c r="E906" s="2976">
        <v>105.49</v>
      </c>
      <c r="F906" s="2974" t="s">
        <v>3859</v>
      </c>
      <c r="G906" s="2973" t="s">
        <v>3862</v>
      </c>
    </row>
    <row r="907" spans="1:7" ht="15.6" hidden="1">
      <c r="A907" s="2973">
        <v>906</v>
      </c>
      <c r="B907" s="2974" t="s">
        <v>3864</v>
      </c>
      <c r="C907" s="2974">
        <v>17</v>
      </c>
      <c r="D907" s="2976">
        <v>1703</v>
      </c>
      <c r="E907" s="2976">
        <v>105.49</v>
      </c>
      <c r="F907" s="2974" t="s">
        <v>3859</v>
      </c>
      <c r="G907" s="2973" t="s">
        <v>3862</v>
      </c>
    </row>
    <row r="908" spans="1:7" ht="15.6" hidden="1">
      <c r="A908" s="2973">
        <v>907</v>
      </c>
      <c r="B908" s="2974" t="s">
        <v>3864</v>
      </c>
      <c r="C908" s="2974">
        <v>17</v>
      </c>
      <c r="D908" s="2976">
        <v>1704</v>
      </c>
      <c r="E908" s="2976">
        <v>126.14</v>
      </c>
      <c r="F908" s="2974" t="s">
        <v>3859</v>
      </c>
      <c r="G908" s="2973" t="s">
        <v>3862</v>
      </c>
    </row>
    <row r="909" spans="1:7" ht="15.6" hidden="1">
      <c r="A909" s="2973">
        <v>908</v>
      </c>
      <c r="B909" s="2974" t="s">
        <v>3864</v>
      </c>
      <c r="C909" s="2974">
        <v>18</v>
      </c>
      <c r="D909" s="2976">
        <v>1801</v>
      </c>
      <c r="E909" s="2976">
        <v>126.14</v>
      </c>
      <c r="F909" s="2974" t="s">
        <v>3859</v>
      </c>
      <c r="G909" s="2973" t="s">
        <v>3862</v>
      </c>
    </row>
    <row r="910" spans="1:7" ht="15.6" hidden="1">
      <c r="A910" s="2973">
        <v>909</v>
      </c>
      <c r="B910" s="2974" t="s">
        <v>3864</v>
      </c>
      <c r="C910" s="2974">
        <v>18</v>
      </c>
      <c r="D910" s="2976">
        <v>1802</v>
      </c>
      <c r="E910" s="2976">
        <v>105.49</v>
      </c>
      <c r="F910" s="2974" t="s">
        <v>3859</v>
      </c>
      <c r="G910" s="2973" t="s">
        <v>3862</v>
      </c>
    </row>
    <row r="911" spans="1:7" ht="15.6" hidden="1">
      <c r="A911" s="2973">
        <v>910</v>
      </c>
      <c r="B911" s="2974" t="s">
        <v>3864</v>
      </c>
      <c r="C911" s="2974">
        <v>18</v>
      </c>
      <c r="D911" s="2976">
        <v>1803</v>
      </c>
      <c r="E911" s="2976">
        <v>105.49</v>
      </c>
      <c r="F911" s="2974" t="s">
        <v>3859</v>
      </c>
      <c r="G911" s="2973" t="s">
        <v>3862</v>
      </c>
    </row>
    <row r="912" spans="1:7" ht="15.6" hidden="1">
      <c r="A912" s="2973">
        <v>911</v>
      </c>
      <c r="B912" s="2974" t="s">
        <v>3864</v>
      </c>
      <c r="C912" s="2974">
        <v>18</v>
      </c>
      <c r="D912" s="2976">
        <v>1804</v>
      </c>
      <c r="E912" s="2976">
        <v>126.14</v>
      </c>
      <c r="F912" s="2974" t="s">
        <v>3859</v>
      </c>
      <c r="G912" s="2973" t="s">
        <v>3862</v>
      </c>
    </row>
    <row r="913" spans="1:7" ht="15.6" hidden="1">
      <c r="A913" s="2973">
        <v>912</v>
      </c>
      <c r="B913" s="2974" t="s">
        <v>3864</v>
      </c>
      <c r="C913" s="2974">
        <v>19</v>
      </c>
      <c r="D913" s="2976">
        <v>1901</v>
      </c>
      <c r="E913" s="2976">
        <v>126.14</v>
      </c>
      <c r="F913" s="2974" t="s">
        <v>3859</v>
      </c>
      <c r="G913" s="2973" t="s">
        <v>3862</v>
      </c>
    </row>
    <row r="914" spans="1:7" ht="15.6" hidden="1">
      <c r="A914" s="2973">
        <v>913</v>
      </c>
      <c r="B914" s="2974" t="s">
        <v>3864</v>
      </c>
      <c r="C914" s="2974">
        <v>19</v>
      </c>
      <c r="D914" s="2976">
        <v>1903</v>
      </c>
      <c r="E914" s="2976">
        <v>105.49</v>
      </c>
      <c r="F914" s="2974" t="s">
        <v>3859</v>
      </c>
      <c r="G914" s="2973" t="s">
        <v>3862</v>
      </c>
    </row>
    <row r="915" spans="1:7" ht="15.6" hidden="1">
      <c r="A915" s="2973">
        <v>914</v>
      </c>
      <c r="B915" s="2974" t="s">
        <v>3864</v>
      </c>
      <c r="C915" s="2974">
        <v>19</v>
      </c>
      <c r="D915" s="2976">
        <v>1904</v>
      </c>
      <c r="E915" s="2976">
        <v>126.14</v>
      </c>
      <c r="F915" s="2974" t="s">
        <v>3859</v>
      </c>
      <c r="G915" s="2973" t="s">
        <v>3862</v>
      </c>
    </row>
    <row r="916" spans="1:7" ht="15.6" hidden="1">
      <c r="A916" s="2973">
        <v>915</v>
      </c>
      <c r="B916" s="2974" t="s">
        <v>3864</v>
      </c>
      <c r="C916" s="2974">
        <v>20</v>
      </c>
      <c r="D916" s="2976">
        <v>2001</v>
      </c>
      <c r="E916" s="2976">
        <v>126.14</v>
      </c>
      <c r="F916" s="2974" t="s">
        <v>3859</v>
      </c>
      <c r="G916" s="2973" t="s">
        <v>3862</v>
      </c>
    </row>
    <row r="917" spans="1:7" ht="15.6" hidden="1">
      <c r="A917" s="2973">
        <v>916</v>
      </c>
      <c r="B917" s="2974" t="s">
        <v>3864</v>
      </c>
      <c r="C917" s="2974">
        <v>20</v>
      </c>
      <c r="D917" s="2976">
        <v>2003</v>
      </c>
      <c r="E917" s="2976">
        <v>105.49</v>
      </c>
      <c r="F917" s="2974" t="s">
        <v>3859</v>
      </c>
      <c r="G917" s="2973" t="s">
        <v>3862</v>
      </c>
    </row>
    <row r="918" spans="1:7" ht="15.6" hidden="1">
      <c r="A918" s="2973">
        <v>917</v>
      </c>
      <c r="B918" s="2974" t="s">
        <v>3864</v>
      </c>
      <c r="C918" s="2974">
        <v>20</v>
      </c>
      <c r="D918" s="2976">
        <v>2004</v>
      </c>
      <c r="E918" s="2976">
        <v>126.14</v>
      </c>
      <c r="F918" s="2974" t="s">
        <v>3859</v>
      </c>
      <c r="G918" s="2973" t="s">
        <v>3862</v>
      </c>
    </row>
    <row r="919" spans="1:7" ht="15.6" hidden="1">
      <c r="A919" s="2973">
        <v>918</v>
      </c>
      <c r="B919" s="2974" t="s">
        <v>3865</v>
      </c>
      <c r="C919" s="2974">
        <v>2</v>
      </c>
      <c r="D919" s="2976">
        <v>201</v>
      </c>
      <c r="E919" s="2976">
        <v>115.88</v>
      </c>
      <c r="F919" s="2974" t="s">
        <v>3859</v>
      </c>
      <c r="G919" s="2973" t="s">
        <v>3862</v>
      </c>
    </row>
    <row r="920" spans="1:7" ht="15.6" hidden="1">
      <c r="A920" s="2973">
        <v>919</v>
      </c>
      <c r="B920" s="2974" t="s">
        <v>3865</v>
      </c>
      <c r="C920" s="2974">
        <v>2</v>
      </c>
      <c r="D920" s="2976">
        <v>204</v>
      </c>
      <c r="E920" s="2976">
        <v>87.59</v>
      </c>
      <c r="F920" s="2974" t="s">
        <v>3859</v>
      </c>
      <c r="G920" s="2973" t="s">
        <v>3862</v>
      </c>
    </row>
    <row r="921" spans="1:7" ht="15.6" hidden="1">
      <c r="A921" s="2973">
        <v>920</v>
      </c>
      <c r="B921" s="2974" t="s">
        <v>3865</v>
      </c>
      <c r="C921" s="2974">
        <v>2</v>
      </c>
      <c r="D921" s="2976">
        <v>205</v>
      </c>
      <c r="E921" s="2976">
        <v>115.88</v>
      </c>
      <c r="F921" s="2974" t="s">
        <v>3859</v>
      </c>
      <c r="G921" s="2973" t="s">
        <v>3862</v>
      </c>
    </row>
    <row r="922" spans="1:7" ht="15.6" hidden="1">
      <c r="A922" s="2973">
        <v>921</v>
      </c>
      <c r="B922" s="2974" t="s">
        <v>3865</v>
      </c>
      <c r="C922" s="2974">
        <v>3</v>
      </c>
      <c r="D922" s="2976">
        <v>301</v>
      </c>
      <c r="E922" s="2976">
        <v>115.88</v>
      </c>
      <c r="F922" s="2974" t="s">
        <v>3859</v>
      </c>
      <c r="G922" s="2973" t="s">
        <v>3862</v>
      </c>
    </row>
    <row r="923" spans="1:7" ht="15.6" hidden="1">
      <c r="A923" s="2973">
        <v>922</v>
      </c>
      <c r="B923" s="2974" t="s">
        <v>3865</v>
      </c>
      <c r="C923" s="2974">
        <v>3</v>
      </c>
      <c r="D923" s="2976">
        <v>303</v>
      </c>
      <c r="E923" s="2976">
        <v>87.15</v>
      </c>
      <c r="F923" s="2974" t="s">
        <v>3859</v>
      </c>
      <c r="G923" s="2973" t="s">
        <v>3862</v>
      </c>
    </row>
    <row r="924" spans="1:7" ht="15.6" hidden="1">
      <c r="A924" s="2973">
        <v>923</v>
      </c>
      <c r="B924" s="2974" t="s">
        <v>3865</v>
      </c>
      <c r="C924" s="2974">
        <v>3</v>
      </c>
      <c r="D924" s="2976">
        <v>304</v>
      </c>
      <c r="E924" s="2976">
        <v>87.59</v>
      </c>
      <c r="F924" s="2974" t="s">
        <v>3859</v>
      </c>
      <c r="G924" s="2973" t="s">
        <v>3862</v>
      </c>
    </row>
    <row r="925" spans="1:7" ht="15.6" hidden="1">
      <c r="A925" s="2973">
        <v>924</v>
      </c>
      <c r="B925" s="2974" t="s">
        <v>3865</v>
      </c>
      <c r="C925" s="2974">
        <v>3</v>
      </c>
      <c r="D925" s="2976">
        <v>305</v>
      </c>
      <c r="E925" s="2976">
        <v>115.88</v>
      </c>
      <c r="F925" s="2974" t="s">
        <v>3859</v>
      </c>
      <c r="G925" s="2973" t="s">
        <v>3862</v>
      </c>
    </row>
    <row r="926" spans="1:7" ht="15.6" hidden="1">
      <c r="A926" s="2973">
        <v>925</v>
      </c>
      <c r="B926" s="2974" t="s">
        <v>3865</v>
      </c>
      <c r="C926" s="2974">
        <v>4</v>
      </c>
      <c r="D926" s="2976">
        <v>401</v>
      </c>
      <c r="E926" s="2976">
        <v>115.88</v>
      </c>
      <c r="F926" s="2974" t="s">
        <v>3859</v>
      </c>
      <c r="G926" s="2973" t="s">
        <v>3862</v>
      </c>
    </row>
    <row r="927" spans="1:7" ht="15.6" hidden="1">
      <c r="A927" s="2973">
        <v>926</v>
      </c>
      <c r="B927" s="2974" t="s">
        <v>3865</v>
      </c>
      <c r="C927" s="2974">
        <v>4</v>
      </c>
      <c r="D927" s="2976">
        <v>404</v>
      </c>
      <c r="E927" s="2976">
        <v>87.59</v>
      </c>
      <c r="F927" s="2974" t="s">
        <v>3859</v>
      </c>
      <c r="G927" s="2973" t="s">
        <v>3862</v>
      </c>
    </row>
    <row r="928" spans="1:7" ht="15.6" hidden="1">
      <c r="A928" s="2973">
        <v>927</v>
      </c>
      <c r="B928" s="2974" t="s">
        <v>3865</v>
      </c>
      <c r="C928" s="2974">
        <v>4</v>
      </c>
      <c r="D928" s="2976">
        <v>405</v>
      </c>
      <c r="E928" s="2976">
        <v>115.88</v>
      </c>
      <c r="F928" s="2974" t="s">
        <v>3859</v>
      </c>
      <c r="G928" s="2973" t="s">
        <v>3862</v>
      </c>
    </row>
    <row r="929" spans="1:7" ht="15.6" hidden="1">
      <c r="A929" s="2973">
        <v>928</v>
      </c>
      <c r="B929" s="2974" t="s">
        <v>3865</v>
      </c>
      <c r="C929" s="2974">
        <v>5</v>
      </c>
      <c r="D929" s="2976">
        <v>501</v>
      </c>
      <c r="E929" s="2976">
        <v>115.88</v>
      </c>
      <c r="F929" s="2974" t="s">
        <v>3859</v>
      </c>
      <c r="G929" s="2973" t="s">
        <v>3862</v>
      </c>
    </row>
    <row r="930" spans="1:7" ht="15.6" hidden="1">
      <c r="A930" s="2973">
        <v>929</v>
      </c>
      <c r="B930" s="2974" t="s">
        <v>3865</v>
      </c>
      <c r="C930" s="2974">
        <v>5</v>
      </c>
      <c r="D930" s="2976">
        <v>504</v>
      </c>
      <c r="E930" s="2976">
        <v>87.59</v>
      </c>
      <c r="F930" s="2974" t="s">
        <v>3859</v>
      </c>
      <c r="G930" s="2973" t="s">
        <v>3862</v>
      </c>
    </row>
    <row r="931" spans="1:7" ht="15.6" hidden="1">
      <c r="A931" s="2973">
        <v>930</v>
      </c>
      <c r="B931" s="2974" t="s">
        <v>3865</v>
      </c>
      <c r="C931" s="2974">
        <v>5</v>
      </c>
      <c r="D931" s="2976">
        <v>505</v>
      </c>
      <c r="E931" s="2976">
        <v>115.88</v>
      </c>
      <c r="F931" s="2974" t="s">
        <v>3859</v>
      </c>
      <c r="G931" s="2973" t="s">
        <v>3862</v>
      </c>
    </row>
    <row r="932" spans="1:7" ht="15.6" hidden="1">
      <c r="A932" s="2973">
        <v>931</v>
      </c>
      <c r="B932" s="2974" t="s">
        <v>3865</v>
      </c>
      <c r="C932" s="2974">
        <v>6</v>
      </c>
      <c r="D932" s="2976">
        <v>601</v>
      </c>
      <c r="E932" s="2976">
        <v>115.88</v>
      </c>
      <c r="F932" s="2974" t="s">
        <v>3859</v>
      </c>
      <c r="G932" s="2973" t="s">
        <v>3862</v>
      </c>
    </row>
    <row r="933" spans="1:7" ht="15.6" hidden="1">
      <c r="A933" s="2973">
        <v>932</v>
      </c>
      <c r="B933" s="2974" t="s">
        <v>3865</v>
      </c>
      <c r="C933" s="2974">
        <v>6</v>
      </c>
      <c r="D933" s="2976">
        <v>604</v>
      </c>
      <c r="E933" s="2976">
        <v>87.59</v>
      </c>
      <c r="F933" s="2974" t="s">
        <v>3859</v>
      </c>
      <c r="G933" s="2973" t="s">
        <v>3862</v>
      </c>
    </row>
    <row r="934" spans="1:7" ht="15.6" hidden="1">
      <c r="A934" s="2973">
        <v>933</v>
      </c>
      <c r="B934" s="2974" t="s">
        <v>3865</v>
      </c>
      <c r="C934" s="2974">
        <v>6</v>
      </c>
      <c r="D934" s="2976">
        <v>605</v>
      </c>
      <c r="E934" s="2976">
        <v>115.88</v>
      </c>
      <c r="F934" s="2974" t="s">
        <v>3859</v>
      </c>
      <c r="G934" s="2973" t="s">
        <v>3862</v>
      </c>
    </row>
    <row r="935" spans="1:7" ht="15.6" hidden="1">
      <c r="A935" s="2973">
        <v>934</v>
      </c>
      <c r="B935" s="2974" t="s">
        <v>3865</v>
      </c>
      <c r="C935" s="2974">
        <v>7</v>
      </c>
      <c r="D935" s="2976">
        <v>701</v>
      </c>
      <c r="E935" s="2976">
        <v>115.88</v>
      </c>
      <c r="F935" s="2974" t="s">
        <v>3859</v>
      </c>
      <c r="G935" s="2973" t="s">
        <v>3862</v>
      </c>
    </row>
    <row r="936" spans="1:7" ht="15.6" hidden="1">
      <c r="A936" s="2973">
        <v>935</v>
      </c>
      <c r="B936" s="2974" t="s">
        <v>3865</v>
      </c>
      <c r="C936" s="2974">
        <v>7</v>
      </c>
      <c r="D936" s="2976">
        <v>705</v>
      </c>
      <c r="E936" s="2976">
        <v>115.88</v>
      </c>
      <c r="F936" s="2974" t="s">
        <v>3859</v>
      </c>
      <c r="G936" s="2973" t="s">
        <v>3862</v>
      </c>
    </row>
    <row r="937" spans="1:7" ht="15.6" hidden="1">
      <c r="A937" s="2973">
        <v>936</v>
      </c>
      <c r="B937" s="2974" t="s">
        <v>3865</v>
      </c>
      <c r="C937" s="2974">
        <v>8</v>
      </c>
      <c r="D937" s="2976">
        <v>801</v>
      </c>
      <c r="E937" s="2976">
        <v>115.88</v>
      </c>
      <c r="F937" s="2974" t="s">
        <v>3859</v>
      </c>
      <c r="G937" s="2973" t="s">
        <v>3862</v>
      </c>
    </row>
    <row r="938" spans="1:7" ht="15.6" hidden="1">
      <c r="A938" s="2973">
        <v>937</v>
      </c>
      <c r="B938" s="2974" t="s">
        <v>3865</v>
      </c>
      <c r="C938" s="2974">
        <v>8</v>
      </c>
      <c r="D938" s="2976">
        <v>805</v>
      </c>
      <c r="E938" s="2976">
        <v>115.88</v>
      </c>
      <c r="F938" s="2974" t="s">
        <v>3859</v>
      </c>
      <c r="G938" s="2973" t="s">
        <v>3862</v>
      </c>
    </row>
    <row r="939" spans="1:7" ht="15.6" hidden="1">
      <c r="A939" s="2973">
        <v>938</v>
      </c>
      <c r="B939" s="2974" t="s">
        <v>3865</v>
      </c>
      <c r="C939" s="2974">
        <v>9</v>
      </c>
      <c r="D939" s="2976">
        <v>901</v>
      </c>
      <c r="E939" s="2976">
        <v>115.88</v>
      </c>
      <c r="F939" s="2974" t="s">
        <v>3859</v>
      </c>
      <c r="G939" s="2973" t="s">
        <v>3862</v>
      </c>
    </row>
    <row r="940" spans="1:7" ht="15.6" hidden="1">
      <c r="A940" s="2973">
        <v>939</v>
      </c>
      <c r="B940" s="2974" t="s">
        <v>3865</v>
      </c>
      <c r="C940" s="2974">
        <v>9</v>
      </c>
      <c r="D940" s="2976">
        <v>902</v>
      </c>
      <c r="E940" s="2976">
        <v>87.59</v>
      </c>
      <c r="F940" s="2974" t="s">
        <v>3859</v>
      </c>
      <c r="G940" s="2973" t="s">
        <v>3862</v>
      </c>
    </row>
    <row r="941" spans="1:7" ht="15.6" hidden="1">
      <c r="A941" s="2973">
        <v>940</v>
      </c>
      <c r="B941" s="2974" t="s">
        <v>3865</v>
      </c>
      <c r="C941" s="2974">
        <v>9</v>
      </c>
      <c r="D941" s="2976">
        <v>904</v>
      </c>
      <c r="E941" s="2976">
        <v>87.59</v>
      </c>
      <c r="F941" s="2974" t="s">
        <v>3859</v>
      </c>
      <c r="G941" s="2973" t="s">
        <v>3862</v>
      </c>
    </row>
    <row r="942" spans="1:7" ht="15.6" hidden="1">
      <c r="A942" s="2973">
        <v>941</v>
      </c>
      <c r="B942" s="2974" t="s">
        <v>3865</v>
      </c>
      <c r="C942" s="2974">
        <v>9</v>
      </c>
      <c r="D942" s="2976">
        <v>905</v>
      </c>
      <c r="E942" s="2976">
        <v>115.88</v>
      </c>
      <c r="F942" s="2974" t="s">
        <v>3859</v>
      </c>
      <c r="G942" s="2973" t="s">
        <v>3862</v>
      </c>
    </row>
    <row r="943" spans="1:7" ht="15.6" hidden="1">
      <c r="A943" s="2973">
        <v>942</v>
      </c>
      <c r="B943" s="2974" t="s">
        <v>3865</v>
      </c>
      <c r="C943" s="2974">
        <v>10</v>
      </c>
      <c r="D943" s="2976">
        <v>1001</v>
      </c>
      <c r="E943" s="2976">
        <v>115.88</v>
      </c>
      <c r="F943" s="2974" t="s">
        <v>3859</v>
      </c>
      <c r="G943" s="2973" t="s">
        <v>3862</v>
      </c>
    </row>
    <row r="944" spans="1:7" ht="15.6" hidden="1">
      <c r="A944" s="2973">
        <v>943</v>
      </c>
      <c r="B944" s="2974" t="s">
        <v>3865</v>
      </c>
      <c r="C944" s="2974">
        <v>10</v>
      </c>
      <c r="D944" s="2976">
        <v>1005</v>
      </c>
      <c r="E944" s="2976">
        <v>115.88</v>
      </c>
      <c r="F944" s="2974" t="s">
        <v>3859</v>
      </c>
      <c r="G944" s="2973" t="s">
        <v>3862</v>
      </c>
    </row>
    <row r="945" spans="1:7" ht="15.6" hidden="1">
      <c r="A945" s="2973">
        <v>944</v>
      </c>
      <c r="B945" s="2974" t="s">
        <v>3865</v>
      </c>
      <c r="C945" s="2974">
        <v>11</v>
      </c>
      <c r="D945" s="2976">
        <v>1101</v>
      </c>
      <c r="E945" s="2976">
        <v>115.88</v>
      </c>
      <c r="F945" s="2974" t="s">
        <v>3859</v>
      </c>
      <c r="G945" s="2973" t="s">
        <v>3862</v>
      </c>
    </row>
    <row r="946" spans="1:7" ht="15.6" hidden="1">
      <c r="A946" s="2973">
        <v>945</v>
      </c>
      <c r="B946" s="2974" t="s">
        <v>3865</v>
      </c>
      <c r="C946" s="2974">
        <v>11</v>
      </c>
      <c r="D946" s="2976">
        <v>1103</v>
      </c>
      <c r="E946" s="2976">
        <v>87.15</v>
      </c>
      <c r="F946" s="2974" t="s">
        <v>3859</v>
      </c>
      <c r="G946" s="2973" t="s">
        <v>3862</v>
      </c>
    </row>
    <row r="947" spans="1:7" ht="15.6" hidden="1">
      <c r="A947" s="2973">
        <v>946</v>
      </c>
      <c r="B947" s="2974" t="s">
        <v>3865</v>
      </c>
      <c r="C947" s="2974">
        <v>11</v>
      </c>
      <c r="D947" s="2976">
        <v>1105</v>
      </c>
      <c r="E947" s="2976">
        <v>115.88</v>
      </c>
      <c r="F947" s="2974" t="s">
        <v>3859</v>
      </c>
      <c r="G947" s="2973" t="s">
        <v>3862</v>
      </c>
    </row>
    <row r="948" spans="1:7" ht="15.6" hidden="1">
      <c r="A948" s="2973">
        <v>947</v>
      </c>
      <c r="B948" s="2974" t="s">
        <v>3865</v>
      </c>
      <c r="C948" s="2974">
        <v>12</v>
      </c>
      <c r="D948" s="2976">
        <v>1205</v>
      </c>
      <c r="E948" s="2976">
        <v>115.88</v>
      </c>
      <c r="F948" s="2974" t="s">
        <v>3859</v>
      </c>
      <c r="G948" s="2973" t="s">
        <v>3862</v>
      </c>
    </row>
    <row r="949" spans="1:7" ht="15.6" hidden="1">
      <c r="A949" s="2973">
        <v>948</v>
      </c>
      <c r="B949" s="2974" t="s">
        <v>3865</v>
      </c>
      <c r="C949" s="2974">
        <v>13</v>
      </c>
      <c r="D949" s="2976">
        <v>1301</v>
      </c>
      <c r="E949" s="2976">
        <v>115.88</v>
      </c>
      <c r="F949" s="2974" t="s">
        <v>3859</v>
      </c>
      <c r="G949" s="2973" t="s">
        <v>3862</v>
      </c>
    </row>
    <row r="950" spans="1:7" ht="15.6" hidden="1">
      <c r="A950" s="2973">
        <v>949</v>
      </c>
      <c r="B950" s="2974" t="s">
        <v>3865</v>
      </c>
      <c r="C950" s="2974">
        <v>13</v>
      </c>
      <c r="D950" s="2976">
        <v>1302</v>
      </c>
      <c r="E950" s="2976">
        <v>87.59</v>
      </c>
      <c r="F950" s="2974" t="s">
        <v>3859</v>
      </c>
      <c r="G950" s="2973" t="s">
        <v>3862</v>
      </c>
    </row>
    <row r="951" spans="1:7" ht="15.6" hidden="1">
      <c r="A951" s="2973">
        <v>950</v>
      </c>
      <c r="B951" s="2974" t="s">
        <v>3865</v>
      </c>
      <c r="C951" s="2974">
        <v>13</v>
      </c>
      <c r="D951" s="2976">
        <v>1303</v>
      </c>
      <c r="E951" s="2976">
        <v>87.15</v>
      </c>
      <c r="F951" s="2974" t="s">
        <v>3859</v>
      </c>
      <c r="G951" s="2973" t="s">
        <v>3862</v>
      </c>
    </row>
    <row r="952" spans="1:7" ht="15.6" hidden="1">
      <c r="A952" s="2973">
        <v>951</v>
      </c>
      <c r="B952" s="2974" t="s">
        <v>3865</v>
      </c>
      <c r="C952" s="2974">
        <v>13</v>
      </c>
      <c r="D952" s="2976">
        <v>1305</v>
      </c>
      <c r="E952" s="2976">
        <v>115.88</v>
      </c>
      <c r="F952" s="2974" t="s">
        <v>3859</v>
      </c>
      <c r="G952" s="2973" t="s">
        <v>3862</v>
      </c>
    </row>
    <row r="953" spans="1:7" ht="15.6" hidden="1">
      <c r="A953" s="2973">
        <v>952</v>
      </c>
      <c r="B953" s="2974" t="s">
        <v>3865</v>
      </c>
      <c r="C953" s="2974">
        <v>14</v>
      </c>
      <c r="D953" s="2976">
        <v>1401</v>
      </c>
      <c r="E953" s="2976">
        <v>115.88</v>
      </c>
      <c r="F953" s="2974" t="s">
        <v>3859</v>
      </c>
      <c r="G953" s="2973" t="s">
        <v>3862</v>
      </c>
    </row>
    <row r="954" spans="1:7" ht="15.6" hidden="1">
      <c r="A954" s="2973">
        <v>953</v>
      </c>
      <c r="B954" s="2974" t="s">
        <v>3865</v>
      </c>
      <c r="C954" s="2974">
        <v>14</v>
      </c>
      <c r="D954" s="2976">
        <v>1402</v>
      </c>
      <c r="E954" s="2976">
        <v>87.59</v>
      </c>
      <c r="F954" s="2974" t="s">
        <v>3859</v>
      </c>
      <c r="G954" s="2973" t="s">
        <v>3862</v>
      </c>
    </row>
    <row r="955" spans="1:7" ht="15.6" hidden="1">
      <c r="A955" s="2973">
        <v>954</v>
      </c>
      <c r="B955" s="2974" t="s">
        <v>3865</v>
      </c>
      <c r="C955" s="2974">
        <v>14</v>
      </c>
      <c r="D955" s="2976">
        <v>1403</v>
      </c>
      <c r="E955" s="2976">
        <v>87.15</v>
      </c>
      <c r="F955" s="2974" t="s">
        <v>3859</v>
      </c>
      <c r="G955" s="2973" t="s">
        <v>3862</v>
      </c>
    </row>
    <row r="956" spans="1:7" ht="15.6" hidden="1">
      <c r="A956" s="2973">
        <v>955</v>
      </c>
      <c r="B956" s="2974" t="s">
        <v>3865</v>
      </c>
      <c r="C956" s="2974">
        <v>14</v>
      </c>
      <c r="D956" s="2976">
        <v>1404</v>
      </c>
      <c r="E956" s="2976">
        <v>87.59</v>
      </c>
      <c r="F956" s="2974" t="s">
        <v>3859</v>
      </c>
      <c r="G956" s="2973" t="s">
        <v>3862</v>
      </c>
    </row>
    <row r="957" spans="1:7" ht="15.6" hidden="1">
      <c r="A957" s="2973">
        <v>956</v>
      </c>
      <c r="B957" s="2974" t="s">
        <v>3865</v>
      </c>
      <c r="C957" s="2974">
        <v>14</v>
      </c>
      <c r="D957" s="2976">
        <v>1405</v>
      </c>
      <c r="E957" s="2976">
        <v>115.88</v>
      </c>
      <c r="F957" s="2974" t="s">
        <v>3859</v>
      </c>
      <c r="G957" s="2973" t="s">
        <v>3862</v>
      </c>
    </row>
    <row r="958" spans="1:7" ht="15.6" hidden="1">
      <c r="A958" s="2973">
        <v>957</v>
      </c>
      <c r="B958" s="2974" t="s">
        <v>3865</v>
      </c>
      <c r="C958" s="2974">
        <v>15</v>
      </c>
      <c r="D958" s="2976">
        <v>1501</v>
      </c>
      <c r="E958" s="2976">
        <v>115.88</v>
      </c>
      <c r="F958" s="2974" t="s">
        <v>3859</v>
      </c>
      <c r="G958" s="2973" t="s">
        <v>3862</v>
      </c>
    </row>
    <row r="959" spans="1:7" ht="15.6" hidden="1">
      <c r="A959" s="2973">
        <v>958</v>
      </c>
      <c r="B959" s="2974" t="s">
        <v>3865</v>
      </c>
      <c r="C959" s="2974">
        <v>15</v>
      </c>
      <c r="D959" s="2976">
        <v>1502</v>
      </c>
      <c r="E959" s="2976">
        <v>87.59</v>
      </c>
      <c r="F959" s="2974" t="s">
        <v>3859</v>
      </c>
      <c r="G959" s="2973" t="s">
        <v>3862</v>
      </c>
    </row>
    <row r="960" spans="1:7" ht="15.6" hidden="1">
      <c r="A960" s="2973">
        <v>959</v>
      </c>
      <c r="B960" s="2974" t="s">
        <v>3865</v>
      </c>
      <c r="C960" s="2974">
        <v>15</v>
      </c>
      <c r="D960" s="2976">
        <v>1504</v>
      </c>
      <c r="E960" s="2976">
        <v>87.59</v>
      </c>
      <c r="F960" s="2974" t="s">
        <v>3859</v>
      </c>
      <c r="G960" s="2973" t="s">
        <v>3862</v>
      </c>
    </row>
    <row r="961" spans="1:7" ht="15.6" hidden="1">
      <c r="A961" s="2973">
        <v>960</v>
      </c>
      <c r="B961" s="2974" t="s">
        <v>3865</v>
      </c>
      <c r="C961" s="2974">
        <v>15</v>
      </c>
      <c r="D961" s="2976">
        <v>1505</v>
      </c>
      <c r="E961" s="2976">
        <v>115.88</v>
      </c>
      <c r="F961" s="2974" t="s">
        <v>3859</v>
      </c>
      <c r="G961" s="2973" t="s">
        <v>3862</v>
      </c>
    </row>
    <row r="962" spans="1:7" ht="15.6" hidden="1">
      <c r="A962" s="2973">
        <v>961</v>
      </c>
      <c r="B962" s="2974" t="s">
        <v>3865</v>
      </c>
      <c r="C962" s="2974">
        <v>16</v>
      </c>
      <c r="D962" s="2976">
        <v>1601</v>
      </c>
      <c r="E962" s="2976">
        <v>115.88</v>
      </c>
      <c r="F962" s="2974" t="s">
        <v>3859</v>
      </c>
      <c r="G962" s="2973" t="s">
        <v>3862</v>
      </c>
    </row>
    <row r="963" spans="1:7" ht="15.6" hidden="1">
      <c r="A963" s="2973">
        <v>962</v>
      </c>
      <c r="B963" s="2974" t="s">
        <v>3865</v>
      </c>
      <c r="C963" s="2974">
        <v>16</v>
      </c>
      <c r="D963" s="2976">
        <v>1602</v>
      </c>
      <c r="E963" s="2976">
        <v>87.59</v>
      </c>
      <c r="F963" s="2974" t="s">
        <v>3859</v>
      </c>
      <c r="G963" s="2973" t="s">
        <v>3862</v>
      </c>
    </row>
    <row r="964" spans="1:7" ht="15.6" hidden="1">
      <c r="A964" s="2973">
        <v>963</v>
      </c>
      <c r="B964" s="2974" t="s">
        <v>3865</v>
      </c>
      <c r="C964" s="2974">
        <v>16</v>
      </c>
      <c r="D964" s="2976">
        <v>1603</v>
      </c>
      <c r="E964" s="2976">
        <v>87.15</v>
      </c>
      <c r="F964" s="2974" t="s">
        <v>3859</v>
      </c>
      <c r="G964" s="2973" t="s">
        <v>3862</v>
      </c>
    </row>
    <row r="965" spans="1:7" ht="15.6" hidden="1">
      <c r="A965" s="2973">
        <v>964</v>
      </c>
      <c r="B965" s="2974" t="s">
        <v>3865</v>
      </c>
      <c r="C965" s="2974">
        <v>16</v>
      </c>
      <c r="D965" s="2976">
        <v>1604</v>
      </c>
      <c r="E965" s="2976">
        <v>87.59</v>
      </c>
      <c r="F965" s="2974" t="s">
        <v>3859</v>
      </c>
      <c r="G965" s="2973" t="s">
        <v>3862</v>
      </c>
    </row>
    <row r="966" spans="1:7" ht="15.6" hidden="1">
      <c r="A966" s="2973">
        <v>965</v>
      </c>
      <c r="B966" s="2974" t="s">
        <v>3865</v>
      </c>
      <c r="C966" s="2974">
        <v>16</v>
      </c>
      <c r="D966" s="2976">
        <v>1605</v>
      </c>
      <c r="E966" s="2976">
        <v>115.88</v>
      </c>
      <c r="F966" s="2974" t="s">
        <v>3859</v>
      </c>
      <c r="G966" s="2973" t="s">
        <v>3862</v>
      </c>
    </row>
    <row r="967" spans="1:7" ht="15.6" hidden="1">
      <c r="A967" s="2973">
        <v>966</v>
      </c>
      <c r="B967" s="2974" t="s">
        <v>3865</v>
      </c>
      <c r="C967" s="2974">
        <v>17</v>
      </c>
      <c r="D967" s="2976">
        <v>1701</v>
      </c>
      <c r="E967" s="2976">
        <v>115.88</v>
      </c>
      <c r="F967" s="2974" t="s">
        <v>3859</v>
      </c>
      <c r="G967" s="2973" t="s">
        <v>3862</v>
      </c>
    </row>
    <row r="968" spans="1:7" ht="15.6" hidden="1">
      <c r="A968" s="2973">
        <v>967</v>
      </c>
      <c r="B968" s="2974" t="s">
        <v>3865</v>
      </c>
      <c r="C968" s="2974">
        <v>17</v>
      </c>
      <c r="D968" s="2976">
        <v>1702</v>
      </c>
      <c r="E968" s="2976">
        <v>87.59</v>
      </c>
      <c r="F968" s="2974" t="s">
        <v>3859</v>
      </c>
      <c r="G968" s="2973" t="s">
        <v>3862</v>
      </c>
    </row>
    <row r="969" spans="1:7" ht="15.6" hidden="1">
      <c r="A969" s="2973">
        <v>968</v>
      </c>
      <c r="B969" s="2974" t="s">
        <v>3865</v>
      </c>
      <c r="C969" s="2974">
        <v>17</v>
      </c>
      <c r="D969" s="2976">
        <v>1703</v>
      </c>
      <c r="E969" s="2976">
        <v>87.15</v>
      </c>
      <c r="F969" s="2974" t="s">
        <v>3859</v>
      </c>
      <c r="G969" s="2973" t="s">
        <v>3862</v>
      </c>
    </row>
    <row r="970" spans="1:7" ht="15.6" hidden="1">
      <c r="A970" s="2973">
        <v>969</v>
      </c>
      <c r="B970" s="2974" t="s">
        <v>3865</v>
      </c>
      <c r="C970" s="2974">
        <v>17</v>
      </c>
      <c r="D970" s="2976">
        <v>1704</v>
      </c>
      <c r="E970" s="2976">
        <v>87.59</v>
      </c>
      <c r="F970" s="2974" t="s">
        <v>3859</v>
      </c>
      <c r="G970" s="2973" t="s">
        <v>3862</v>
      </c>
    </row>
    <row r="971" spans="1:7" ht="15.6" hidden="1">
      <c r="A971" s="2973">
        <v>970</v>
      </c>
      <c r="B971" s="2974" t="s">
        <v>3865</v>
      </c>
      <c r="C971" s="2974">
        <v>17</v>
      </c>
      <c r="D971" s="2976">
        <v>1705</v>
      </c>
      <c r="E971" s="2976">
        <v>115.88</v>
      </c>
      <c r="F971" s="2974" t="s">
        <v>3859</v>
      </c>
      <c r="G971" s="2973" t="s">
        <v>3862</v>
      </c>
    </row>
    <row r="972" spans="1:7" ht="15.6" hidden="1">
      <c r="A972" s="2973">
        <v>971</v>
      </c>
      <c r="B972" s="2974" t="s">
        <v>3865</v>
      </c>
      <c r="C972" s="2974">
        <v>18</v>
      </c>
      <c r="D972" s="2976">
        <v>1801</v>
      </c>
      <c r="E972" s="2976">
        <v>115.88</v>
      </c>
      <c r="F972" s="2974" t="s">
        <v>3859</v>
      </c>
      <c r="G972" s="2973" t="s">
        <v>3862</v>
      </c>
    </row>
    <row r="973" spans="1:7" ht="15.6" hidden="1">
      <c r="A973" s="2973">
        <v>972</v>
      </c>
      <c r="B973" s="2974" t="s">
        <v>3865</v>
      </c>
      <c r="C973" s="2974">
        <v>18</v>
      </c>
      <c r="D973" s="2976">
        <v>1802</v>
      </c>
      <c r="E973" s="2976">
        <v>87.59</v>
      </c>
      <c r="F973" s="2974" t="s">
        <v>3859</v>
      </c>
      <c r="G973" s="2973" t="s">
        <v>3862</v>
      </c>
    </row>
    <row r="974" spans="1:7" ht="15.6" hidden="1">
      <c r="A974" s="2973">
        <v>973</v>
      </c>
      <c r="B974" s="2974" t="s">
        <v>3865</v>
      </c>
      <c r="C974" s="2974">
        <v>18</v>
      </c>
      <c r="D974" s="2976">
        <v>1803</v>
      </c>
      <c r="E974" s="2976">
        <v>87.15</v>
      </c>
      <c r="F974" s="2974" t="s">
        <v>3859</v>
      </c>
      <c r="G974" s="2973" t="s">
        <v>3862</v>
      </c>
    </row>
    <row r="975" spans="1:7" ht="15.6" hidden="1">
      <c r="A975" s="2973">
        <v>974</v>
      </c>
      <c r="B975" s="2974" t="s">
        <v>3865</v>
      </c>
      <c r="C975" s="2974">
        <v>18</v>
      </c>
      <c r="D975" s="2976">
        <v>1804</v>
      </c>
      <c r="E975" s="2976">
        <v>87.59</v>
      </c>
      <c r="F975" s="2974" t="s">
        <v>3859</v>
      </c>
      <c r="G975" s="2973" t="s">
        <v>3862</v>
      </c>
    </row>
    <row r="976" spans="1:7" ht="15.6" hidden="1">
      <c r="A976" s="2973">
        <v>975</v>
      </c>
      <c r="B976" s="2974" t="s">
        <v>3865</v>
      </c>
      <c r="C976" s="2974">
        <v>18</v>
      </c>
      <c r="D976" s="2976">
        <v>1805</v>
      </c>
      <c r="E976" s="2976">
        <v>115.88</v>
      </c>
      <c r="F976" s="2974" t="s">
        <v>3859</v>
      </c>
      <c r="G976" s="2973" t="s">
        <v>3862</v>
      </c>
    </row>
    <row r="977" spans="1:7" ht="15.6" hidden="1">
      <c r="A977" s="2973">
        <v>976</v>
      </c>
      <c r="B977" s="2974" t="s">
        <v>3865</v>
      </c>
      <c r="C977" s="2974">
        <v>19</v>
      </c>
      <c r="D977" s="2976">
        <v>1901</v>
      </c>
      <c r="E977" s="2976">
        <v>115.88</v>
      </c>
      <c r="F977" s="2974" t="s">
        <v>3859</v>
      </c>
      <c r="G977" s="2973" t="s">
        <v>3862</v>
      </c>
    </row>
    <row r="978" spans="1:7" ht="15.6" hidden="1">
      <c r="A978" s="2973">
        <v>977</v>
      </c>
      <c r="B978" s="2974" t="s">
        <v>3865</v>
      </c>
      <c r="C978" s="2974">
        <v>19</v>
      </c>
      <c r="D978" s="2976">
        <v>1902</v>
      </c>
      <c r="E978" s="2976">
        <v>87.59</v>
      </c>
      <c r="F978" s="2974" t="s">
        <v>3859</v>
      </c>
      <c r="G978" s="2973" t="s">
        <v>3862</v>
      </c>
    </row>
    <row r="979" spans="1:7" ht="15.6" hidden="1">
      <c r="A979" s="2973">
        <v>978</v>
      </c>
      <c r="B979" s="2974" t="s">
        <v>3865</v>
      </c>
      <c r="C979" s="2974">
        <v>19</v>
      </c>
      <c r="D979" s="2976">
        <v>1903</v>
      </c>
      <c r="E979" s="2976">
        <v>87.15</v>
      </c>
      <c r="F979" s="2974" t="s">
        <v>3859</v>
      </c>
      <c r="G979" s="2973" t="s">
        <v>3862</v>
      </c>
    </row>
    <row r="980" spans="1:7" ht="15.6" hidden="1">
      <c r="A980" s="2973">
        <v>979</v>
      </c>
      <c r="B980" s="2974" t="s">
        <v>3865</v>
      </c>
      <c r="C980" s="2974">
        <v>19</v>
      </c>
      <c r="D980" s="2976">
        <v>1904</v>
      </c>
      <c r="E980" s="2976">
        <v>87.59</v>
      </c>
      <c r="F980" s="2974" t="s">
        <v>3859</v>
      </c>
      <c r="G980" s="2973" t="s">
        <v>3862</v>
      </c>
    </row>
    <row r="981" spans="1:7" ht="15.6" hidden="1">
      <c r="A981" s="2973">
        <v>980</v>
      </c>
      <c r="B981" s="2974" t="s">
        <v>3865</v>
      </c>
      <c r="C981" s="2974">
        <v>19</v>
      </c>
      <c r="D981" s="2976">
        <v>1905</v>
      </c>
      <c r="E981" s="2976">
        <v>115.88</v>
      </c>
      <c r="F981" s="2974" t="s">
        <v>3859</v>
      </c>
      <c r="G981" s="2973" t="s">
        <v>3862</v>
      </c>
    </row>
    <row r="982" spans="1:7" ht="15.6" hidden="1">
      <c r="A982" s="2973">
        <v>981</v>
      </c>
      <c r="B982" s="2974" t="s">
        <v>3865</v>
      </c>
      <c r="C982" s="2974">
        <v>20</v>
      </c>
      <c r="D982" s="2976">
        <v>2001</v>
      </c>
      <c r="E982" s="2976">
        <v>115.88</v>
      </c>
      <c r="F982" s="2974" t="s">
        <v>3859</v>
      </c>
      <c r="G982" s="2973" t="s">
        <v>3862</v>
      </c>
    </row>
    <row r="983" spans="1:7" ht="15.6" hidden="1">
      <c r="A983" s="2973">
        <v>982</v>
      </c>
      <c r="B983" s="2974" t="s">
        <v>3865</v>
      </c>
      <c r="C983" s="2974">
        <v>20</v>
      </c>
      <c r="D983" s="2976">
        <v>2002</v>
      </c>
      <c r="E983" s="2976">
        <v>87.59</v>
      </c>
      <c r="F983" s="2974" t="s">
        <v>3859</v>
      </c>
      <c r="G983" s="2973" t="s">
        <v>3862</v>
      </c>
    </row>
    <row r="984" spans="1:7" ht="15.6" hidden="1">
      <c r="A984" s="2973">
        <v>983</v>
      </c>
      <c r="B984" s="2974" t="s">
        <v>3865</v>
      </c>
      <c r="C984" s="2974">
        <v>20</v>
      </c>
      <c r="D984" s="2976">
        <v>2003</v>
      </c>
      <c r="E984" s="2976">
        <v>87.15</v>
      </c>
      <c r="F984" s="2974" t="s">
        <v>3859</v>
      </c>
      <c r="G984" s="2973" t="s">
        <v>3862</v>
      </c>
    </row>
    <row r="985" spans="1:7" ht="15.6" hidden="1">
      <c r="A985" s="2973">
        <v>984</v>
      </c>
      <c r="B985" s="2974" t="s">
        <v>3865</v>
      </c>
      <c r="C985" s="2974">
        <v>20</v>
      </c>
      <c r="D985" s="2976">
        <v>2004</v>
      </c>
      <c r="E985" s="2976">
        <v>87.59</v>
      </c>
      <c r="F985" s="2974" t="s">
        <v>3859</v>
      </c>
      <c r="G985" s="2973" t="s">
        <v>3862</v>
      </c>
    </row>
    <row r="986" spans="1:7" ht="15.6" hidden="1">
      <c r="A986" s="2973">
        <v>985</v>
      </c>
      <c r="B986" s="2974" t="s">
        <v>3865</v>
      </c>
      <c r="C986" s="2974">
        <v>20</v>
      </c>
      <c r="D986" s="2976">
        <v>2005</v>
      </c>
      <c r="E986" s="2976">
        <v>115.88</v>
      </c>
      <c r="F986" s="2974" t="s">
        <v>3859</v>
      </c>
      <c r="G986" s="2973" t="s">
        <v>3862</v>
      </c>
    </row>
    <row r="987" spans="1:7" hidden="1">
      <c r="A987" s="2973">
        <v>986</v>
      </c>
      <c r="B987" s="2974" t="s">
        <v>3866</v>
      </c>
      <c r="C987" s="2974">
        <v>-1</v>
      </c>
      <c r="D987" s="2976" t="s">
        <v>3867</v>
      </c>
      <c r="E987" s="2976">
        <v>12.84</v>
      </c>
      <c r="F987" s="2974" t="s">
        <v>3868</v>
      </c>
      <c r="G987" s="2973" t="s">
        <v>3857</v>
      </c>
    </row>
    <row r="988" spans="1:7" hidden="1">
      <c r="A988" s="2973">
        <v>987</v>
      </c>
      <c r="B988" s="2974" t="s">
        <v>3866</v>
      </c>
      <c r="C988" s="2974">
        <v>-1</v>
      </c>
      <c r="D988" s="2976" t="s">
        <v>3869</v>
      </c>
      <c r="E988" s="2976">
        <v>12.84</v>
      </c>
      <c r="F988" s="2974" t="s">
        <v>3868</v>
      </c>
      <c r="G988" s="2973" t="s">
        <v>3857</v>
      </c>
    </row>
    <row r="989" spans="1:7" hidden="1">
      <c r="A989" s="2973">
        <v>988</v>
      </c>
      <c r="B989" s="2974" t="s">
        <v>3866</v>
      </c>
      <c r="C989" s="2974">
        <v>-1</v>
      </c>
      <c r="D989" s="2976" t="s">
        <v>3870</v>
      </c>
      <c r="E989" s="2976">
        <v>12.84</v>
      </c>
      <c r="F989" s="2974" t="s">
        <v>3868</v>
      </c>
      <c r="G989" s="2973" t="s">
        <v>3857</v>
      </c>
    </row>
    <row r="990" spans="1:7" hidden="1">
      <c r="A990" s="2973">
        <v>989</v>
      </c>
      <c r="B990" s="2974" t="s">
        <v>3866</v>
      </c>
      <c r="C990" s="2974">
        <v>-1</v>
      </c>
      <c r="D990" s="2976" t="s">
        <v>3871</v>
      </c>
      <c r="E990" s="2976">
        <v>12.84</v>
      </c>
      <c r="F990" s="2974" t="s">
        <v>3868</v>
      </c>
      <c r="G990" s="2973" t="s">
        <v>3857</v>
      </c>
    </row>
    <row r="991" spans="1:7" hidden="1">
      <c r="A991" s="2973">
        <v>990</v>
      </c>
      <c r="B991" s="2974" t="s">
        <v>3866</v>
      </c>
      <c r="C991" s="2974">
        <v>-1</v>
      </c>
      <c r="D991" s="2976" t="s">
        <v>3872</v>
      </c>
      <c r="E991" s="2976">
        <v>12.84</v>
      </c>
      <c r="F991" s="2974" t="s">
        <v>3868</v>
      </c>
      <c r="G991" s="2973" t="s">
        <v>3857</v>
      </c>
    </row>
    <row r="992" spans="1:7" hidden="1">
      <c r="A992" s="2973">
        <v>991</v>
      </c>
      <c r="B992" s="2974" t="s">
        <v>3866</v>
      </c>
      <c r="C992" s="2974">
        <v>-1</v>
      </c>
      <c r="D992" s="2976" t="s">
        <v>3873</v>
      </c>
      <c r="E992" s="2976">
        <v>12.84</v>
      </c>
      <c r="F992" s="2974" t="s">
        <v>3868</v>
      </c>
      <c r="G992" s="2973" t="s">
        <v>3857</v>
      </c>
    </row>
    <row r="993" spans="1:7" hidden="1">
      <c r="A993" s="2973">
        <v>992</v>
      </c>
      <c r="B993" s="2974" t="s">
        <v>3866</v>
      </c>
      <c r="C993" s="2974">
        <v>-1</v>
      </c>
      <c r="D993" s="2976" t="s">
        <v>3874</v>
      </c>
      <c r="E993" s="2976">
        <v>12.84</v>
      </c>
      <c r="F993" s="2974" t="s">
        <v>3868</v>
      </c>
      <c r="G993" s="2973" t="s">
        <v>3857</v>
      </c>
    </row>
    <row r="994" spans="1:7" hidden="1">
      <c r="A994" s="2973">
        <v>993</v>
      </c>
      <c r="B994" s="2974" t="s">
        <v>3866</v>
      </c>
      <c r="C994" s="2974">
        <v>-1</v>
      </c>
      <c r="D994" s="2976" t="s">
        <v>3875</v>
      </c>
      <c r="E994" s="2976">
        <v>12.84</v>
      </c>
      <c r="F994" s="2974" t="s">
        <v>3868</v>
      </c>
      <c r="G994" s="2973" t="s">
        <v>3857</v>
      </c>
    </row>
    <row r="995" spans="1:7" hidden="1">
      <c r="A995" s="2973">
        <v>994</v>
      </c>
      <c r="B995" s="2974" t="s">
        <v>3866</v>
      </c>
      <c r="C995" s="2974">
        <v>-1</v>
      </c>
      <c r="D995" s="2976" t="s">
        <v>3876</v>
      </c>
      <c r="E995" s="2976">
        <v>12.84</v>
      </c>
      <c r="F995" s="2974" t="s">
        <v>3868</v>
      </c>
      <c r="G995" s="2973" t="s">
        <v>3857</v>
      </c>
    </row>
    <row r="996" spans="1:7" hidden="1">
      <c r="A996" s="2973">
        <v>995</v>
      </c>
      <c r="B996" s="2974" t="s">
        <v>3866</v>
      </c>
      <c r="C996" s="2974">
        <v>-1</v>
      </c>
      <c r="D996" s="2976" t="s">
        <v>3877</v>
      </c>
      <c r="E996" s="2976">
        <v>12.84</v>
      </c>
      <c r="F996" s="2974" t="s">
        <v>3868</v>
      </c>
      <c r="G996" s="2973" t="s">
        <v>3857</v>
      </c>
    </row>
    <row r="997" spans="1:7" hidden="1">
      <c r="A997" s="2973">
        <v>996</v>
      </c>
      <c r="B997" s="2974" t="s">
        <v>3866</v>
      </c>
      <c r="C997" s="2974">
        <v>-1</v>
      </c>
      <c r="D997" s="2976" t="s">
        <v>3878</v>
      </c>
      <c r="E997" s="2976">
        <v>12.84</v>
      </c>
      <c r="F997" s="2974" t="s">
        <v>3868</v>
      </c>
      <c r="G997" s="2973" t="s">
        <v>3857</v>
      </c>
    </row>
    <row r="998" spans="1:7" hidden="1">
      <c r="A998" s="2973">
        <v>997</v>
      </c>
      <c r="B998" s="2974" t="s">
        <v>3866</v>
      </c>
      <c r="C998" s="2974">
        <v>-1</v>
      </c>
      <c r="D998" s="2976" t="s">
        <v>3879</v>
      </c>
      <c r="E998" s="2976">
        <v>12.84</v>
      </c>
      <c r="F998" s="2974" t="s">
        <v>3868</v>
      </c>
      <c r="G998" s="2973" t="s">
        <v>3857</v>
      </c>
    </row>
    <row r="999" spans="1:7" hidden="1">
      <c r="A999" s="2973">
        <v>998</v>
      </c>
      <c r="B999" s="2974" t="s">
        <v>3866</v>
      </c>
      <c r="C999" s="2974">
        <v>-1</v>
      </c>
      <c r="D999" s="2976" t="s">
        <v>3880</v>
      </c>
      <c r="E999" s="2976">
        <v>12.84</v>
      </c>
      <c r="F999" s="2974" t="s">
        <v>3868</v>
      </c>
      <c r="G999" s="2973" t="s">
        <v>3857</v>
      </c>
    </row>
    <row r="1000" spans="1:7" hidden="1">
      <c r="A1000" s="2973">
        <v>999</v>
      </c>
      <c r="B1000" s="2974" t="s">
        <v>3866</v>
      </c>
      <c r="C1000" s="2974">
        <v>-1</v>
      </c>
      <c r="D1000" s="2976" t="s">
        <v>3881</v>
      </c>
      <c r="E1000" s="2976">
        <v>12.84</v>
      </c>
      <c r="F1000" s="2974" t="s">
        <v>3868</v>
      </c>
      <c r="G1000" s="2973" t="s">
        <v>3857</v>
      </c>
    </row>
    <row r="1001" spans="1:7" hidden="1">
      <c r="A1001" s="2973">
        <v>1000</v>
      </c>
      <c r="B1001" s="2974" t="s">
        <v>3866</v>
      </c>
      <c r="C1001" s="2974">
        <v>-1</v>
      </c>
      <c r="D1001" s="2976" t="s">
        <v>3882</v>
      </c>
      <c r="E1001" s="2976">
        <v>12.84</v>
      </c>
      <c r="F1001" s="2974" t="s">
        <v>3868</v>
      </c>
      <c r="G1001" s="2973" t="s">
        <v>3857</v>
      </c>
    </row>
    <row r="1002" spans="1:7" hidden="1">
      <c r="A1002" s="2973">
        <v>1001</v>
      </c>
      <c r="B1002" s="2974" t="s">
        <v>3866</v>
      </c>
      <c r="C1002" s="2974">
        <v>-1</v>
      </c>
      <c r="D1002" s="2976" t="s">
        <v>3883</v>
      </c>
      <c r="E1002" s="2976">
        <v>12.84</v>
      </c>
      <c r="F1002" s="2974" t="s">
        <v>3868</v>
      </c>
      <c r="G1002" s="2973" t="s">
        <v>3857</v>
      </c>
    </row>
    <row r="1003" spans="1:7" hidden="1">
      <c r="A1003" s="2973">
        <v>1002</v>
      </c>
      <c r="B1003" s="2974" t="s">
        <v>3866</v>
      </c>
      <c r="C1003" s="2974">
        <v>-1</v>
      </c>
      <c r="D1003" s="2976" t="s">
        <v>3884</v>
      </c>
      <c r="E1003" s="2976">
        <v>12.84</v>
      </c>
      <c r="F1003" s="2974" t="s">
        <v>3868</v>
      </c>
      <c r="G1003" s="2973" t="s">
        <v>3857</v>
      </c>
    </row>
    <row r="1004" spans="1:7" hidden="1">
      <c r="A1004" s="2973">
        <v>1003</v>
      </c>
      <c r="B1004" s="2974" t="s">
        <v>3866</v>
      </c>
      <c r="C1004" s="2974">
        <v>-1</v>
      </c>
      <c r="D1004" s="2976" t="s">
        <v>3885</v>
      </c>
      <c r="E1004" s="2976">
        <v>12.84</v>
      </c>
      <c r="F1004" s="2974" t="s">
        <v>3868</v>
      </c>
      <c r="G1004" s="2973" t="s">
        <v>3857</v>
      </c>
    </row>
    <row r="1005" spans="1:7" hidden="1">
      <c r="A1005" s="2973">
        <v>1004</v>
      </c>
      <c r="B1005" s="2974" t="s">
        <v>3866</v>
      </c>
      <c r="C1005" s="2974">
        <v>-1</v>
      </c>
      <c r="D1005" s="2976" t="s">
        <v>3886</v>
      </c>
      <c r="E1005" s="2976">
        <v>12.84</v>
      </c>
      <c r="F1005" s="2974" t="s">
        <v>3868</v>
      </c>
      <c r="G1005" s="2973" t="s">
        <v>3857</v>
      </c>
    </row>
    <row r="1006" spans="1:7" hidden="1">
      <c r="A1006" s="2973">
        <v>1005</v>
      </c>
      <c r="B1006" s="2974" t="s">
        <v>3866</v>
      </c>
      <c r="C1006" s="2974">
        <v>-1</v>
      </c>
      <c r="D1006" s="2976" t="s">
        <v>3887</v>
      </c>
      <c r="E1006" s="2976">
        <v>12.84</v>
      </c>
      <c r="F1006" s="2974" t="s">
        <v>3868</v>
      </c>
      <c r="G1006" s="2973" t="s">
        <v>3857</v>
      </c>
    </row>
    <row r="1007" spans="1:7" hidden="1">
      <c r="A1007" s="2973">
        <v>1006</v>
      </c>
      <c r="B1007" s="2974" t="s">
        <v>3866</v>
      </c>
      <c r="C1007" s="2974">
        <v>-1</v>
      </c>
      <c r="D1007" s="2976" t="s">
        <v>3888</v>
      </c>
      <c r="E1007" s="2976">
        <v>12.84</v>
      </c>
      <c r="F1007" s="2974" t="s">
        <v>3868</v>
      </c>
      <c r="G1007" s="2973" t="s">
        <v>3857</v>
      </c>
    </row>
    <row r="1008" spans="1:7" hidden="1">
      <c r="A1008" s="2973">
        <v>1007</v>
      </c>
      <c r="B1008" s="2974" t="s">
        <v>3866</v>
      </c>
      <c r="C1008" s="2974">
        <v>-1</v>
      </c>
      <c r="D1008" s="2976" t="s">
        <v>3889</v>
      </c>
      <c r="E1008" s="2976">
        <v>12.84</v>
      </c>
      <c r="F1008" s="2974" t="s">
        <v>3890</v>
      </c>
      <c r="G1008" s="2973" t="s">
        <v>3568</v>
      </c>
    </row>
    <row r="1009" spans="1:7" hidden="1">
      <c r="A1009" s="2973">
        <v>1008</v>
      </c>
      <c r="B1009" s="2974" t="s">
        <v>3891</v>
      </c>
      <c r="C1009" s="2974">
        <v>-1</v>
      </c>
      <c r="D1009" s="2976" t="s">
        <v>3892</v>
      </c>
      <c r="E1009" s="2976">
        <v>12.84</v>
      </c>
      <c r="F1009" s="2974" t="s">
        <v>3890</v>
      </c>
      <c r="G1009" s="2973" t="s">
        <v>3568</v>
      </c>
    </row>
    <row r="1010" spans="1:7" hidden="1">
      <c r="A1010" s="2973">
        <v>1009</v>
      </c>
      <c r="B1010" s="2974" t="s">
        <v>3891</v>
      </c>
      <c r="C1010" s="2974">
        <v>-1</v>
      </c>
      <c r="D1010" s="2976" t="s">
        <v>3893</v>
      </c>
      <c r="E1010" s="2976">
        <v>12.84</v>
      </c>
      <c r="F1010" s="2974" t="s">
        <v>3890</v>
      </c>
      <c r="G1010" s="2973" t="s">
        <v>3568</v>
      </c>
    </row>
    <row r="1011" spans="1:7" hidden="1">
      <c r="A1011" s="2973">
        <v>1010</v>
      </c>
      <c r="B1011" s="2974" t="s">
        <v>3891</v>
      </c>
      <c r="C1011" s="2974">
        <v>-1</v>
      </c>
      <c r="D1011" s="2976" t="s">
        <v>3894</v>
      </c>
      <c r="E1011" s="2976">
        <v>12.84</v>
      </c>
      <c r="F1011" s="2974" t="s">
        <v>3890</v>
      </c>
      <c r="G1011" s="2973" t="s">
        <v>3568</v>
      </c>
    </row>
    <row r="1012" spans="1:7" hidden="1">
      <c r="A1012" s="2973">
        <v>1011</v>
      </c>
      <c r="B1012" s="2974" t="s">
        <v>3891</v>
      </c>
      <c r="C1012" s="2974">
        <v>-1</v>
      </c>
      <c r="D1012" s="2976" t="s">
        <v>3895</v>
      </c>
      <c r="E1012" s="2976">
        <v>12.84</v>
      </c>
      <c r="F1012" s="2974" t="s">
        <v>3890</v>
      </c>
      <c r="G1012" s="2973" t="s">
        <v>3568</v>
      </c>
    </row>
    <row r="1013" spans="1:7" hidden="1">
      <c r="A1013" s="2973">
        <v>1012</v>
      </c>
      <c r="B1013" s="2974" t="s">
        <v>3891</v>
      </c>
      <c r="C1013" s="2974">
        <v>-1</v>
      </c>
      <c r="D1013" s="2976" t="s">
        <v>3896</v>
      </c>
      <c r="E1013" s="2976">
        <v>12.84</v>
      </c>
      <c r="F1013" s="2974" t="s">
        <v>3890</v>
      </c>
      <c r="G1013" s="2973" t="s">
        <v>3568</v>
      </c>
    </row>
    <row r="1014" spans="1:7" hidden="1">
      <c r="A1014" s="2973">
        <v>1013</v>
      </c>
      <c r="B1014" s="2974" t="s">
        <v>3891</v>
      </c>
      <c r="C1014" s="2974">
        <v>-1</v>
      </c>
      <c r="D1014" s="2976" t="s">
        <v>3897</v>
      </c>
      <c r="E1014" s="2976">
        <v>12.84</v>
      </c>
      <c r="F1014" s="2974" t="s">
        <v>3890</v>
      </c>
      <c r="G1014" s="2973" t="s">
        <v>3568</v>
      </c>
    </row>
    <row r="1015" spans="1:7" hidden="1">
      <c r="A1015" s="2973">
        <v>1014</v>
      </c>
      <c r="B1015" s="2974" t="s">
        <v>3891</v>
      </c>
      <c r="C1015" s="2974">
        <v>-1</v>
      </c>
      <c r="D1015" s="2976" t="s">
        <v>3898</v>
      </c>
      <c r="E1015" s="2976">
        <v>12.84</v>
      </c>
      <c r="F1015" s="2974" t="s">
        <v>3890</v>
      </c>
      <c r="G1015" s="2973" t="s">
        <v>3568</v>
      </c>
    </row>
    <row r="1016" spans="1:7" hidden="1">
      <c r="A1016" s="2973">
        <v>1015</v>
      </c>
      <c r="B1016" s="2974" t="s">
        <v>3891</v>
      </c>
      <c r="C1016" s="2974">
        <v>-1</v>
      </c>
      <c r="D1016" s="2976" t="s">
        <v>3899</v>
      </c>
      <c r="E1016" s="2976">
        <v>12.84</v>
      </c>
      <c r="F1016" s="2974" t="s">
        <v>3890</v>
      </c>
      <c r="G1016" s="2973" t="s">
        <v>3568</v>
      </c>
    </row>
    <row r="1017" spans="1:7" hidden="1">
      <c r="A1017" s="2973">
        <v>1016</v>
      </c>
      <c r="B1017" s="2974" t="s">
        <v>3891</v>
      </c>
      <c r="C1017" s="2974">
        <v>-1</v>
      </c>
      <c r="D1017" s="2976" t="s">
        <v>3900</v>
      </c>
      <c r="E1017" s="2976">
        <v>12.84</v>
      </c>
      <c r="F1017" s="2974" t="s">
        <v>3890</v>
      </c>
      <c r="G1017" s="2973" t="s">
        <v>3568</v>
      </c>
    </row>
    <row r="1018" spans="1:7" hidden="1">
      <c r="A1018" s="2973">
        <v>1017</v>
      </c>
      <c r="B1018" s="2974" t="s">
        <v>3891</v>
      </c>
      <c r="C1018" s="2974">
        <v>-1</v>
      </c>
      <c r="D1018" s="2976" t="s">
        <v>3901</v>
      </c>
      <c r="E1018" s="2976">
        <v>12.84</v>
      </c>
      <c r="F1018" s="2974" t="s">
        <v>3890</v>
      </c>
      <c r="G1018" s="2973" t="s">
        <v>3568</v>
      </c>
    </row>
    <row r="1019" spans="1:7" hidden="1">
      <c r="A1019" s="2973">
        <v>1018</v>
      </c>
      <c r="B1019" s="2974" t="s">
        <v>3891</v>
      </c>
      <c r="C1019" s="2974">
        <v>-1</v>
      </c>
      <c r="D1019" s="2976" t="s">
        <v>3902</v>
      </c>
      <c r="E1019" s="2976">
        <v>12.84</v>
      </c>
      <c r="F1019" s="2974" t="s">
        <v>3890</v>
      </c>
      <c r="G1019" s="2973" t="s">
        <v>3568</v>
      </c>
    </row>
    <row r="1020" spans="1:7" hidden="1">
      <c r="A1020" s="2973">
        <v>1019</v>
      </c>
      <c r="B1020" s="2974" t="s">
        <v>3891</v>
      </c>
      <c r="C1020" s="2974">
        <v>-1</v>
      </c>
      <c r="D1020" s="2976" t="s">
        <v>3903</v>
      </c>
      <c r="E1020" s="2976">
        <v>12.84</v>
      </c>
      <c r="F1020" s="2974" t="s">
        <v>3890</v>
      </c>
      <c r="G1020" s="2973" t="s">
        <v>3568</v>
      </c>
    </row>
    <row r="1021" spans="1:7" hidden="1">
      <c r="A1021" s="2973">
        <v>1020</v>
      </c>
      <c r="B1021" s="2974" t="s">
        <v>3891</v>
      </c>
      <c r="C1021" s="2974">
        <v>-1</v>
      </c>
      <c r="D1021" s="2976" t="s">
        <v>3904</v>
      </c>
      <c r="E1021" s="2976">
        <v>12.84</v>
      </c>
      <c r="F1021" s="2974" t="s">
        <v>3890</v>
      </c>
      <c r="G1021" s="2973" t="s">
        <v>3568</v>
      </c>
    </row>
    <row r="1022" spans="1:7" hidden="1">
      <c r="A1022" s="2973">
        <v>1021</v>
      </c>
      <c r="B1022" s="2974" t="s">
        <v>3891</v>
      </c>
      <c r="C1022" s="2974">
        <v>-1</v>
      </c>
      <c r="D1022" s="2976" t="s">
        <v>3905</v>
      </c>
      <c r="E1022" s="2976">
        <v>12.84</v>
      </c>
      <c r="F1022" s="2974" t="s">
        <v>3890</v>
      </c>
      <c r="G1022" s="2973" t="s">
        <v>3568</v>
      </c>
    </row>
    <row r="1023" spans="1:7" hidden="1">
      <c r="A1023" s="2973">
        <v>1022</v>
      </c>
      <c r="B1023" s="2974" t="s">
        <v>3891</v>
      </c>
      <c r="C1023" s="2974">
        <v>-1</v>
      </c>
      <c r="D1023" s="2976" t="s">
        <v>3906</v>
      </c>
      <c r="E1023" s="2976">
        <v>12.84</v>
      </c>
      <c r="F1023" s="2974" t="s">
        <v>3890</v>
      </c>
      <c r="G1023" s="2973" t="s">
        <v>3568</v>
      </c>
    </row>
    <row r="1024" spans="1:7" hidden="1">
      <c r="A1024" s="2973">
        <v>1023</v>
      </c>
      <c r="B1024" s="2974" t="s">
        <v>3891</v>
      </c>
      <c r="C1024" s="2974">
        <v>-1</v>
      </c>
      <c r="D1024" s="2976" t="s">
        <v>3907</v>
      </c>
      <c r="E1024" s="2976">
        <v>12.84</v>
      </c>
      <c r="F1024" s="2974" t="s">
        <v>3890</v>
      </c>
      <c r="G1024" s="2973" t="s">
        <v>3568</v>
      </c>
    </row>
    <row r="1025" spans="1:7" hidden="1">
      <c r="A1025" s="2973">
        <v>1024</v>
      </c>
      <c r="B1025" s="2974" t="s">
        <v>3891</v>
      </c>
      <c r="C1025" s="2974">
        <v>-1</v>
      </c>
      <c r="D1025" s="2976" t="s">
        <v>3908</v>
      </c>
      <c r="E1025" s="2976">
        <v>12.84</v>
      </c>
      <c r="F1025" s="2974" t="s">
        <v>3890</v>
      </c>
      <c r="G1025" s="2973" t="s">
        <v>3568</v>
      </c>
    </row>
    <row r="1026" spans="1:7" hidden="1">
      <c r="A1026" s="2973">
        <v>1025</v>
      </c>
      <c r="B1026" s="2974" t="s">
        <v>3891</v>
      </c>
      <c r="C1026" s="2974">
        <v>-1</v>
      </c>
      <c r="D1026" s="2976" t="s">
        <v>3909</v>
      </c>
      <c r="E1026" s="2976">
        <v>12.84</v>
      </c>
      <c r="F1026" s="2974" t="s">
        <v>3890</v>
      </c>
      <c r="G1026" s="2973" t="s">
        <v>3568</v>
      </c>
    </row>
    <row r="1027" spans="1:7" hidden="1">
      <c r="A1027" s="2973">
        <v>1026</v>
      </c>
      <c r="B1027" s="2974" t="s">
        <v>3891</v>
      </c>
      <c r="C1027" s="2974">
        <v>-1</v>
      </c>
      <c r="D1027" s="2976" t="s">
        <v>3910</v>
      </c>
      <c r="E1027" s="2976">
        <v>12.84</v>
      </c>
      <c r="F1027" s="2974" t="s">
        <v>3890</v>
      </c>
      <c r="G1027" s="2973" t="s">
        <v>3568</v>
      </c>
    </row>
    <row r="1028" spans="1:7" hidden="1">
      <c r="A1028" s="2973">
        <v>1027</v>
      </c>
      <c r="B1028" s="2974" t="s">
        <v>3891</v>
      </c>
      <c r="C1028" s="2974">
        <v>-1</v>
      </c>
      <c r="D1028" s="2976" t="s">
        <v>3911</v>
      </c>
      <c r="E1028" s="2976">
        <v>12.84</v>
      </c>
      <c r="F1028" s="2974" t="s">
        <v>3890</v>
      </c>
      <c r="G1028" s="2973" t="s">
        <v>3568</v>
      </c>
    </row>
    <row r="1029" spans="1:7" hidden="1">
      <c r="A1029" s="2973">
        <v>1028</v>
      </c>
      <c r="B1029" s="2974" t="s">
        <v>3891</v>
      </c>
      <c r="C1029" s="2974">
        <v>-1</v>
      </c>
      <c r="D1029" s="2976" t="s">
        <v>3912</v>
      </c>
      <c r="E1029" s="2976">
        <v>12.84</v>
      </c>
      <c r="F1029" s="2974" t="s">
        <v>3913</v>
      </c>
      <c r="G1029" s="2973" t="s">
        <v>3796</v>
      </c>
    </row>
    <row r="1030" spans="1:7" hidden="1">
      <c r="A1030" s="2973">
        <v>1029</v>
      </c>
      <c r="B1030" s="2974" t="s">
        <v>3914</v>
      </c>
      <c r="C1030" s="2974">
        <v>-1</v>
      </c>
      <c r="D1030" s="2976" t="s">
        <v>3915</v>
      </c>
      <c r="E1030" s="2976">
        <v>12.84</v>
      </c>
      <c r="F1030" s="2974" t="s">
        <v>3913</v>
      </c>
      <c r="G1030" s="2973" t="s">
        <v>3796</v>
      </c>
    </row>
    <row r="1031" spans="1:7" hidden="1">
      <c r="A1031" s="2973">
        <v>1030</v>
      </c>
      <c r="B1031" s="2974" t="s">
        <v>3914</v>
      </c>
      <c r="C1031" s="2974">
        <v>-1</v>
      </c>
      <c r="D1031" s="2976" t="s">
        <v>3916</v>
      </c>
      <c r="E1031" s="2976">
        <v>12.84</v>
      </c>
      <c r="F1031" s="2974" t="s">
        <v>3913</v>
      </c>
      <c r="G1031" s="2973" t="s">
        <v>3796</v>
      </c>
    </row>
    <row r="1032" spans="1:7" hidden="1">
      <c r="A1032" s="2973">
        <v>1031</v>
      </c>
      <c r="B1032" s="2974" t="s">
        <v>3914</v>
      </c>
      <c r="C1032" s="2974">
        <v>-1</v>
      </c>
      <c r="D1032" s="2976" t="s">
        <v>3917</v>
      </c>
      <c r="E1032" s="2976">
        <v>12.84</v>
      </c>
      <c r="F1032" s="2974" t="s">
        <v>3913</v>
      </c>
      <c r="G1032" s="2973" t="s">
        <v>3796</v>
      </c>
    </row>
    <row r="1033" spans="1:7" hidden="1">
      <c r="A1033" s="2973">
        <v>1032</v>
      </c>
      <c r="B1033" s="2974" t="s">
        <v>3914</v>
      </c>
      <c r="C1033" s="2974">
        <v>-1</v>
      </c>
      <c r="D1033" s="2976" t="s">
        <v>3918</v>
      </c>
      <c r="E1033" s="2976">
        <v>12.84</v>
      </c>
      <c r="F1033" s="2974" t="s">
        <v>3913</v>
      </c>
      <c r="G1033" s="2973" t="s">
        <v>3796</v>
      </c>
    </row>
    <row r="1034" spans="1:7" hidden="1">
      <c r="A1034" s="2973">
        <v>1033</v>
      </c>
      <c r="B1034" s="2974" t="s">
        <v>3914</v>
      </c>
      <c r="C1034" s="2974">
        <v>-1</v>
      </c>
      <c r="D1034" s="2976" t="s">
        <v>3919</v>
      </c>
      <c r="E1034" s="2976">
        <v>12.84</v>
      </c>
      <c r="F1034" s="2974" t="s">
        <v>3913</v>
      </c>
      <c r="G1034" s="2973" t="s">
        <v>3796</v>
      </c>
    </row>
    <row r="1035" spans="1:7" hidden="1">
      <c r="A1035" s="2973">
        <v>1034</v>
      </c>
      <c r="B1035" s="2974" t="s">
        <v>3914</v>
      </c>
      <c r="C1035" s="2974">
        <v>-1</v>
      </c>
      <c r="D1035" s="2976" t="s">
        <v>3920</v>
      </c>
      <c r="E1035" s="2976">
        <v>12.84</v>
      </c>
      <c r="F1035" s="2974" t="s">
        <v>3913</v>
      </c>
      <c r="G1035" s="2973" t="s">
        <v>3796</v>
      </c>
    </row>
    <row r="1036" spans="1:7" hidden="1">
      <c r="A1036" s="2973">
        <v>1035</v>
      </c>
      <c r="B1036" s="2974" t="s">
        <v>3914</v>
      </c>
      <c r="C1036" s="2974">
        <v>-1</v>
      </c>
      <c r="D1036" s="2976" t="s">
        <v>3921</v>
      </c>
      <c r="E1036" s="2976">
        <v>12.84</v>
      </c>
      <c r="F1036" s="2974" t="s">
        <v>3913</v>
      </c>
      <c r="G1036" s="2973" t="s">
        <v>3796</v>
      </c>
    </row>
    <row r="1037" spans="1:7" hidden="1">
      <c r="A1037" s="2973">
        <v>1036</v>
      </c>
      <c r="B1037" s="2974" t="s">
        <v>3914</v>
      </c>
      <c r="C1037" s="2974">
        <v>-1</v>
      </c>
      <c r="D1037" s="2976" t="s">
        <v>3922</v>
      </c>
      <c r="E1037" s="2976">
        <v>12.84</v>
      </c>
      <c r="F1037" s="2974" t="s">
        <v>3913</v>
      </c>
      <c r="G1037" s="2973" t="s">
        <v>3796</v>
      </c>
    </row>
    <row r="1038" spans="1:7" hidden="1">
      <c r="A1038" s="2973">
        <v>1037</v>
      </c>
      <c r="B1038" s="2974" t="s">
        <v>3914</v>
      </c>
      <c r="C1038" s="2974">
        <v>-1</v>
      </c>
      <c r="D1038" s="2976" t="s">
        <v>3923</v>
      </c>
      <c r="E1038" s="2976">
        <v>12.84</v>
      </c>
      <c r="F1038" s="2974" t="s">
        <v>3913</v>
      </c>
      <c r="G1038" s="2973" t="s">
        <v>3796</v>
      </c>
    </row>
    <row r="1039" spans="1:7" hidden="1">
      <c r="A1039" s="2973">
        <v>1038</v>
      </c>
      <c r="B1039" s="2974" t="s">
        <v>3914</v>
      </c>
      <c r="C1039" s="2974">
        <v>-1</v>
      </c>
      <c r="D1039" s="2976" t="s">
        <v>3924</v>
      </c>
      <c r="E1039" s="2976">
        <v>12.84</v>
      </c>
      <c r="F1039" s="2974" t="s">
        <v>3913</v>
      </c>
      <c r="G1039" s="2973" t="s">
        <v>3796</v>
      </c>
    </row>
    <row r="1040" spans="1:7" hidden="1">
      <c r="A1040" s="2973">
        <v>1039</v>
      </c>
      <c r="B1040" s="2974" t="s">
        <v>3914</v>
      </c>
      <c r="C1040" s="2974">
        <v>-1</v>
      </c>
      <c r="D1040" s="2976" t="s">
        <v>3925</v>
      </c>
      <c r="E1040" s="2976">
        <v>12.84</v>
      </c>
      <c r="F1040" s="2974" t="s">
        <v>3913</v>
      </c>
      <c r="G1040" s="2973" t="s">
        <v>3796</v>
      </c>
    </row>
    <row r="1041" spans="1:7" hidden="1">
      <c r="A1041" s="2973">
        <v>1040</v>
      </c>
      <c r="B1041" s="2974" t="s">
        <v>3914</v>
      </c>
      <c r="C1041" s="2974">
        <v>-1</v>
      </c>
      <c r="D1041" s="2976" t="s">
        <v>3926</v>
      </c>
      <c r="E1041" s="2976">
        <v>12.84</v>
      </c>
      <c r="F1041" s="2974" t="s">
        <v>3913</v>
      </c>
      <c r="G1041" s="2973" t="s">
        <v>3796</v>
      </c>
    </row>
    <row r="1042" spans="1:7" hidden="1">
      <c r="A1042" s="2973">
        <v>1041</v>
      </c>
      <c r="B1042" s="2974" t="s">
        <v>3914</v>
      </c>
      <c r="C1042" s="2974">
        <v>-1</v>
      </c>
      <c r="D1042" s="2976" t="s">
        <v>3927</v>
      </c>
      <c r="E1042" s="2976">
        <v>12.84</v>
      </c>
      <c r="F1042" s="2974" t="s">
        <v>3913</v>
      </c>
      <c r="G1042" s="2973" t="s">
        <v>3796</v>
      </c>
    </row>
    <row r="1043" spans="1:7" hidden="1">
      <c r="A1043" s="2973">
        <v>1042</v>
      </c>
      <c r="B1043" s="2974" t="s">
        <v>3914</v>
      </c>
      <c r="C1043" s="2974">
        <v>-1</v>
      </c>
      <c r="D1043" s="2976" t="s">
        <v>3928</v>
      </c>
      <c r="E1043" s="2976">
        <v>12.84</v>
      </c>
      <c r="F1043" s="2974" t="s">
        <v>3913</v>
      </c>
      <c r="G1043" s="2973" t="s">
        <v>3796</v>
      </c>
    </row>
    <row r="1044" spans="1:7" hidden="1">
      <c r="A1044" s="2973">
        <v>1043</v>
      </c>
      <c r="B1044" s="2974" t="s">
        <v>3914</v>
      </c>
      <c r="C1044" s="2974">
        <v>-1</v>
      </c>
      <c r="D1044" s="2976" t="s">
        <v>3929</v>
      </c>
      <c r="E1044" s="2976">
        <v>12.84</v>
      </c>
      <c r="F1044" s="2974" t="s">
        <v>3913</v>
      </c>
      <c r="G1044" s="2973" t="s">
        <v>3796</v>
      </c>
    </row>
    <row r="1045" spans="1:7" hidden="1">
      <c r="A1045" s="2973">
        <v>1044</v>
      </c>
      <c r="B1045" s="2974" t="s">
        <v>3914</v>
      </c>
      <c r="C1045" s="2974">
        <v>-1</v>
      </c>
      <c r="D1045" s="2976" t="s">
        <v>3930</v>
      </c>
      <c r="E1045" s="2976">
        <v>12.84</v>
      </c>
      <c r="F1045" s="2974" t="s">
        <v>3913</v>
      </c>
      <c r="G1045" s="2973" t="s">
        <v>3796</v>
      </c>
    </row>
    <row r="1046" spans="1:7" hidden="1">
      <c r="A1046" s="2973">
        <v>1045</v>
      </c>
      <c r="B1046" s="2974" t="s">
        <v>3914</v>
      </c>
      <c r="C1046" s="2974">
        <v>-1</v>
      </c>
      <c r="D1046" s="2976" t="s">
        <v>3931</v>
      </c>
      <c r="E1046" s="2976">
        <v>12.84</v>
      </c>
      <c r="F1046" s="2974" t="s">
        <v>3913</v>
      </c>
      <c r="G1046" s="2973" t="s">
        <v>3796</v>
      </c>
    </row>
    <row r="1047" spans="1:7" hidden="1">
      <c r="A1047" s="2973">
        <v>1046</v>
      </c>
      <c r="B1047" s="2974" t="s">
        <v>3914</v>
      </c>
      <c r="C1047" s="2974">
        <v>-1</v>
      </c>
      <c r="D1047" s="2976" t="s">
        <v>3932</v>
      </c>
      <c r="E1047" s="2976">
        <v>12.84</v>
      </c>
      <c r="F1047" s="2974" t="s">
        <v>3913</v>
      </c>
      <c r="G1047" s="2973" t="s">
        <v>3796</v>
      </c>
    </row>
    <row r="1048" spans="1:7" hidden="1">
      <c r="A1048" s="2973">
        <v>1047</v>
      </c>
      <c r="B1048" s="2974" t="s">
        <v>3914</v>
      </c>
      <c r="C1048" s="2974">
        <v>-1</v>
      </c>
      <c r="D1048" s="2976" t="s">
        <v>3933</v>
      </c>
      <c r="E1048" s="2976">
        <v>12.84</v>
      </c>
      <c r="F1048" s="2974" t="s">
        <v>3913</v>
      </c>
      <c r="G1048" s="2973" t="s">
        <v>3796</v>
      </c>
    </row>
    <row r="1049" spans="1:7" hidden="1">
      <c r="A1049" s="2973">
        <v>1048</v>
      </c>
      <c r="B1049" s="2974" t="s">
        <v>3914</v>
      </c>
      <c r="C1049" s="2974">
        <v>-1</v>
      </c>
      <c r="D1049" s="2976" t="s">
        <v>3934</v>
      </c>
      <c r="E1049" s="2976">
        <v>12.84</v>
      </c>
      <c r="F1049" s="2974" t="s">
        <v>3913</v>
      </c>
      <c r="G1049" s="2973" t="s">
        <v>3796</v>
      </c>
    </row>
    <row r="1050" spans="1:7" hidden="1">
      <c r="A1050" s="2973">
        <v>1049</v>
      </c>
      <c r="B1050" s="2974" t="s">
        <v>3914</v>
      </c>
      <c r="C1050" s="2974">
        <v>-1</v>
      </c>
      <c r="D1050" s="2976" t="s">
        <v>3935</v>
      </c>
      <c r="E1050" s="2976">
        <v>12.84</v>
      </c>
      <c r="F1050" s="2974" t="s">
        <v>3913</v>
      </c>
      <c r="G1050" s="2973" t="s">
        <v>3796</v>
      </c>
    </row>
    <row r="1051" spans="1:7" hidden="1">
      <c r="A1051" s="2973">
        <v>1050</v>
      </c>
      <c r="B1051" s="2974" t="s">
        <v>3914</v>
      </c>
      <c r="C1051" s="2974">
        <v>-1</v>
      </c>
      <c r="D1051" s="2976" t="s">
        <v>3936</v>
      </c>
      <c r="E1051" s="2976">
        <v>12.84</v>
      </c>
      <c r="F1051" s="2974" t="s">
        <v>3913</v>
      </c>
      <c r="G1051" s="2973" t="s">
        <v>3796</v>
      </c>
    </row>
    <row r="1052" spans="1:7" hidden="1">
      <c r="A1052" s="2973">
        <v>1051</v>
      </c>
      <c r="B1052" s="2974" t="s">
        <v>3914</v>
      </c>
      <c r="C1052" s="2974">
        <v>-1</v>
      </c>
      <c r="D1052" s="2976" t="s">
        <v>3937</v>
      </c>
      <c r="E1052" s="2976">
        <v>12.84</v>
      </c>
      <c r="F1052" s="2974" t="s">
        <v>3913</v>
      </c>
      <c r="G1052" s="2973" t="s">
        <v>3796</v>
      </c>
    </row>
    <row r="1053" spans="1:7" hidden="1">
      <c r="A1053" s="2973">
        <v>1052</v>
      </c>
      <c r="B1053" s="2974" t="s">
        <v>3914</v>
      </c>
      <c r="C1053" s="2974">
        <v>-1</v>
      </c>
      <c r="D1053" s="2976" t="s">
        <v>3938</v>
      </c>
      <c r="E1053" s="2976">
        <v>12.84</v>
      </c>
      <c r="F1053" s="2974" t="s">
        <v>3913</v>
      </c>
      <c r="G1053" s="2973" t="s">
        <v>3796</v>
      </c>
    </row>
    <row r="1054" spans="1:7" hidden="1">
      <c r="A1054" s="2973">
        <v>1053</v>
      </c>
      <c r="B1054" s="2974" t="s">
        <v>3914</v>
      </c>
      <c r="C1054" s="2974">
        <v>-1</v>
      </c>
      <c r="D1054" s="2976" t="s">
        <v>3939</v>
      </c>
      <c r="E1054" s="2976">
        <v>12.84</v>
      </c>
      <c r="F1054" s="2974" t="s">
        <v>3913</v>
      </c>
      <c r="G1054" s="2973" t="s">
        <v>3796</v>
      </c>
    </row>
    <row r="1055" spans="1:7" hidden="1">
      <c r="A1055" s="2973">
        <v>1054</v>
      </c>
      <c r="B1055" s="2974" t="s">
        <v>3914</v>
      </c>
      <c r="C1055" s="2974">
        <v>-1</v>
      </c>
      <c r="D1055" s="2976" t="s">
        <v>3940</v>
      </c>
      <c r="E1055" s="2976">
        <v>12.84</v>
      </c>
      <c r="F1055" s="2974" t="s">
        <v>3913</v>
      </c>
      <c r="G1055" s="2973" t="s">
        <v>3796</v>
      </c>
    </row>
    <row r="1056" spans="1:7" hidden="1">
      <c r="A1056" s="2973">
        <v>1055</v>
      </c>
      <c r="B1056" s="2974" t="s">
        <v>3914</v>
      </c>
      <c r="C1056" s="2974">
        <v>-1</v>
      </c>
      <c r="D1056" s="2976" t="s">
        <v>3941</v>
      </c>
      <c r="E1056" s="2976">
        <v>12.84</v>
      </c>
      <c r="F1056" s="2974" t="s">
        <v>3913</v>
      </c>
      <c r="G1056" s="2973" t="s">
        <v>3796</v>
      </c>
    </row>
    <row r="1057" spans="1:7" hidden="1">
      <c r="A1057" s="2973">
        <v>1056</v>
      </c>
      <c r="B1057" s="2974" t="s">
        <v>3914</v>
      </c>
      <c r="C1057" s="2974">
        <v>-1</v>
      </c>
      <c r="D1057" s="2976" t="s">
        <v>3942</v>
      </c>
      <c r="E1057" s="2976">
        <v>12.84</v>
      </c>
      <c r="F1057" s="2974" t="s">
        <v>3913</v>
      </c>
      <c r="G1057" s="2973" t="s">
        <v>3796</v>
      </c>
    </row>
    <row r="1058" spans="1:7" hidden="1">
      <c r="A1058" s="2973">
        <v>1057</v>
      </c>
      <c r="B1058" s="2974" t="s">
        <v>3914</v>
      </c>
      <c r="C1058" s="2974">
        <v>-1</v>
      </c>
      <c r="D1058" s="2976" t="s">
        <v>3943</v>
      </c>
      <c r="E1058" s="2976">
        <v>12.84</v>
      </c>
      <c r="F1058" s="2974" t="s">
        <v>3913</v>
      </c>
      <c r="G1058" s="2973" t="s">
        <v>3796</v>
      </c>
    </row>
    <row r="1059" spans="1:7" hidden="1">
      <c r="A1059" s="2973">
        <v>1058</v>
      </c>
      <c r="B1059" s="2974" t="s">
        <v>3914</v>
      </c>
      <c r="C1059" s="2974">
        <v>-1</v>
      </c>
      <c r="D1059" s="2976" t="s">
        <v>3944</v>
      </c>
      <c r="E1059" s="2976">
        <v>12.84</v>
      </c>
      <c r="F1059" s="2974" t="s">
        <v>3913</v>
      </c>
      <c r="G1059" s="2973" t="s">
        <v>3796</v>
      </c>
    </row>
    <row r="1060" spans="1:7" hidden="1">
      <c r="A1060" s="2973">
        <v>1059</v>
      </c>
      <c r="B1060" s="2974" t="s">
        <v>3914</v>
      </c>
      <c r="C1060" s="2974">
        <v>-1</v>
      </c>
      <c r="D1060" s="2976" t="s">
        <v>3945</v>
      </c>
      <c r="E1060" s="2976">
        <v>12.84</v>
      </c>
      <c r="F1060" s="2974" t="s">
        <v>3913</v>
      </c>
      <c r="G1060" s="2973" t="s">
        <v>3796</v>
      </c>
    </row>
    <row r="1061" spans="1:7" hidden="1">
      <c r="A1061" s="2973">
        <v>1060</v>
      </c>
      <c r="B1061" s="2974" t="s">
        <v>3914</v>
      </c>
      <c r="C1061" s="2974">
        <v>-1</v>
      </c>
      <c r="D1061" s="2976" t="s">
        <v>3946</v>
      </c>
      <c r="E1061" s="2976">
        <v>12.84</v>
      </c>
      <c r="F1061" s="2974" t="s">
        <v>3913</v>
      </c>
      <c r="G1061" s="2973" t="s">
        <v>3796</v>
      </c>
    </row>
    <row r="1062" spans="1:7" hidden="1">
      <c r="A1062" s="2973">
        <v>1061</v>
      </c>
      <c r="B1062" s="2974" t="s">
        <v>3914</v>
      </c>
      <c r="C1062" s="2974">
        <v>-1</v>
      </c>
      <c r="D1062" s="2976" t="s">
        <v>3947</v>
      </c>
      <c r="E1062" s="2976">
        <v>12.84</v>
      </c>
      <c r="F1062" s="2974" t="s">
        <v>3913</v>
      </c>
      <c r="G1062" s="2973" t="s">
        <v>3796</v>
      </c>
    </row>
    <row r="1063" spans="1:7" hidden="1">
      <c r="A1063" s="2973">
        <v>1062</v>
      </c>
      <c r="B1063" s="2974" t="s">
        <v>3914</v>
      </c>
      <c r="C1063" s="2974">
        <v>-1</v>
      </c>
      <c r="D1063" s="2976" t="s">
        <v>3948</v>
      </c>
      <c r="E1063" s="2976">
        <v>12.84</v>
      </c>
      <c r="F1063" s="2974" t="s">
        <v>3913</v>
      </c>
      <c r="G1063" s="2973" t="s">
        <v>3796</v>
      </c>
    </row>
    <row r="1064" spans="1:7" hidden="1">
      <c r="A1064" s="2973">
        <v>1063</v>
      </c>
      <c r="B1064" s="2974" t="s">
        <v>3914</v>
      </c>
      <c r="C1064" s="2974">
        <v>-1</v>
      </c>
      <c r="D1064" s="2976" t="s">
        <v>3949</v>
      </c>
      <c r="E1064" s="2976">
        <v>12.84</v>
      </c>
      <c r="F1064" s="2974" t="s">
        <v>3913</v>
      </c>
      <c r="G1064" s="2973" t="s">
        <v>3796</v>
      </c>
    </row>
    <row r="1065" spans="1:7" hidden="1">
      <c r="A1065" s="2973">
        <v>1064</v>
      </c>
      <c r="B1065" s="2974" t="s">
        <v>3914</v>
      </c>
      <c r="C1065" s="2974">
        <v>-1</v>
      </c>
      <c r="D1065" s="2976" t="s">
        <v>3950</v>
      </c>
      <c r="E1065" s="2976">
        <v>12.84</v>
      </c>
      <c r="F1065" s="2974" t="s">
        <v>3913</v>
      </c>
      <c r="G1065" s="2973" t="s">
        <v>3796</v>
      </c>
    </row>
    <row r="1066" spans="1:7" hidden="1">
      <c r="A1066" s="2973">
        <v>1065</v>
      </c>
      <c r="B1066" s="2974" t="s">
        <v>3914</v>
      </c>
      <c r="C1066" s="2974">
        <v>-1</v>
      </c>
      <c r="D1066" s="2976" t="s">
        <v>3951</v>
      </c>
      <c r="E1066" s="2976">
        <v>12.84</v>
      </c>
      <c r="F1066" s="2974" t="s">
        <v>3913</v>
      </c>
      <c r="G1066" s="2973" t="s">
        <v>3796</v>
      </c>
    </row>
    <row r="1067" spans="1:7" hidden="1">
      <c r="A1067" s="2973">
        <v>1066</v>
      </c>
      <c r="B1067" s="2974" t="s">
        <v>3914</v>
      </c>
      <c r="C1067" s="2974">
        <v>-1</v>
      </c>
      <c r="D1067" s="2976" t="s">
        <v>3952</v>
      </c>
      <c r="E1067" s="2976">
        <v>12.84</v>
      </c>
      <c r="F1067" s="2974" t="s">
        <v>3913</v>
      </c>
      <c r="G1067" s="2973" t="s">
        <v>3796</v>
      </c>
    </row>
    <row r="1068" spans="1:7" hidden="1">
      <c r="A1068" s="2973">
        <v>1067</v>
      </c>
      <c r="B1068" s="2974" t="s">
        <v>3914</v>
      </c>
      <c r="C1068" s="2974">
        <v>-1</v>
      </c>
      <c r="D1068" s="2976" t="s">
        <v>3953</v>
      </c>
      <c r="E1068" s="2976">
        <v>12.84</v>
      </c>
      <c r="F1068" s="2974" t="s">
        <v>3913</v>
      </c>
      <c r="G1068" s="2973" t="s">
        <v>3796</v>
      </c>
    </row>
    <row r="1069" spans="1:7" hidden="1">
      <c r="A1069" s="2973">
        <v>1068</v>
      </c>
      <c r="B1069" s="2974" t="s">
        <v>3914</v>
      </c>
      <c r="C1069" s="2974">
        <v>-1</v>
      </c>
      <c r="D1069" s="2976" t="s">
        <v>3954</v>
      </c>
      <c r="E1069" s="2976">
        <v>12.84</v>
      </c>
      <c r="F1069" s="2974" t="s">
        <v>3913</v>
      </c>
      <c r="G1069" s="2973" t="s">
        <v>3796</v>
      </c>
    </row>
    <row r="1070" spans="1:7" hidden="1">
      <c r="A1070" s="2973">
        <v>1069</v>
      </c>
      <c r="B1070" s="2974" t="s">
        <v>3914</v>
      </c>
      <c r="C1070" s="2974">
        <v>-1</v>
      </c>
      <c r="D1070" s="2976" t="s">
        <v>3955</v>
      </c>
      <c r="E1070" s="2976">
        <v>12.84</v>
      </c>
      <c r="F1070" s="2974" t="s">
        <v>3913</v>
      </c>
      <c r="G1070" s="2973" t="s">
        <v>3796</v>
      </c>
    </row>
    <row r="1071" spans="1:7" hidden="1">
      <c r="A1071" s="2973">
        <v>1070</v>
      </c>
      <c r="B1071" s="2974" t="s">
        <v>3914</v>
      </c>
      <c r="C1071" s="2974">
        <v>-1</v>
      </c>
      <c r="D1071" s="2976" t="s">
        <v>3956</v>
      </c>
      <c r="E1071" s="2976">
        <v>12.84</v>
      </c>
      <c r="F1071" s="2974" t="s">
        <v>3913</v>
      </c>
      <c r="G1071" s="2973" t="s">
        <v>3796</v>
      </c>
    </row>
    <row r="1072" spans="1:7" hidden="1">
      <c r="A1072" s="2973">
        <v>1071</v>
      </c>
      <c r="B1072" s="2974" t="s">
        <v>3914</v>
      </c>
      <c r="C1072" s="2974">
        <v>-1</v>
      </c>
      <c r="D1072" s="2976" t="s">
        <v>3957</v>
      </c>
      <c r="E1072" s="2976">
        <v>12.84</v>
      </c>
      <c r="F1072" s="2974" t="s">
        <v>3913</v>
      </c>
      <c r="G1072" s="2973" t="s">
        <v>3796</v>
      </c>
    </row>
    <row r="1073" spans="1:7" hidden="1">
      <c r="A1073" s="2973">
        <v>1072</v>
      </c>
      <c r="B1073" s="2974" t="s">
        <v>3914</v>
      </c>
      <c r="C1073" s="2974">
        <v>-1</v>
      </c>
      <c r="D1073" s="2976" t="s">
        <v>3958</v>
      </c>
      <c r="E1073" s="2976">
        <v>12.84</v>
      </c>
      <c r="F1073" s="2974" t="s">
        <v>3913</v>
      </c>
      <c r="G1073" s="2973" t="s">
        <v>3796</v>
      </c>
    </row>
    <row r="1074" spans="1:7" hidden="1">
      <c r="A1074" s="2973">
        <v>1073</v>
      </c>
      <c r="B1074" s="2974" t="s">
        <v>3914</v>
      </c>
      <c r="C1074" s="2974">
        <v>-1</v>
      </c>
      <c r="D1074" s="2976" t="s">
        <v>3959</v>
      </c>
      <c r="E1074" s="2976">
        <v>12.84</v>
      </c>
      <c r="F1074" s="2974" t="s">
        <v>3913</v>
      </c>
      <c r="G1074" s="2973" t="s">
        <v>3796</v>
      </c>
    </row>
    <row r="1075" spans="1:7" hidden="1">
      <c r="A1075" s="2973">
        <v>1074</v>
      </c>
      <c r="B1075" s="2974" t="s">
        <v>3914</v>
      </c>
      <c r="C1075" s="2974">
        <v>-1</v>
      </c>
      <c r="D1075" s="2976" t="s">
        <v>3960</v>
      </c>
      <c r="E1075" s="2976">
        <v>12.84</v>
      </c>
      <c r="F1075" s="2974" t="s">
        <v>3913</v>
      </c>
      <c r="G1075" s="2973" t="s">
        <v>3796</v>
      </c>
    </row>
    <row r="1076" spans="1:7" hidden="1">
      <c r="A1076" s="2973">
        <v>1075</v>
      </c>
      <c r="B1076" s="2974" t="s">
        <v>3914</v>
      </c>
      <c r="C1076" s="2974">
        <v>-1</v>
      </c>
      <c r="D1076" s="2976" t="s">
        <v>3961</v>
      </c>
      <c r="E1076" s="2976">
        <v>12.84</v>
      </c>
      <c r="F1076" s="2974" t="s">
        <v>3913</v>
      </c>
      <c r="G1076" s="2973" t="s">
        <v>3796</v>
      </c>
    </row>
    <row r="1077" spans="1:7" hidden="1">
      <c r="A1077" s="2973">
        <v>1076</v>
      </c>
      <c r="B1077" s="2974" t="s">
        <v>3914</v>
      </c>
      <c r="C1077" s="2974">
        <v>-1</v>
      </c>
      <c r="D1077" s="2976" t="s">
        <v>3962</v>
      </c>
      <c r="E1077" s="2976">
        <v>12.84</v>
      </c>
      <c r="F1077" s="2974" t="s">
        <v>3913</v>
      </c>
      <c r="G1077" s="2973" t="s">
        <v>3796</v>
      </c>
    </row>
    <row r="1078" spans="1:7" hidden="1">
      <c r="A1078" s="2973">
        <v>1077</v>
      </c>
      <c r="B1078" s="2974" t="s">
        <v>3914</v>
      </c>
      <c r="C1078" s="2974">
        <v>-1</v>
      </c>
      <c r="D1078" s="2976" t="s">
        <v>3963</v>
      </c>
      <c r="E1078" s="2976">
        <v>12.84</v>
      </c>
      <c r="F1078" s="2974" t="s">
        <v>3913</v>
      </c>
      <c r="G1078" s="2973" t="s">
        <v>3796</v>
      </c>
    </row>
    <row r="1079" spans="1:7" hidden="1">
      <c r="A1079" s="2973">
        <v>1078</v>
      </c>
      <c r="B1079" s="2974" t="s">
        <v>3914</v>
      </c>
      <c r="C1079" s="2974">
        <v>-1</v>
      </c>
      <c r="D1079" s="2976" t="s">
        <v>3964</v>
      </c>
      <c r="E1079" s="2976">
        <v>12.84</v>
      </c>
      <c r="F1079" s="2974" t="s">
        <v>3913</v>
      </c>
      <c r="G1079" s="2973" t="s">
        <v>3796</v>
      </c>
    </row>
    <row r="1080" spans="1:7" hidden="1">
      <c r="A1080" s="2973">
        <v>1079</v>
      </c>
      <c r="B1080" s="2974" t="s">
        <v>3914</v>
      </c>
      <c r="C1080" s="2974">
        <v>-1</v>
      </c>
      <c r="D1080" s="2976" t="s">
        <v>3965</v>
      </c>
      <c r="E1080" s="2976">
        <v>12.84</v>
      </c>
      <c r="F1080" s="2974" t="s">
        <v>3913</v>
      </c>
      <c r="G1080" s="2973" t="s">
        <v>3796</v>
      </c>
    </row>
    <row r="1081" spans="1:7" hidden="1">
      <c r="A1081" s="2973">
        <v>1080</v>
      </c>
      <c r="B1081" s="2974" t="s">
        <v>3914</v>
      </c>
      <c r="C1081" s="2974">
        <v>-1</v>
      </c>
      <c r="D1081" s="2976" t="s">
        <v>3966</v>
      </c>
      <c r="E1081" s="2976">
        <v>12.84</v>
      </c>
      <c r="F1081" s="2974" t="s">
        <v>3913</v>
      </c>
      <c r="G1081" s="2973" t="s">
        <v>3796</v>
      </c>
    </row>
    <row r="1082" spans="1:7" hidden="1">
      <c r="A1082" s="2973">
        <v>1081</v>
      </c>
      <c r="B1082" s="2974" t="s">
        <v>3914</v>
      </c>
      <c r="C1082" s="2974">
        <v>-1</v>
      </c>
      <c r="D1082" s="2976" t="s">
        <v>3967</v>
      </c>
      <c r="E1082" s="2976">
        <v>12.84</v>
      </c>
      <c r="F1082" s="2974" t="s">
        <v>3913</v>
      </c>
      <c r="G1082" s="2973" t="s">
        <v>3796</v>
      </c>
    </row>
    <row r="1083" spans="1:7" hidden="1">
      <c r="A1083" s="2973">
        <v>1082</v>
      </c>
      <c r="B1083" s="2974" t="s">
        <v>3914</v>
      </c>
      <c r="C1083" s="2974">
        <v>-1</v>
      </c>
      <c r="D1083" s="2976" t="s">
        <v>3968</v>
      </c>
      <c r="E1083" s="2976">
        <v>12.84</v>
      </c>
      <c r="F1083" s="2974" t="s">
        <v>3913</v>
      </c>
      <c r="G1083" s="2973" t="s">
        <v>3796</v>
      </c>
    </row>
    <row r="1084" spans="1:7" hidden="1">
      <c r="A1084" s="2973">
        <v>1083</v>
      </c>
      <c r="B1084" s="2974" t="s">
        <v>3914</v>
      </c>
      <c r="C1084" s="2974">
        <v>-1</v>
      </c>
      <c r="D1084" s="2976" t="s">
        <v>3969</v>
      </c>
      <c r="E1084" s="2976">
        <v>12.84</v>
      </c>
      <c r="F1084" s="2974" t="s">
        <v>3913</v>
      </c>
      <c r="G1084" s="2973" t="s">
        <v>3796</v>
      </c>
    </row>
    <row r="1085" spans="1:7" hidden="1">
      <c r="A1085" s="2973">
        <v>1084</v>
      </c>
      <c r="B1085" s="2974" t="s">
        <v>3914</v>
      </c>
      <c r="C1085" s="2974">
        <v>-1</v>
      </c>
      <c r="D1085" s="2976" t="s">
        <v>3970</v>
      </c>
      <c r="E1085" s="2976">
        <v>12.84</v>
      </c>
      <c r="F1085" s="2974" t="s">
        <v>3913</v>
      </c>
      <c r="G1085" s="2973" t="s">
        <v>3796</v>
      </c>
    </row>
    <row r="1086" spans="1:7" hidden="1">
      <c r="A1086" s="2973">
        <v>1085</v>
      </c>
      <c r="B1086" s="2974" t="s">
        <v>3914</v>
      </c>
      <c r="C1086" s="2974">
        <v>-1</v>
      </c>
      <c r="D1086" s="2976" t="s">
        <v>3971</v>
      </c>
      <c r="E1086" s="2976">
        <v>12.84</v>
      </c>
      <c r="F1086" s="2974" t="s">
        <v>3913</v>
      </c>
      <c r="G1086" s="2973" t="s">
        <v>3796</v>
      </c>
    </row>
    <row r="1087" spans="1:7" hidden="1">
      <c r="A1087" s="2973">
        <v>1086</v>
      </c>
      <c r="B1087" s="2974" t="s">
        <v>3914</v>
      </c>
      <c r="C1087" s="2974">
        <v>-1</v>
      </c>
      <c r="D1087" s="2976" t="s">
        <v>3972</v>
      </c>
      <c r="E1087" s="2976">
        <v>12.84</v>
      </c>
      <c r="F1087" s="2974" t="s">
        <v>3973</v>
      </c>
      <c r="G1087" s="2973" t="s">
        <v>3649</v>
      </c>
    </row>
    <row r="1088" spans="1:7" hidden="1">
      <c r="A1088" s="2973">
        <v>1087</v>
      </c>
      <c r="B1088" s="2974" t="s">
        <v>3974</v>
      </c>
      <c r="C1088" s="2974">
        <v>-1</v>
      </c>
      <c r="D1088" s="2976" t="s">
        <v>3975</v>
      </c>
      <c r="E1088" s="2976">
        <v>12.84</v>
      </c>
      <c r="F1088" s="2974" t="s">
        <v>3973</v>
      </c>
      <c r="G1088" s="2973" t="s">
        <v>3649</v>
      </c>
    </row>
    <row r="1089" spans="1:7" hidden="1">
      <c r="A1089" s="2973">
        <v>1088</v>
      </c>
      <c r="B1089" s="2974" t="s">
        <v>3974</v>
      </c>
      <c r="C1089" s="2974">
        <v>-1</v>
      </c>
      <c r="D1089" s="2976" t="s">
        <v>3976</v>
      </c>
      <c r="E1089" s="2976">
        <v>12.84</v>
      </c>
      <c r="F1089" s="2974" t="s">
        <v>3973</v>
      </c>
      <c r="G1089" s="2973" t="s">
        <v>3649</v>
      </c>
    </row>
    <row r="1090" spans="1:7" hidden="1">
      <c r="A1090" s="2973">
        <v>1089</v>
      </c>
      <c r="B1090" s="2974" t="s">
        <v>3974</v>
      </c>
      <c r="C1090" s="2974">
        <v>-1</v>
      </c>
      <c r="D1090" s="2976" t="s">
        <v>3977</v>
      </c>
      <c r="E1090" s="2976">
        <v>12.84</v>
      </c>
      <c r="F1090" s="2974" t="s">
        <v>3973</v>
      </c>
      <c r="G1090" s="2973" t="s">
        <v>3649</v>
      </c>
    </row>
    <row r="1091" spans="1:7" hidden="1">
      <c r="A1091" s="2973">
        <v>1090</v>
      </c>
      <c r="B1091" s="2974" t="s">
        <v>3974</v>
      </c>
      <c r="C1091" s="2974">
        <v>-1</v>
      </c>
      <c r="D1091" s="2976" t="s">
        <v>3978</v>
      </c>
      <c r="E1091" s="2976">
        <v>12.84</v>
      </c>
      <c r="F1091" s="2974" t="s">
        <v>3973</v>
      </c>
      <c r="G1091" s="2973" t="s">
        <v>3649</v>
      </c>
    </row>
    <row r="1092" spans="1:7" hidden="1">
      <c r="A1092" s="2973">
        <v>1091</v>
      </c>
      <c r="B1092" s="2974" t="s">
        <v>3974</v>
      </c>
      <c r="C1092" s="2974">
        <v>-1</v>
      </c>
      <c r="D1092" s="2976" t="s">
        <v>3979</v>
      </c>
      <c r="E1092" s="2976">
        <v>12.84</v>
      </c>
      <c r="F1092" s="2974" t="s">
        <v>3973</v>
      </c>
      <c r="G1092" s="2973" t="s">
        <v>3649</v>
      </c>
    </row>
    <row r="1093" spans="1:7" hidden="1">
      <c r="A1093" s="2973">
        <v>1092</v>
      </c>
      <c r="B1093" s="2974" t="s">
        <v>3974</v>
      </c>
      <c r="C1093" s="2974">
        <v>-1</v>
      </c>
      <c r="D1093" s="2976" t="s">
        <v>3980</v>
      </c>
      <c r="E1093" s="2976">
        <v>12.84</v>
      </c>
      <c r="F1093" s="2974" t="s">
        <v>3973</v>
      </c>
      <c r="G1093" s="2973" t="s">
        <v>3649</v>
      </c>
    </row>
    <row r="1094" spans="1:7" hidden="1">
      <c r="A1094" s="2973">
        <v>1093</v>
      </c>
      <c r="B1094" s="2974" t="s">
        <v>3974</v>
      </c>
      <c r="C1094" s="2974">
        <v>-1</v>
      </c>
      <c r="D1094" s="2976" t="s">
        <v>3981</v>
      </c>
      <c r="E1094" s="2976">
        <v>12.84</v>
      </c>
      <c r="F1094" s="2974" t="s">
        <v>3973</v>
      </c>
      <c r="G1094" s="2973" t="s">
        <v>3649</v>
      </c>
    </row>
    <row r="1095" spans="1:7" hidden="1">
      <c r="A1095" s="2973">
        <v>1094</v>
      </c>
      <c r="B1095" s="2974" t="s">
        <v>3974</v>
      </c>
      <c r="C1095" s="2974">
        <v>-1</v>
      </c>
      <c r="D1095" s="2976" t="s">
        <v>3982</v>
      </c>
      <c r="E1095" s="2976">
        <v>12.84</v>
      </c>
      <c r="F1095" s="2974" t="s">
        <v>3973</v>
      </c>
      <c r="G1095" s="2973" t="s">
        <v>3649</v>
      </c>
    </row>
    <row r="1096" spans="1:7" hidden="1">
      <c r="A1096" s="2973">
        <v>1095</v>
      </c>
      <c r="B1096" s="2974" t="s">
        <v>3974</v>
      </c>
      <c r="C1096" s="2974">
        <v>-1</v>
      </c>
      <c r="D1096" s="2976" t="s">
        <v>3983</v>
      </c>
      <c r="E1096" s="2976">
        <v>12.84</v>
      </c>
      <c r="F1096" s="2974" t="s">
        <v>3973</v>
      </c>
      <c r="G1096" s="2973" t="s">
        <v>3649</v>
      </c>
    </row>
    <row r="1097" spans="1:7" hidden="1">
      <c r="A1097" s="2973">
        <v>1096</v>
      </c>
      <c r="B1097" s="2974" t="s">
        <v>3974</v>
      </c>
      <c r="C1097" s="2974">
        <v>-1</v>
      </c>
      <c r="D1097" s="2976" t="s">
        <v>3984</v>
      </c>
      <c r="E1097" s="2976">
        <v>12.84</v>
      </c>
      <c r="F1097" s="2974" t="s">
        <v>3973</v>
      </c>
      <c r="G1097" s="2973" t="s">
        <v>3649</v>
      </c>
    </row>
    <row r="1098" spans="1:7" hidden="1">
      <c r="A1098" s="2973">
        <v>1097</v>
      </c>
      <c r="B1098" s="2974" t="s">
        <v>3974</v>
      </c>
      <c r="C1098" s="2974">
        <v>-1</v>
      </c>
      <c r="D1098" s="2976" t="s">
        <v>3985</v>
      </c>
      <c r="E1098" s="2976">
        <v>12.84</v>
      </c>
      <c r="F1098" s="2974" t="s">
        <v>3868</v>
      </c>
      <c r="G1098" s="2973" t="s">
        <v>3857</v>
      </c>
    </row>
    <row r="1099" spans="1:7" hidden="1">
      <c r="A1099" s="2973">
        <v>1098</v>
      </c>
      <c r="B1099" s="2974" t="s">
        <v>3866</v>
      </c>
      <c r="C1099" s="2974">
        <v>-1</v>
      </c>
      <c r="D1099" s="2976" t="s">
        <v>3986</v>
      </c>
      <c r="E1099" s="2976">
        <v>12.84</v>
      </c>
      <c r="F1099" s="2974" t="s">
        <v>3868</v>
      </c>
      <c r="G1099" s="2973" t="s">
        <v>3857</v>
      </c>
    </row>
    <row r="1100" spans="1:7" hidden="1">
      <c r="A1100" s="2973">
        <v>1099</v>
      </c>
      <c r="B1100" s="2974" t="s">
        <v>3866</v>
      </c>
      <c r="C1100" s="2974">
        <v>-1</v>
      </c>
      <c r="D1100" s="2976" t="s">
        <v>3987</v>
      </c>
      <c r="E1100" s="2976">
        <v>12.84</v>
      </c>
      <c r="F1100" s="2974" t="s">
        <v>3868</v>
      </c>
      <c r="G1100" s="2973" t="s">
        <v>3857</v>
      </c>
    </row>
    <row r="1101" spans="1:7" hidden="1">
      <c r="A1101" s="2973">
        <v>1100</v>
      </c>
      <c r="B1101" s="2974" t="s">
        <v>3866</v>
      </c>
      <c r="C1101" s="2974">
        <v>-1</v>
      </c>
      <c r="D1101" s="2976" t="s">
        <v>3988</v>
      </c>
      <c r="E1101" s="2976">
        <v>12.84</v>
      </c>
      <c r="F1101" s="2974" t="s">
        <v>3868</v>
      </c>
      <c r="G1101" s="2973" t="s">
        <v>3857</v>
      </c>
    </row>
    <row r="1102" spans="1:7" hidden="1">
      <c r="A1102" s="2973">
        <v>1101</v>
      </c>
      <c r="B1102" s="2974" t="s">
        <v>3866</v>
      </c>
      <c r="C1102" s="2974">
        <v>-1</v>
      </c>
      <c r="D1102" s="2976" t="s">
        <v>3989</v>
      </c>
      <c r="E1102" s="2976">
        <v>12.84</v>
      </c>
      <c r="F1102" s="2974" t="s">
        <v>3868</v>
      </c>
      <c r="G1102" s="2973" t="s">
        <v>3857</v>
      </c>
    </row>
    <row r="1103" spans="1:7" hidden="1">
      <c r="A1103" s="2973">
        <v>1102</v>
      </c>
      <c r="B1103" s="2974" t="s">
        <v>3866</v>
      </c>
      <c r="C1103" s="2974">
        <v>-1</v>
      </c>
      <c r="D1103" s="2976" t="s">
        <v>3990</v>
      </c>
      <c r="E1103" s="2976">
        <v>12.84</v>
      </c>
      <c r="F1103" s="2974" t="s">
        <v>3991</v>
      </c>
      <c r="G1103" s="2973" t="s">
        <v>3620</v>
      </c>
    </row>
    <row r="1104" spans="1:7" hidden="1">
      <c r="A1104" s="2973">
        <v>1103</v>
      </c>
      <c r="B1104" s="2974" t="s">
        <v>3992</v>
      </c>
      <c r="C1104" s="2974">
        <v>-1</v>
      </c>
      <c r="D1104" s="2976" t="s">
        <v>3993</v>
      </c>
      <c r="E1104" s="2976">
        <v>12.84</v>
      </c>
      <c r="F1104" s="2974" t="s">
        <v>3991</v>
      </c>
      <c r="G1104" s="2973" t="s">
        <v>3620</v>
      </c>
    </row>
    <row r="1105" spans="1:7" hidden="1">
      <c r="A1105" s="2973">
        <v>1104</v>
      </c>
      <c r="B1105" s="2974" t="s">
        <v>3992</v>
      </c>
      <c r="C1105" s="2974">
        <v>-1</v>
      </c>
      <c r="D1105" s="2976" t="s">
        <v>3994</v>
      </c>
      <c r="E1105" s="2976">
        <v>12.84</v>
      </c>
      <c r="F1105" s="2974" t="s">
        <v>3991</v>
      </c>
      <c r="G1105" s="2973" t="s">
        <v>3620</v>
      </c>
    </row>
    <row r="1106" spans="1:7" hidden="1">
      <c r="A1106" s="2973">
        <v>1105</v>
      </c>
      <c r="B1106" s="2974" t="s">
        <v>3992</v>
      </c>
      <c r="C1106" s="2974">
        <v>-1</v>
      </c>
      <c r="D1106" s="2976" t="s">
        <v>3995</v>
      </c>
      <c r="E1106" s="2976">
        <v>12.84</v>
      </c>
      <c r="F1106" s="2974" t="s">
        <v>3991</v>
      </c>
      <c r="G1106" s="2973" t="s">
        <v>3620</v>
      </c>
    </row>
    <row r="1107" spans="1:7" hidden="1">
      <c r="A1107" s="2973">
        <v>1106</v>
      </c>
      <c r="B1107" s="2974" t="s">
        <v>3992</v>
      </c>
      <c r="C1107" s="2974">
        <v>-1</v>
      </c>
      <c r="D1107" s="2976" t="s">
        <v>3996</v>
      </c>
      <c r="E1107" s="2976">
        <v>12.84</v>
      </c>
      <c r="F1107" s="2974" t="s">
        <v>3991</v>
      </c>
      <c r="G1107" s="2973" t="s">
        <v>3620</v>
      </c>
    </row>
    <row r="1108" spans="1:7" hidden="1">
      <c r="A1108" s="2973">
        <v>1107</v>
      </c>
      <c r="B1108" s="2974" t="s">
        <v>3992</v>
      </c>
      <c r="C1108" s="2974">
        <v>-1</v>
      </c>
      <c r="D1108" s="2976" t="s">
        <v>3997</v>
      </c>
      <c r="E1108" s="2976">
        <v>12.84</v>
      </c>
      <c r="F1108" s="2974" t="s">
        <v>3991</v>
      </c>
      <c r="G1108" s="2973" t="s">
        <v>3620</v>
      </c>
    </row>
    <row r="1109" spans="1:7" hidden="1">
      <c r="A1109" s="2973">
        <v>1108</v>
      </c>
      <c r="B1109" s="2974" t="s">
        <v>3992</v>
      </c>
      <c r="C1109" s="2974">
        <v>-1</v>
      </c>
      <c r="D1109" s="2976" t="s">
        <v>3998</v>
      </c>
      <c r="E1109" s="2976">
        <v>12.84</v>
      </c>
      <c r="F1109" s="2974" t="s">
        <v>3991</v>
      </c>
      <c r="G1109" s="2973" t="s">
        <v>3620</v>
      </c>
    </row>
    <row r="1110" spans="1:7" hidden="1">
      <c r="A1110" s="2973">
        <v>1109</v>
      </c>
      <c r="B1110" s="2974" t="s">
        <v>3992</v>
      </c>
      <c r="C1110" s="2974">
        <v>-1</v>
      </c>
      <c r="D1110" s="2976" t="s">
        <v>3999</v>
      </c>
      <c r="E1110" s="2976">
        <v>12.84</v>
      </c>
      <c r="F1110" s="2974" t="s">
        <v>3991</v>
      </c>
      <c r="G1110" s="2973" t="s">
        <v>3620</v>
      </c>
    </row>
    <row r="1111" spans="1:7" hidden="1">
      <c r="A1111" s="2973">
        <v>1110</v>
      </c>
      <c r="B1111" s="2974" t="s">
        <v>3992</v>
      </c>
      <c r="C1111" s="2974">
        <v>-1</v>
      </c>
      <c r="D1111" s="2976" t="s">
        <v>4000</v>
      </c>
      <c r="E1111" s="2976">
        <v>12.84</v>
      </c>
      <c r="F1111" s="2974" t="s">
        <v>3991</v>
      </c>
      <c r="G1111" s="2973" t="s">
        <v>3620</v>
      </c>
    </row>
    <row r="1112" spans="1:7" hidden="1">
      <c r="A1112" s="2973">
        <v>1111</v>
      </c>
      <c r="B1112" s="2974" t="s">
        <v>3992</v>
      </c>
      <c r="C1112" s="2974">
        <v>-1</v>
      </c>
      <c r="D1112" s="2976" t="s">
        <v>4001</v>
      </c>
      <c r="E1112" s="2976">
        <v>12.84</v>
      </c>
      <c r="F1112" s="2974" t="s">
        <v>3991</v>
      </c>
      <c r="G1112" s="2973" t="s">
        <v>3620</v>
      </c>
    </row>
    <row r="1113" spans="1:7" hidden="1">
      <c r="A1113" s="2973">
        <v>1112</v>
      </c>
      <c r="B1113" s="2974" t="s">
        <v>3992</v>
      </c>
      <c r="C1113" s="2974">
        <v>-1</v>
      </c>
      <c r="D1113" s="2976" t="s">
        <v>4002</v>
      </c>
      <c r="E1113" s="2976">
        <v>12.84</v>
      </c>
      <c r="F1113" s="2974" t="s">
        <v>3991</v>
      </c>
      <c r="G1113" s="2973" t="s">
        <v>3620</v>
      </c>
    </row>
    <row r="1114" spans="1:7" hidden="1">
      <c r="A1114" s="2973">
        <v>1113</v>
      </c>
      <c r="B1114" s="2974" t="s">
        <v>3992</v>
      </c>
      <c r="C1114" s="2974">
        <v>-1</v>
      </c>
      <c r="D1114" s="2976" t="s">
        <v>4003</v>
      </c>
      <c r="E1114" s="2976">
        <v>12.84</v>
      </c>
      <c r="F1114" s="2974" t="s">
        <v>3991</v>
      </c>
      <c r="G1114" s="2973" t="s">
        <v>3620</v>
      </c>
    </row>
    <row r="1115" spans="1:7" hidden="1">
      <c r="A1115" s="2973">
        <v>1114</v>
      </c>
      <c r="B1115" s="2974" t="s">
        <v>3992</v>
      </c>
      <c r="C1115" s="2974">
        <v>-1</v>
      </c>
      <c r="D1115" s="2976" t="s">
        <v>4004</v>
      </c>
      <c r="E1115" s="2976">
        <v>12.84</v>
      </c>
      <c r="F1115" s="2974" t="s">
        <v>3991</v>
      </c>
      <c r="G1115" s="2973" t="s">
        <v>3620</v>
      </c>
    </row>
    <row r="1116" spans="1:7" hidden="1">
      <c r="A1116" s="2973">
        <v>1115</v>
      </c>
      <c r="B1116" s="2974" t="s">
        <v>3992</v>
      </c>
      <c r="C1116" s="2974">
        <v>-1</v>
      </c>
      <c r="D1116" s="2976" t="s">
        <v>4005</v>
      </c>
      <c r="E1116" s="2976">
        <v>12.84</v>
      </c>
      <c r="F1116" s="2974" t="s">
        <v>3991</v>
      </c>
      <c r="G1116" s="2973" t="s">
        <v>3620</v>
      </c>
    </row>
    <row r="1117" spans="1:7" hidden="1">
      <c r="A1117" s="2973">
        <v>1116</v>
      </c>
      <c r="B1117" s="2974" t="s">
        <v>3992</v>
      </c>
      <c r="C1117" s="2974">
        <v>-1</v>
      </c>
      <c r="D1117" s="2976" t="s">
        <v>4006</v>
      </c>
      <c r="E1117" s="2976">
        <v>12.84</v>
      </c>
      <c r="F1117" s="2974" t="s">
        <v>3991</v>
      </c>
      <c r="G1117" s="2973" t="s">
        <v>3620</v>
      </c>
    </row>
    <row r="1118" spans="1:7" hidden="1">
      <c r="A1118" s="2973">
        <v>1117</v>
      </c>
      <c r="B1118" s="2974" t="s">
        <v>3992</v>
      </c>
      <c r="C1118" s="2974">
        <v>-1</v>
      </c>
      <c r="D1118" s="2976" t="s">
        <v>4007</v>
      </c>
      <c r="E1118" s="2976">
        <v>12.84</v>
      </c>
      <c r="F1118" s="2974" t="s">
        <v>3991</v>
      </c>
      <c r="G1118" s="2973" t="s">
        <v>3620</v>
      </c>
    </row>
    <row r="1119" spans="1:7" hidden="1">
      <c r="A1119" s="2973">
        <v>1118</v>
      </c>
      <c r="B1119" s="2974" t="s">
        <v>3992</v>
      </c>
      <c r="C1119" s="2974">
        <v>-1</v>
      </c>
      <c r="D1119" s="2976" t="s">
        <v>4008</v>
      </c>
      <c r="E1119" s="2976">
        <v>12.84</v>
      </c>
      <c r="F1119" s="2974" t="s">
        <v>3991</v>
      </c>
      <c r="G1119" s="2973" t="s">
        <v>3620</v>
      </c>
    </row>
    <row r="1120" spans="1:7" hidden="1">
      <c r="A1120" s="2973">
        <v>1119</v>
      </c>
      <c r="B1120" s="2974" t="s">
        <v>3992</v>
      </c>
      <c r="C1120" s="2974">
        <v>-1</v>
      </c>
      <c r="D1120" s="2976" t="s">
        <v>4009</v>
      </c>
      <c r="E1120" s="2976">
        <v>12.84</v>
      </c>
      <c r="F1120" s="2974" t="s">
        <v>3991</v>
      </c>
      <c r="G1120" s="2973" t="s">
        <v>3620</v>
      </c>
    </row>
    <row r="1121" spans="1:7" hidden="1">
      <c r="A1121" s="2973">
        <v>1120</v>
      </c>
      <c r="B1121" s="2974" t="s">
        <v>3992</v>
      </c>
      <c r="C1121" s="2974">
        <v>-1</v>
      </c>
      <c r="D1121" s="2976" t="s">
        <v>4010</v>
      </c>
      <c r="E1121" s="2976">
        <v>12.84</v>
      </c>
      <c r="F1121" s="2974" t="s">
        <v>3868</v>
      </c>
      <c r="G1121" s="2973" t="s">
        <v>3857</v>
      </c>
    </row>
    <row r="1122" spans="1:7" hidden="1">
      <c r="A1122" s="2973">
        <v>1121</v>
      </c>
      <c r="B1122" s="2974" t="s">
        <v>3866</v>
      </c>
      <c r="C1122" s="2974">
        <v>-1</v>
      </c>
      <c r="D1122" s="2976" t="s">
        <v>4011</v>
      </c>
      <c r="E1122" s="2976">
        <v>12.84</v>
      </c>
      <c r="F1122" s="2974" t="s">
        <v>3868</v>
      </c>
      <c r="G1122" s="2973" t="s">
        <v>3857</v>
      </c>
    </row>
    <row r="1123" spans="1:7" hidden="1">
      <c r="A1123" s="2973">
        <v>1122</v>
      </c>
      <c r="B1123" s="2974" t="s">
        <v>3866</v>
      </c>
      <c r="C1123" s="2974">
        <v>-1</v>
      </c>
      <c r="D1123" s="2976" t="s">
        <v>4012</v>
      </c>
      <c r="E1123" s="2976">
        <v>12.84</v>
      </c>
      <c r="F1123" s="2974" t="s">
        <v>3868</v>
      </c>
      <c r="G1123" s="2973" t="s">
        <v>3857</v>
      </c>
    </row>
    <row r="1124" spans="1:7" hidden="1">
      <c r="A1124" s="2973">
        <v>1123</v>
      </c>
      <c r="B1124" s="2974" t="s">
        <v>3866</v>
      </c>
      <c r="C1124" s="2974">
        <v>-1</v>
      </c>
      <c r="D1124" s="2976" t="s">
        <v>4013</v>
      </c>
      <c r="E1124" s="2976">
        <v>12.84</v>
      </c>
      <c r="F1124" s="2974" t="s">
        <v>3868</v>
      </c>
      <c r="G1124" s="2973" t="s">
        <v>3857</v>
      </c>
    </row>
    <row r="1125" spans="1:7" hidden="1">
      <c r="A1125" s="2973">
        <v>1124</v>
      </c>
      <c r="B1125" s="2974" t="s">
        <v>3866</v>
      </c>
      <c r="C1125" s="2974">
        <v>-1</v>
      </c>
      <c r="D1125" s="2976" t="s">
        <v>4014</v>
      </c>
      <c r="E1125" s="2976">
        <v>12.84</v>
      </c>
      <c r="F1125" s="2974" t="s">
        <v>3868</v>
      </c>
      <c r="G1125" s="2973" t="s">
        <v>3857</v>
      </c>
    </row>
    <row r="1126" spans="1:7" hidden="1">
      <c r="A1126" s="2973">
        <v>1125</v>
      </c>
      <c r="B1126" s="2974" t="s">
        <v>3866</v>
      </c>
      <c r="C1126" s="2974">
        <v>-1</v>
      </c>
      <c r="D1126" s="2976" t="s">
        <v>4015</v>
      </c>
      <c r="E1126" s="2976">
        <v>12.84</v>
      </c>
      <c r="F1126" s="2974" t="s">
        <v>3868</v>
      </c>
      <c r="G1126" s="2973" t="s">
        <v>3857</v>
      </c>
    </row>
    <row r="1127" spans="1:7" hidden="1">
      <c r="A1127" s="2973">
        <v>1126</v>
      </c>
      <c r="B1127" s="2974" t="s">
        <v>3866</v>
      </c>
      <c r="C1127" s="2974">
        <v>-1</v>
      </c>
      <c r="D1127" s="2976" t="s">
        <v>4016</v>
      </c>
      <c r="E1127" s="2976">
        <v>12.84</v>
      </c>
      <c r="F1127" s="2974" t="s">
        <v>3868</v>
      </c>
      <c r="G1127" s="2973" t="s">
        <v>3857</v>
      </c>
    </row>
    <row r="1128" spans="1:7" hidden="1">
      <c r="A1128" s="2973">
        <v>1127</v>
      </c>
      <c r="B1128" s="2974" t="s">
        <v>3866</v>
      </c>
      <c r="C1128" s="2974">
        <v>-1</v>
      </c>
      <c r="D1128" s="2976" t="s">
        <v>4017</v>
      </c>
      <c r="E1128" s="2976">
        <v>12.84</v>
      </c>
      <c r="F1128" s="2974" t="s">
        <v>3868</v>
      </c>
      <c r="G1128" s="2973" t="s">
        <v>3857</v>
      </c>
    </row>
    <row r="1129" spans="1:7" hidden="1">
      <c r="A1129" s="2973">
        <v>1128</v>
      </c>
      <c r="B1129" s="2974" t="s">
        <v>3866</v>
      </c>
      <c r="C1129" s="2974">
        <v>-1</v>
      </c>
      <c r="D1129" s="2976" t="s">
        <v>4018</v>
      </c>
      <c r="E1129" s="2976">
        <v>12.84</v>
      </c>
      <c r="F1129" s="2974" t="s">
        <v>3868</v>
      </c>
      <c r="G1129" s="2973" t="s">
        <v>3857</v>
      </c>
    </row>
    <row r="1130" spans="1:7" hidden="1">
      <c r="A1130" s="2973">
        <v>1129</v>
      </c>
      <c r="B1130" s="2974" t="s">
        <v>3866</v>
      </c>
      <c r="C1130" s="2974">
        <v>-1</v>
      </c>
      <c r="D1130" s="2976" t="s">
        <v>4019</v>
      </c>
      <c r="E1130" s="2976">
        <v>12.84</v>
      </c>
      <c r="F1130" s="2974" t="s">
        <v>3868</v>
      </c>
      <c r="G1130" s="2973" t="s">
        <v>3857</v>
      </c>
    </row>
    <row r="1131" spans="1:7" hidden="1">
      <c r="A1131" s="2973">
        <v>1130</v>
      </c>
      <c r="B1131" s="2974" t="s">
        <v>3866</v>
      </c>
      <c r="C1131" s="2974">
        <v>-1</v>
      </c>
      <c r="D1131" s="2976" t="s">
        <v>4020</v>
      </c>
      <c r="E1131" s="2976">
        <v>12.84</v>
      </c>
      <c r="F1131" s="2974" t="s">
        <v>3868</v>
      </c>
      <c r="G1131" s="2973" t="s">
        <v>3857</v>
      </c>
    </row>
    <row r="1132" spans="1:7" hidden="1">
      <c r="A1132" s="2973">
        <v>1131</v>
      </c>
      <c r="B1132" s="2974" t="s">
        <v>3866</v>
      </c>
      <c r="C1132" s="2974">
        <v>-1</v>
      </c>
      <c r="D1132" s="2976" t="s">
        <v>4021</v>
      </c>
      <c r="E1132" s="2976">
        <v>12.84</v>
      </c>
      <c r="F1132" s="2974" t="s">
        <v>3868</v>
      </c>
      <c r="G1132" s="2973" t="s">
        <v>3857</v>
      </c>
    </row>
    <row r="1133" spans="1:7" hidden="1">
      <c r="A1133" s="2973">
        <v>1132</v>
      </c>
      <c r="B1133" s="2974" t="s">
        <v>3866</v>
      </c>
      <c r="C1133" s="2974">
        <v>-1</v>
      </c>
      <c r="D1133" s="2976" t="s">
        <v>4022</v>
      </c>
      <c r="E1133" s="2976">
        <v>12.84</v>
      </c>
      <c r="F1133" s="2974" t="s">
        <v>3868</v>
      </c>
      <c r="G1133" s="2973" t="s">
        <v>3857</v>
      </c>
    </row>
    <row r="1134" spans="1:7" hidden="1">
      <c r="A1134" s="2973">
        <v>1133</v>
      </c>
      <c r="B1134" s="2974" t="s">
        <v>3866</v>
      </c>
      <c r="C1134" s="2974">
        <v>-1</v>
      </c>
      <c r="D1134" s="2976" t="s">
        <v>4023</v>
      </c>
      <c r="E1134" s="2976">
        <v>12.84</v>
      </c>
      <c r="F1134" s="2974" t="s">
        <v>3868</v>
      </c>
      <c r="G1134" s="2973" t="s">
        <v>3857</v>
      </c>
    </row>
    <row r="1135" spans="1:7" hidden="1">
      <c r="A1135" s="2973">
        <v>1134</v>
      </c>
      <c r="B1135" s="2974" t="s">
        <v>3866</v>
      </c>
      <c r="C1135" s="2974">
        <v>-1</v>
      </c>
      <c r="D1135" s="2976" t="s">
        <v>4024</v>
      </c>
      <c r="E1135" s="2976">
        <v>12.84</v>
      </c>
      <c r="F1135" s="2974" t="s">
        <v>3868</v>
      </c>
      <c r="G1135" s="2973" t="s">
        <v>3857</v>
      </c>
    </row>
    <row r="1136" spans="1:7" hidden="1">
      <c r="A1136" s="2973">
        <v>1135</v>
      </c>
      <c r="B1136" s="2974" t="s">
        <v>3866</v>
      </c>
      <c r="C1136" s="2974">
        <v>-1</v>
      </c>
      <c r="D1136" s="2976" t="s">
        <v>4025</v>
      </c>
      <c r="E1136" s="2976">
        <v>12.84</v>
      </c>
      <c r="F1136" s="2974" t="s">
        <v>3868</v>
      </c>
      <c r="G1136" s="2973" t="s">
        <v>3857</v>
      </c>
    </row>
    <row r="1137" spans="1:7" hidden="1">
      <c r="A1137" s="2973">
        <v>1136</v>
      </c>
      <c r="B1137" s="2974" t="s">
        <v>3866</v>
      </c>
      <c r="C1137" s="2974">
        <v>-1</v>
      </c>
      <c r="D1137" s="2976" t="s">
        <v>4026</v>
      </c>
      <c r="E1137" s="2976">
        <v>12.84</v>
      </c>
      <c r="F1137" s="2974" t="s">
        <v>3868</v>
      </c>
      <c r="G1137" s="2973" t="s">
        <v>3857</v>
      </c>
    </row>
    <row r="1138" spans="1:7" hidden="1">
      <c r="A1138" s="2973">
        <v>1137</v>
      </c>
      <c r="B1138" s="2974" t="s">
        <v>3866</v>
      </c>
      <c r="C1138" s="2974">
        <v>-1</v>
      </c>
      <c r="D1138" s="2976" t="s">
        <v>4027</v>
      </c>
      <c r="E1138" s="2976">
        <v>12.84</v>
      </c>
      <c r="F1138" s="2974" t="s">
        <v>3868</v>
      </c>
      <c r="G1138" s="2973" t="s">
        <v>3857</v>
      </c>
    </row>
    <row r="1139" spans="1:7" hidden="1">
      <c r="A1139" s="2973">
        <v>1138</v>
      </c>
      <c r="B1139" s="2974" t="s">
        <v>3866</v>
      </c>
      <c r="C1139" s="2974">
        <v>-1</v>
      </c>
      <c r="D1139" s="2976" t="s">
        <v>4028</v>
      </c>
      <c r="E1139" s="2976">
        <v>12.84</v>
      </c>
      <c r="F1139" s="2974" t="s">
        <v>3868</v>
      </c>
      <c r="G1139" s="2973" t="s">
        <v>3857</v>
      </c>
    </row>
    <row r="1140" spans="1:7" hidden="1">
      <c r="A1140" s="2973">
        <v>1139</v>
      </c>
      <c r="B1140" s="2974" t="s">
        <v>3866</v>
      </c>
      <c r="C1140" s="2974">
        <v>-1</v>
      </c>
      <c r="D1140" s="2976" t="s">
        <v>4029</v>
      </c>
      <c r="E1140" s="2976">
        <v>12.84</v>
      </c>
      <c r="F1140" s="2974" t="s">
        <v>3868</v>
      </c>
      <c r="G1140" s="2973" t="s">
        <v>3857</v>
      </c>
    </row>
    <row r="1141" spans="1:7" hidden="1">
      <c r="A1141" s="2973">
        <v>1140</v>
      </c>
      <c r="B1141" s="2974" t="s">
        <v>3866</v>
      </c>
      <c r="C1141" s="2974">
        <v>-1</v>
      </c>
      <c r="D1141" s="2976" t="s">
        <v>4030</v>
      </c>
      <c r="E1141" s="2976">
        <v>12.84</v>
      </c>
      <c r="F1141" s="2974" t="s">
        <v>3868</v>
      </c>
      <c r="G1141" s="2973" t="s">
        <v>3857</v>
      </c>
    </row>
    <row r="1142" spans="1:7" hidden="1">
      <c r="A1142" s="2973">
        <v>1141</v>
      </c>
      <c r="B1142" s="2974" t="s">
        <v>3866</v>
      </c>
      <c r="C1142" s="2974">
        <v>-1</v>
      </c>
      <c r="D1142" s="2976" t="s">
        <v>4031</v>
      </c>
      <c r="E1142" s="2976">
        <v>12.84</v>
      </c>
      <c r="F1142" s="2974" t="s">
        <v>3868</v>
      </c>
      <c r="G1142" s="2973" t="s">
        <v>3857</v>
      </c>
    </row>
    <row r="1143" spans="1:7" hidden="1">
      <c r="A1143" s="2973">
        <v>1142</v>
      </c>
      <c r="B1143" s="2974" t="s">
        <v>3866</v>
      </c>
      <c r="C1143" s="2974">
        <v>-1</v>
      </c>
      <c r="D1143" s="2976" t="s">
        <v>4032</v>
      </c>
      <c r="E1143" s="2976">
        <v>12.84</v>
      </c>
      <c r="F1143" s="2974" t="s">
        <v>3868</v>
      </c>
      <c r="G1143" s="2973" t="s">
        <v>3857</v>
      </c>
    </row>
    <row r="1144" spans="1:7" hidden="1">
      <c r="A1144" s="2973">
        <v>1143</v>
      </c>
      <c r="B1144" s="2974" t="s">
        <v>3866</v>
      </c>
      <c r="C1144" s="2974">
        <v>-1</v>
      </c>
      <c r="D1144" s="2976" t="s">
        <v>4033</v>
      </c>
      <c r="E1144" s="2976">
        <v>12.84</v>
      </c>
      <c r="F1144" s="2974" t="s">
        <v>3868</v>
      </c>
      <c r="G1144" s="2973" t="s">
        <v>3857</v>
      </c>
    </row>
    <row r="1145" spans="1:7" hidden="1">
      <c r="A1145" s="2973">
        <v>1144</v>
      </c>
      <c r="B1145" s="2974" t="s">
        <v>3866</v>
      </c>
      <c r="C1145" s="2974">
        <v>-1</v>
      </c>
      <c r="D1145" s="2976" t="s">
        <v>4034</v>
      </c>
      <c r="E1145" s="2976">
        <v>12.84</v>
      </c>
      <c r="F1145" s="2974" t="s">
        <v>3868</v>
      </c>
      <c r="G1145" s="2973" t="s">
        <v>3857</v>
      </c>
    </row>
    <row r="1146" spans="1:7" hidden="1">
      <c r="A1146" s="2973">
        <v>1145</v>
      </c>
      <c r="B1146" s="2974" t="s">
        <v>3866</v>
      </c>
      <c r="C1146" s="2974">
        <v>-1</v>
      </c>
      <c r="D1146" s="2976" t="s">
        <v>4035</v>
      </c>
      <c r="E1146" s="2976">
        <v>12.84</v>
      </c>
      <c r="F1146" s="2974" t="s">
        <v>3868</v>
      </c>
      <c r="G1146" s="2973" t="s">
        <v>3857</v>
      </c>
    </row>
    <row r="1147" spans="1:7" hidden="1">
      <c r="A1147" s="2973">
        <v>1146</v>
      </c>
      <c r="B1147" s="2974" t="s">
        <v>3866</v>
      </c>
      <c r="C1147" s="2974">
        <v>-1</v>
      </c>
      <c r="D1147" s="2976" t="s">
        <v>4036</v>
      </c>
      <c r="E1147" s="2976">
        <v>12.84</v>
      </c>
      <c r="F1147" s="2974" t="s">
        <v>3868</v>
      </c>
      <c r="G1147" s="2973" t="s">
        <v>3857</v>
      </c>
    </row>
    <row r="1148" spans="1:7" hidden="1">
      <c r="A1148" s="2973">
        <v>1147</v>
      </c>
      <c r="B1148" s="2974" t="s">
        <v>3866</v>
      </c>
      <c r="C1148" s="2974">
        <v>-1</v>
      </c>
      <c r="D1148" s="2976" t="s">
        <v>4037</v>
      </c>
      <c r="E1148" s="2976">
        <v>12.84</v>
      </c>
      <c r="F1148" s="2974" t="s">
        <v>3868</v>
      </c>
      <c r="G1148" s="2973" t="s">
        <v>3857</v>
      </c>
    </row>
    <row r="1149" spans="1:7" hidden="1">
      <c r="A1149" s="2973">
        <v>1148</v>
      </c>
      <c r="B1149" s="2974" t="s">
        <v>3866</v>
      </c>
      <c r="C1149" s="2974">
        <v>-1</v>
      </c>
      <c r="D1149" s="2976" t="s">
        <v>4038</v>
      </c>
      <c r="E1149" s="2976">
        <v>12.84</v>
      </c>
      <c r="F1149" s="2974" t="s">
        <v>3868</v>
      </c>
      <c r="G1149" s="2973" t="s">
        <v>3857</v>
      </c>
    </row>
    <row r="1150" spans="1:7" hidden="1">
      <c r="A1150" s="2973">
        <v>1149</v>
      </c>
      <c r="B1150" s="2974" t="s">
        <v>3866</v>
      </c>
      <c r="C1150" s="2974">
        <v>-1</v>
      </c>
      <c r="D1150" s="2976" t="s">
        <v>4039</v>
      </c>
      <c r="E1150" s="2976">
        <v>12.84</v>
      </c>
      <c r="F1150" s="2974" t="s">
        <v>3868</v>
      </c>
      <c r="G1150" s="2973" t="s">
        <v>3857</v>
      </c>
    </row>
    <row r="1151" spans="1:7" hidden="1">
      <c r="A1151" s="2973">
        <v>1150</v>
      </c>
      <c r="B1151" s="2974" t="s">
        <v>3866</v>
      </c>
      <c r="C1151" s="2974">
        <v>-1</v>
      </c>
      <c r="D1151" s="2976" t="s">
        <v>4040</v>
      </c>
      <c r="E1151" s="2976">
        <v>12.84</v>
      </c>
      <c r="F1151" s="2974" t="s">
        <v>3868</v>
      </c>
      <c r="G1151" s="2973" t="s">
        <v>3857</v>
      </c>
    </row>
    <row r="1152" spans="1:7" hidden="1">
      <c r="A1152" s="2973">
        <v>1151</v>
      </c>
      <c r="B1152" s="2974" t="s">
        <v>3866</v>
      </c>
      <c r="C1152" s="2974">
        <v>-1</v>
      </c>
      <c r="D1152" s="2976" t="s">
        <v>4041</v>
      </c>
      <c r="E1152" s="2976">
        <v>12.84</v>
      </c>
      <c r="F1152" s="2974" t="s">
        <v>3868</v>
      </c>
      <c r="G1152" s="2973" t="s">
        <v>3857</v>
      </c>
    </row>
    <row r="1153" spans="1:7" hidden="1">
      <c r="A1153" s="2973">
        <v>1152</v>
      </c>
      <c r="B1153" s="2974" t="s">
        <v>3866</v>
      </c>
      <c r="C1153" s="2974">
        <v>-1</v>
      </c>
      <c r="D1153" s="2976" t="s">
        <v>4042</v>
      </c>
      <c r="E1153" s="2976">
        <v>12.84</v>
      </c>
      <c r="F1153" s="2974" t="s">
        <v>3868</v>
      </c>
      <c r="G1153" s="2973" t="s">
        <v>3857</v>
      </c>
    </row>
    <row r="1154" spans="1:7" hidden="1">
      <c r="A1154" s="2973">
        <v>1153</v>
      </c>
      <c r="B1154" s="2974" t="s">
        <v>3866</v>
      </c>
      <c r="C1154" s="2974">
        <v>-1</v>
      </c>
      <c r="D1154" s="2976" t="s">
        <v>4043</v>
      </c>
      <c r="E1154" s="2976">
        <v>12.84</v>
      </c>
      <c r="F1154" s="2974" t="s">
        <v>3868</v>
      </c>
      <c r="G1154" s="2973" t="s">
        <v>3857</v>
      </c>
    </row>
    <row r="1155" spans="1:7" hidden="1">
      <c r="A1155" s="2973">
        <v>1154</v>
      </c>
      <c r="B1155" s="2974" t="s">
        <v>3866</v>
      </c>
      <c r="C1155" s="2974">
        <v>-1</v>
      </c>
      <c r="D1155" s="2976" t="s">
        <v>4044</v>
      </c>
      <c r="E1155" s="2976">
        <v>12.84</v>
      </c>
      <c r="F1155" s="2974" t="s">
        <v>3868</v>
      </c>
      <c r="G1155" s="2973" t="s">
        <v>3857</v>
      </c>
    </row>
    <row r="1156" spans="1:7" hidden="1">
      <c r="A1156" s="2973">
        <v>1155</v>
      </c>
      <c r="B1156" s="2974" t="s">
        <v>3866</v>
      </c>
      <c r="C1156" s="2974">
        <v>-1</v>
      </c>
      <c r="D1156" s="2976" t="s">
        <v>4045</v>
      </c>
      <c r="E1156" s="2976">
        <v>12.84</v>
      </c>
      <c r="F1156" s="2974" t="s">
        <v>3868</v>
      </c>
      <c r="G1156" s="2973" t="s">
        <v>3857</v>
      </c>
    </row>
    <row r="1157" spans="1:7" hidden="1">
      <c r="A1157" s="2973">
        <v>1156</v>
      </c>
      <c r="B1157" s="2974" t="s">
        <v>3866</v>
      </c>
      <c r="C1157" s="2974">
        <v>-1</v>
      </c>
      <c r="D1157" s="2976" t="s">
        <v>4046</v>
      </c>
      <c r="E1157" s="2976">
        <v>12.84</v>
      </c>
      <c r="F1157" s="2974" t="s">
        <v>3868</v>
      </c>
      <c r="G1157" s="2973" t="s">
        <v>3857</v>
      </c>
    </row>
    <row r="1158" spans="1:7" hidden="1">
      <c r="A1158" s="2973">
        <v>1157</v>
      </c>
      <c r="B1158" s="2974" t="s">
        <v>3866</v>
      </c>
      <c r="C1158" s="2974">
        <v>-1</v>
      </c>
      <c r="D1158" s="2976" t="s">
        <v>4047</v>
      </c>
      <c r="E1158" s="2976">
        <v>12.84</v>
      </c>
      <c r="F1158" s="2974" t="s">
        <v>3868</v>
      </c>
      <c r="G1158" s="2973" t="s">
        <v>3857</v>
      </c>
    </row>
    <row r="1159" spans="1:7" hidden="1">
      <c r="A1159" s="2973">
        <v>1158</v>
      </c>
      <c r="B1159" s="2974" t="s">
        <v>3866</v>
      </c>
      <c r="C1159" s="2974">
        <v>-1</v>
      </c>
      <c r="D1159" s="2976" t="s">
        <v>4048</v>
      </c>
      <c r="E1159" s="2976">
        <v>12.84</v>
      </c>
      <c r="F1159" s="2974" t="s">
        <v>3868</v>
      </c>
      <c r="G1159" s="2973" t="s">
        <v>3857</v>
      </c>
    </row>
    <row r="1160" spans="1:7" hidden="1">
      <c r="A1160" s="2973">
        <v>1159</v>
      </c>
      <c r="B1160" s="2974" t="s">
        <v>3866</v>
      </c>
      <c r="C1160" s="2974">
        <v>-1</v>
      </c>
      <c r="D1160" s="2976" t="s">
        <v>4049</v>
      </c>
      <c r="E1160" s="2976">
        <v>12.84</v>
      </c>
      <c r="F1160" s="2974" t="s">
        <v>3868</v>
      </c>
      <c r="G1160" s="2973" t="s">
        <v>3857</v>
      </c>
    </row>
    <row r="1161" spans="1:7" hidden="1">
      <c r="A1161" s="2973">
        <v>1160</v>
      </c>
      <c r="B1161" s="2974" t="s">
        <v>3866</v>
      </c>
      <c r="C1161" s="2974">
        <v>-1</v>
      </c>
      <c r="D1161" s="2976" t="s">
        <v>4050</v>
      </c>
      <c r="E1161" s="2976">
        <v>12.84</v>
      </c>
      <c r="F1161" s="2974" t="s">
        <v>3868</v>
      </c>
      <c r="G1161" s="2973" t="s">
        <v>3857</v>
      </c>
    </row>
    <row r="1162" spans="1:7" hidden="1">
      <c r="A1162" s="2973">
        <v>1161</v>
      </c>
      <c r="B1162" s="2974" t="s">
        <v>3866</v>
      </c>
      <c r="C1162" s="2974">
        <v>-1</v>
      </c>
      <c r="D1162" s="2976" t="s">
        <v>4051</v>
      </c>
      <c r="E1162" s="2976">
        <v>12.84</v>
      </c>
      <c r="F1162" s="2974" t="s">
        <v>3868</v>
      </c>
      <c r="G1162" s="2973" t="s">
        <v>3857</v>
      </c>
    </row>
    <row r="1163" spans="1:7" hidden="1">
      <c r="A1163" s="2973">
        <v>1162</v>
      </c>
      <c r="B1163" s="2974" t="s">
        <v>3866</v>
      </c>
      <c r="C1163" s="2974">
        <v>-1</v>
      </c>
      <c r="D1163" s="2976" t="s">
        <v>4052</v>
      </c>
      <c r="E1163" s="2976">
        <v>12.84</v>
      </c>
      <c r="F1163" s="2974" t="s">
        <v>3868</v>
      </c>
      <c r="G1163" s="2973" t="s">
        <v>3857</v>
      </c>
    </row>
    <row r="1164" spans="1:7" hidden="1">
      <c r="A1164" s="2973">
        <v>1163</v>
      </c>
      <c r="B1164" s="2974" t="s">
        <v>3866</v>
      </c>
      <c r="C1164" s="2974">
        <v>-1</v>
      </c>
      <c r="D1164" s="2976" t="s">
        <v>4053</v>
      </c>
      <c r="E1164" s="2976">
        <v>12.84</v>
      </c>
      <c r="F1164" s="2974" t="s">
        <v>3868</v>
      </c>
      <c r="G1164" s="2973" t="s">
        <v>3857</v>
      </c>
    </row>
    <row r="1165" spans="1:7" hidden="1">
      <c r="A1165" s="2973">
        <v>1164</v>
      </c>
      <c r="B1165" s="2974" t="s">
        <v>3866</v>
      </c>
      <c r="C1165" s="2974">
        <v>-1</v>
      </c>
      <c r="D1165" s="2976" t="s">
        <v>4054</v>
      </c>
      <c r="E1165" s="2976">
        <v>12.84</v>
      </c>
      <c r="F1165" s="2974" t="s">
        <v>3868</v>
      </c>
      <c r="G1165" s="2973" t="s">
        <v>3857</v>
      </c>
    </row>
    <row r="1166" spans="1:7" hidden="1">
      <c r="A1166" s="2973">
        <v>1165</v>
      </c>
      <c r="B1166" s="2974" t="s">
        <v>3866</v>
      </c>
      <c r="C1166" s="2974">
        <v>-1</v>
      </c>
      <c r="D1166" s="2976" t="s">
        <v>4055</v>
      </c>
      <c r="E1166" s="2976">
        <v>12.84</v>
      </c>
      <c r="F1166" s="2974" t="s">
        <v>3868</v>
      </c>
      <c r="G1166" s="2973" t="s">
        <v>3857</v>
      </c>
    </row>
    <row r="1167" spans="1:7" hidden="1">
      <c r="A1167" s="2973">
        <v>1166</v>
      </c>
      <c r="B1167" s="2974" t="s">
        <v>3866</v>
      </c>
      <c r="C1167" s="2974">
        <v>-1</v>
      </c>
      <c r="D1167" s="2976" t="s">
        <v>4056</v>
      </c>
      <c r="E1167" s="2976">
        <v>12.84</v>
      </c>
      <c r="F1167" s="2974" t="s">
        <v>3868</v>
      </c>
      <c r="G1167" s="2973" t="s">
        <v>3857</v>
      </c>
    </row>
    <row r="1168" spans="1:7" hidden="1">
      <c r="A1168" s="2973">
        <v>1167</v>
      </c>
      <c r="B1168" s="2974" t="s">
        <v>3866</v>
      </c>
      <c r="C1168" s="2974">
        <v>-1</v>
      </c>
      <c r="D1168" s="2976" t="s">
        <v>4057</v>
      </c>
      <c r="E1168" s="2976">
        <v>12.84</v>
      </c>
      <c r="F1168" s="2974" t="s">
        <v>3868</v>
      </c>
      <c r="G1168" s="2973" t="s">
        <v>3857</v>
      </c>
    </row>
    <row r="1169" spans="1:7" hidden="1">
      <c r="A1169" s="2973">
        <v>1168</v>
      </c>
      <c r="B1169" s="2974" t="s">
        <v>3866</v>
      </c>
      <c r="C1169" s="2974">
        <v>-1</v>
      </c>
      <c r="D1169" s="2976" t="s">
        <v>4058</v>
      </c>
      <c r="E1169" s="2976">
        <v>12.84</v>
      </c>
      <c r="F1169" s="2974" t="s">
        <v>3868</v>
      </c>
      <c r="G1169" s="2973" t="s">
        <v>3857</v>
      </c>
    </row>
    <row r="1170" spans="1:7" hidden="1">
      <c r="A1170" s="2973">
        <v>1169</v>
      </c>
      <c r="B1170" s="2974" t="s">
        <v>3866</v>
      </c>
      <c r="C1170" s="2974">
        <v>-1</v>
      </c>
      <c r="D1170" s="2976" t="s">
        <v>4059</v>
      </c>
      <c r="E1170" s="2976">
        <v>12.84</v>
      </c>
      <c r="F1170" s="2974" t="s">
        <v>3868</v>
      </c>
      <c r="G1170" s="2973" t="s">
        <v>3857</v>
      </c>
    </row>
    <row r="1171" spans="1:7" hidden="1">
      <c r="A1171" s="2973">
        <v>1170</v>
      </c>
      <c r="B1171" s="2974" t="s">
        <v>3866</v>
      </c>
      <c r="C1171" s="2974">
        <v>-1</v>
      </c>
      <c r="D1171" s="2976" t="s">
        <v>4060</v>
      </c>
      <c r="E1171" s="2976">
        <v>12.84</v>
      </c>
      <c r="F1171" s="2974" t="s">
        <v>3868</v>
      </c>
      <c r="G1171" s="2973" t="s">
        <v>3857</v>
      </c>
    </row>
    <row r="1172" spans="1:7" hidden="1">
      <c r="A1172" s="2973">
        <v>1171</v>
      </c>
      <c r="B1172" s="2974" t="s">
        <v>3866</v>
      </c>
      <c r="C1172" s="2974">
        <v>-1</v>
      </c>
      <c r="D1172" s="2976" t="s">
        <v>4061</v>
      </c>
      <c r="E1172" s="2976">
        <v>12.84</v>
      </c>
      <c r="F1172" s="2974" t="s">
        <v>3868</v>
      </c>
      <c r="G1172" s="2973" t="s">
        <v>3857</v>
      </c>
    </row>
    <row r="1173" spans="1:7" hidden="1">
      <c r="A1173" s="2973">
        <v>1172</v>
      </c>
      <c r="B1173" s="2974" t="s">
        <v>3866</v>
      </c>
      <c r="C1173" s="2974">
        <v>-1</v>
      </c>
      <c r="D1173" s="2976" t="s">
        <v>4062</v>
      </c>
      <c r="E1173" s="2976">
        <v>12.84</v>
      </c>
      <c r="F1173" s="2974" t="s">
        <v>3868</v>
      </c>
      <c r="G1173" s="2973" t="s">
        <v>3857</v>
      </c>
    </row>
    <row r="1174" spans="1:7" hidden="1">
      <c r="A1174" s="2973">
        <v>1173</v>
      </c>
      <c r="B1174" s="2974" t="s">
        <v>3866</v>
      </c>
      <c r="C1174" s="2974">
        <v>-1</v>
      </c>
      <c r="D1174" s="2976" t="s">
        <v>4063</v>
      </c>
      <c r="E1174" s="2976">
        <v>12.84</v>
      </c>
      <c r="F1174" s="2974" t="s">
        <v>3868</v>
      </c>
      <c r="G1174" s="2973" t="s">
        <v>3857</v>
      </c>
    </row>
    <row r="1175" spans="1:7" hidden="1">
      <c r="A1175" s="2973">
        <v>1174</v>
      </c>
      <c r="B1175" s="2974" t="s">
        <v>3866</v>
      </c>
      <c r="C1175" s="2974">
        <v>-1</v>
      </c>
      <c r="D1175" s="2976" t="s">
        <v>4064</v>
      </c>
      <c r="E1175" s="2976">
        <v>12.84</v>
      </c>
      <c r="F1175" s="2974" t="s">
        <v>3868</v>
      </c>
      <c r="G1175" s="2973" t="s">
        <v>3857</v>
      </c>
    </row>
    <row r="1176" spans="1:7" hidden="1">
      <c r="A1176" s="2973">
        <v>1175</v>
      </c>
      <c r="B1176" s="2974" t="s">
        <v>3866</v>
      </c>
      <c r="C1176" s="2974">
        <v>-1</v>
      </c>
      <c r="D1176" s="2976" t="s">
        <v>4065</v>
      </c>
      <c r="E1176" s="2976">
        <v>12.84</v>
      </c>
      <c r="F1176" s="2974" t="s">
        <v>3868</v>
      </c>
      <c r="G1176" s="2973" t="s">
        <v>3857</v>
      </c>
    </row>
    <row r="1177" spans="1:7" hidden="1">
      <c r="A1177" s="2973">
        <v>1176</v>
      </c>
      <c r="B1177" s="2974" t="s">
        <v>3866</v>
      </c>
      <c r="C1177" s="2974">
        <v>-1</v>
      </c>
      <c r="D1177" s="2976" t="s">
        <v>4066</v>
      </c>
      <c r="E1177" s="2976">
        <v>12.84</v>
      </c>
      <c r="F1177" s="2974" t="s">
        <v>3868</v>
      </c>
      <c r="G1177" s="2973" t="s">
        <v>3857</v>
      </c>
    </row>
    <row r="1178" spans="1:7" hidden="1">
      <c r="A1178" s="2973">
        <v>1177</v>
      </c>
      <c r="B1178" s="2974" t="s">
        <v>3866</v>
      </c>
      <c r="C1178" s="2974">
        <v>-1</v>
      </c>
      <c r="D1178" s="2976" t="s">
        <v>4067</v>
      </c>
      <c r="E1178" s="2976">
        <v>12.84</v>
      </c>
      <c r="F1178" s="2974" t="s">
        <v>3868</v>
      </c>
      <c r="G1178" s="2973" t="s">
        <v>3857</v>
      </c>
    </row>
    <row r="1179" spans="1:7" hidden="1">
      <c r="A1179" s="2973">
        <v>1178</v>
      </c>
      <c r="B1179" s="2974" t="s">
        <v>3866</v>
      </c>
      <c r="C1179" s="2974">
        <v>-1</v>
      </c>
      <c r="D1179" s="2976" t="s">
        <v>4068</v>
      </c>
      <c r="E1179" s="2976">
        <v>12.84</v>
      </c>
      <c r="F1179" s="2974" t="s">
        <v>3868</v>
      </c>
      <c r="G1179" s="2973" t="s">
        <v>3857</v>
      </c>
    </row>
    <row r="1180" spans="1:7" hidden="1">
      <c r="A1180" s="2973">
        <v>1179</v>
      </c>
      <c r="B1180" s="2974" t="s">
        <v>3866</v>
      </c>
      <c r="C1180" s="2974">
        <v>-1</v>
      </c>
      <c r="D1180" s="2976" t="s">
        <v>4069</v>
      </c>
      <c r="E1180" s="2976">
        <v>12.84</v>
      </c>
      <c r="F1180" s="2974" t="s">
        <v>3868</v>
      </c>
      <c r="G1180" s="2973" t="s">
        <v>3857</v>
      </c>
    </row>
    <row r="1181" spans="1:7" hidden="1">
      <c r="A1181" s="2973">
        <v>1180</v>
      </c>
      <c r="B1181" s="2974" t="s">
        <v>3866</v>
      </c>
      <c r="C1181" s="2974">
        <v>-1</v>
      </c>
      <c r="D1181" s="2976" t="s">
        <v>4070</v>
      </c>
      <c r="E1181" s="2976">
        <v>12.84</v>
      </c>
      <c r="F1181" s="2974" t="s">
        <v>3868</v>
      </c>
      <c r="G1181" s="2973" t="s">
        <v>3857</v>
      </c>
    </row>
    <row r="1182" spans="1:7" hidden="1">
      <c r="A1182" s="2973">
        <v>1181</v>
      </c>
      <c r="B1182" s="2974" t="s">
        <v>3866</v>
      </c>
      <c r="C1182" s="2974">
        <v>-1</v>
      </c>
      <c r="D1182" s="2976" t="s">
        <v>4071</v>
      </c>
      <c r="E1182" s="2976">
        <v>12.84</v>
      </c>
      <c r="F1182" s="2974" t="s">
        <v>3973</v>
      </c>
      <c r="G1182" s="2973" t="s">
        <v>3649</v>
      </c>
    </row>
    <row r="1183" spans="1:7" hidden="1">
      <c r="A1183" s="2973">
        <v>1182</v>
      </c>
      <c r="B1183" s="2974" t="s">
        <v>3974</v>
      </c>
      <c r="C1183" s="2974">
        <v>-1</v>
      </c>
      <c r="D1183" s="2976" t="s">
        <v>4072</v>
      </c>
      <c r="E1183" s="2976">
        <v>12.84</v>
      </c>
      <c r="F1183" s="2974" t="s">
        <v>3973</v>
      </c>
      <c r="G1183" s="2973" t="s">
        <v>3649</v>
      </c>
    </row>
    <row r="1184" spans="1:7" hidden="1">
      <c r="A1184" s="2973">
        <v>1183</v>
      </c>
      <c r="B1184" s="2974" t="s">
        <v>3974</v>
      </c>
      <c r="C1184" s="2974">
        <v>-1</v>
      </c>
      <c r="D1184" s="2976" t="s">
        <v>4073</v>
      </c>
      <c r="E1184" s="2976">
        <v>12.84</v>
      </c>
      <c r="F1184" s="2974" t="s">
        <v>3973</v>
      </c>
      <c r="G1184" s="2973" t="s">
        <v>3649</v>
      </c>
    </row>
    <row r="1185" spans="1:7" hidden="1">
      <c r="A1185" s="2973">
        <v>1184</v>
      </c>
      <c r="B1185" s="2974" t="s">
        <v>3974</v>
      </c>
      <c r="C1185" s="2974">
        <v>-1</v>
      </c>
      <c r="D1185" s="2976" t="s">
        <v>4074</v>
      </c>
      <c r="E1185" s="2976">
        <v>12.84</v>
      </c>
      <c r="F1185" s="2974" t="s">
        <v>3973</v>
      </c>
      <c r="G1185" s="2973" t="s">
        <v>3649</v>
      </c>
    </row>
    <row r="1186" spans="1:7" hidden="1">
      <c r="A1186" s="2973">
        <v>1185</v>
      </c>
      <c r="B1186" s="2974" t="s">
        <v>3974</v>
      </c>
      <c r="C1186" s="2974">
        <v>-1</v>
      </c>
      <c r="D1186" s="2976" t="s">
        <v>4075</v>
      </c>
      <c r="E1186" s="2976">
        <v>12.84</v>
      </c>
      <c r="F1186" s="2974" t="s">
        <v>3973</v>
      </c>
      <c r="G1186" s="2973" t="s">
        <v>3649</v>
      </c>
    </row>
    <row r="1187" spans="1:7" hidden="1">
      <c r="A1187" s="2973">
        <v>1186</v>
      </c>
      <c r="B1187" s="2974" t="s">
        <v>3974</v>
      </c>
      <c r="C1187" s="2974">
        <v>-1</v>
      </c>
      <c r="D1187" s="2976" t="s">
        <v>4076</v>
      </c>
      <c r="E1187" s="2976">
        <v>12.84</v>
      </c>
      <c r="F1187" s="2974" t="s">
        <v>3973</v>
      </c>
      <c r="G1187" s="2973" t="s">
        <v>3649</v>
      </c>
    </row>
    <row r="1188" spans="1:7" hidden="1">
      <c r="A1188" s="2973">
        <v>1187</v>
      </c>
      <c r="B1188" s="2974" t="s">
        <v>3974</v>
      </c>
      <c r="C1188" s="2974">
        <v>-1</v>
      </c>
      <c r="D1188" s="2976" t="s">
        <v>4077</v>
      </c>
      <c r="E1188" s="2976">
        <v>12.84</v>
      </c>
      <c r="F1188" s="2974" t="s">
        <v>3973</v>
      </c>
      <c r="G1188" s="2973" t="s">
        <v>3649</v>
      </c>
    </row>
    <row r="1189" spans="1:7" hidden="1">
      <c r="A1189" s="2973">
        <v>1188</v>
      </c>
      <c r="B1189" s="2974" t="s">
        <v>3974</v>
      </c>
      <c r="C1189" s="2974">
        <v>-1</v>
      </c>
      <c r="D1189" s="2976" t="s">
        <v>4078</v>
      </c>
      <c r="E1189" s="2976">
        <v>12.84</v>
      </c>
      <c r="F1189" s="2974" t="s">
        <v>3973</v>
      </c>
      <c r="G1189" s="2973" t="s">
        <v>3649</v>
      </c>
    </row>
    <row r="1190" spans="1:7" hidden="1">
      <c r="A1190" s="2973">
        <v>1189</v>
      </c>
      <c r="B1190" s="2974" t="s">
        <v>3974</v>
      </c>
      <c r="C1190" s="2974">
        <v>-1</v>
      </c>
      <c r="D1190" s="2976" t="s">
        <v>4079</v>
      </c>
      <c r="E1190" s="2976">
        <v>12.84</v>
      </c>
      <c r="F1190" s="2974" t="s">
        <v>3973</v>
      </c>
      <c r="G1190" s="2973" t="s">
        <v>3649</v>
      </c>
    </row>
    <row r="1191" spans="1:7" hidden="1">
      <c r="A1191" s="2973">
        <v>1190</v>
      </c>
      <c r="B1191" s="2974" t="s">
        <v>3974</v>
      </c>
      <c r="C1191" s="2974">
        <v>-1</v>
      </c>
      <c r="D1191" s="2976" t="s">
        <v>4080</v>
      </c>
      <c r="E1191" s="2976">
        <v>12.84</v>
      </c>
      <c r="F1191" s="2974" t="s">
        <v>3973</v>
      </c>
      <c r="G1191" s="2973" t="s">
        <v>3649</v>
      </c>
    </row>
    <row r="1192" spans="1:7" hidden="1">
      <c r="A1192" s="2973">
        <v>1191</v>
      </c>
      <c r="B1192" s="2974" t="s">
        <v>3974</v>
      </c>
      <c r="C1192" s="2974">
        <v>-1</v>
      </c>
      <c r="D1192" s="2976" t="s">
        <v>4081</v>
      </c>
      <c r="E1192" s="2976">
        <v>12.84</v>
      </c>
      <c r="F1192" s="2974" t="s">
        <v>3973</v>
      </c>
      <c r="G1192" s="2973" t="s">
        <v>3649</v>
      </c>
    </row>
    <row r="1193" spans="1:7" hidden="1">
      <c r="A1193" s="2973">
        <v>1192</v>
      </c>
      <c r="B1193" s="2974" t="s">
        <v>3974</v>
      </c>
      <c r="C1193" s="2974">
        <v>-1</v>
      </c>
      <c r="D1193" s="2976" t="s">
        <v>4082</v>
      </c>
      <c r="E1193" s="2976">
        <v>12.84</v>
      </c>
      <c r="F1193" s="2974" t="s">
        <v>3973</v>
      </c>
      <c r="G1193" s="2973" t="s">
        <v>3649</v>
      </c>
    </row>
    <row r="1194" spans="1:7" hidden="1">
      <c r="A1194" s="2973">
        <v>1193</v>
      </c>
      <c r="B1194" s="2974" t="s">
        <v>3974</v>
      </c>
      <c r="C1194" s="2974">
        <v>-1</v>
      </c>
      <c r="D1194" s="2976" t="s">
        <v>4083</v>
      </c>
      <c r="E1194" s="2976">
        <v>12.84</v>
      </c>
      <c r="F1194" s="2974" t="s">
        <v>3973</v>
      </c>
      <c r="G1194" s="2973" t="s">
        <v>3649</v>
      </c>
    </row>
    <row r="1195" spans="1:7" hidden="1">
      <c r="A1195" s="2973">
        <v>1194</v>
      </c>
      <c r="B1195" s="2974" t="s">
        <v>3974</v>
      </c>
      <c r="C1195" s="2974">
        <v>-1</v>
      </c>
      <c r="D1195" s="2976" t="s">
        <v>4084</v>
      </c>
      <c r="E1195" s="2976">
        <v>12.84</v>
      </c>
      <c r="F1195" s="2974" t="s">
        <v>3973</v>
      </c>
      <c r="G1195" s="2973" t="s">
        <v>3649</v>
      </c>
    </row>
    <row r="1196" spans="1:7" hidden="1">
      <c r="A1196" s="2973">
        <v>1195</v>
      </c>
      <c r="B1196" s="2974" t="s">
        <v>3974</v>
      </c>
      <c r="C1196" s="2974">
        <v>-1</v>
      </c>
      <c r="D1196" s="2976" t="s">
        <v>4085</v>
      </c>
      <c r="E1196" s="2976">
        <v>12.84</v>
      </c>
      <c r="F1196" s="2974" t="s">
        <v>3973</v>
      </c>
      <c r="G1196" s="2973" t="s">
        <v>3649</v>
      </c>
    </row>
    <row r="1197" spans="1:7" hidden="1">
      <c r="A1197" s="2973">
        <v>1196</v>
      </c>
      <c r="B1197" s="2974" t="s">
        <v>3974</v>
      </c>
      <c r="C1197" s="2974">
        <v>-1</v>
      </c>
      <c r="D1197" s="2976" t="s">
        <v>4086</v>
      </c>
      <c r="E1197" s="2976">
        <v>12.84</v>
      </c>
      <c r="F1197" s="2974" t="s">
        <v>3973</v>
      </c>
      <c r="G1197" s="2973" t="s">
        <v>3649</v>
      </c>
    </row>
    <row r="1198" spans="1:7" hidden="1">
      <c r="A1198" s="2973">
        <v>1197</v>
      </c>
      <c r="B1198" s="2974" t="s">
        <v>3974</v>
      </c>
      <c r="C1198" s="2974">
        <v>-1</v>
      </c>
      <c r="D1198" s="2976" t="s">
        <v>4087</v>
      </c>
      <c r="E1198" s="2976">
        <v>12.84</v>
      </c>
      <c r="F1198" s="2974" t="s">
        <v>3973</v>
      </c>
      <c r="G1198" s="2973" t="s">
        <v>3649</v>
      </c>
    </row>
    <row r="1199" spans="1:7" hidden="1">
      <c r="A1199" s="2973">
        <v>1198</v>
      </c>
      <c r="B1199" s="2974" t="s">
        <v>3974</v>
      </c>
      <c r="C1199" s="2974">
        <v>-1</v>
      </c>
      <c r="D1199" s="2976" t="s">
        <v>4088</v>
      </c>
      <c r="E1199" s="2976">
        <v>12.84</v>
      </c>
      <c r="F1199" s="2974" t="s">
        <v>3973</v>
      </c>
      <c r="G1199" s="2973" t="s">
        <v>3649</v>
      </c>
    </row>
    <row r="1200" spans="1:7" hidden="1">
      <c r="A1200" s="2973">
        <v>1199</v>
      </c>
      <c r="B1200" s="2974" t="s">
        <v>3974</v>
      </c>
      <c r="C1200" s="2974">
        <v>-1</v>
      </c>
      <c r="D1200" s="2976" t="s">
        <v>4089</v>
      </c>
      <c r="E1200" s="2976">
        <v>12.84</v>
      </c>
      <c r="F1200" s="2974" t="s">
        <v>3973</v>
      </c>
      <c r="G1200" s="2973" t="s">
        <v>3649</v>
      </c>
    </row>
    <row r="1201" spans="1:7" hidden="1">
      <c r="A1201" s="2973">
        <v>1200</v>
      </c>
      <c r="B1201" s="2974" t="s">
        <v>3974</v>
      </c>
      <c r="C1201" s="2974">
        <v>-1</v>
      </c>
      <c r="D1201" s="2976" t="s">
        <v>4090</v>
      </c>
      <c r="E1201" s="2976">
        <v>12.84</v>
      </c>
      <c r="F1201" s="2974" t="s">
        <v>3973</v>
      </c>
      <c r="G1201" s="2973" t="s">
        <v>3649</v>
      </c>
    </row>
    <row r="1202" spans="1:7" hidden="1">
      <c r="A1202" s="2973">
        <v>1201</v>
      </c>
      <c r="B1202" s="2974" t="s">
        <v>3974</v>
      </c>
      <c r="C1202" s="2974">
        <v>-1</v>
      </c>
      <c r="D1202" s="2976" t="s">
        <v>4091</v>
      </c>
      <c r="E1202" s="2976">
        <v>12.84</v>
      </c>
      <c r="F1202" s="2974" t="s">
        <v>3973</v>
      </c>
      <c r="G1202" s="2973" t="s">
        <v>3649</v>
      </c>
    </row>
    <row r="1203" spans="1:7" hidden="1">
      <c r="A1203" s="2973">
        <v>1202</v>
      </c>
      <c r="B1203" s="2974" t="s">
        <v>3974</v>
      </c>
      <c r="C1203" s="2974">
        <v>-1</v>
      </c>
      <c r="D1203" s="2976" t="s">
        <v>4092</v>
      </c>
      <c r="E1203" s="2976">
        <v>12.84</v>
      </c>
      <c r="F1203" s="2974" t="s">
        <v>3973</v>
      </c>
      <c r="G1203" s="2973" t="s">
        <v>3649</v>
      </c>
    </row>
    <row r="1204" spans="1:7" hidden="1">
      <c r="A1204" s="2973">
        <v>1203</v>
      </c>
      <c r="B1204" s="2974" t="s">
        <v>3974</v>
      </c>
      <c r="C1204" s="2974">
        <v>-1</v>
      </c>
      <c r="D1204" s="2976" t="s">
        <v>4093</v>
      </c>
      <c r="E1204" s="2976">
        <v>12.84</v>
      </c>
      <c r="F1204" s="2974" t="s">
        <v>3973</v>
      </c>
      <c r="G1204" s="2973" t="s">
        <v>3649</v>
      </c>
    </row>
    <row r="1205" spans="1:7" hidden="1">
      <c r="A1205" s="2973">
        <v>1204</v>
      </c>
      <c r="B1205" s="2974" t="s">
        <v>3974</v>
      </c>
      <c r="C1205" s="2974">
        <v>-1</v>
      </c>
      <c r="D1205" s="2976" t="s">
        <v>4094</v>
      </c>
      <c r="E1205" s="2976">
        <v>12.84</v>
      </c>
      <c r="F1205" s="2974" t="s">
        <v>3973</v>
      </c>
      <c r="G1205" s="2973" t="s">
        <v>3649</v>
      </c>
    </row>
    <row r="1206" spans="1:7" hidden="1">
      <c r="A1206" s="2973">
        <v>1205</v>
      </c>
      <c r="B1206" s="2974" t="s">
        <v>3974</v>
      </c>
      <c r="C1206" s="2974">
        <v>-1</v>
      </c>
      <c r="D1206" s="2976" t="s">
        <v>4095</v>
      </c>
      <c r="E1206" s="2976">
        <v>12.84</v>
      </c>
      <c r="F1206" s="2974" t="s">
        <v>3973</v>
      </c>
      <c r="G1206" s="2973" t="s">
        <v>3649</v>
      </c>
    </row>
    <row r="1207" spans="1:7" hidden="1">
      <c r="A1207" s="2973">
        <v>1206</v>
      </c>
      <c r="B1207" s="2974" t="s">
        <v>3974</v>
      </c>
      <c r="C1207" s="2974">
        <v>-1</v>
      </c>
      <c r="D1207" s="2976" t="s">
        <v>4096</v>
      </c>
      <c r="E1207" s="2976">
        <v>12.84</v>
      </c>
      <c r="F1207" s="2974" t="s">
        <v>3973</v>
      </c>
      <c r="G1207" s="2973" t="s">
        <v>3649</v>
      </c>
    </row>
    <row r="1208" spans="1:7" hidden="1">
      <c r="A1208" s="2973">
        <v>1207</v>
      </c>
      <c r="B1208" s="2974" t="s">
        <v>3974</v>
      </c>
      <c r="C1208" s="2974">
        <v>-1</v>
      </c>
      <c r="D1208" s="2976" t="s">
        <v>4097</v>
      </c>
      <c r="E1208" s="2976">
        <v>12.84</v>
      </c>
      <c r="F1208" s="2974" t="s">
        <v>3973</v>
      </c>
      <c r="G1208" s="2973" t="s">
        <v>3649</v>
      </c>
    </row>
    <row r="1209" spans="1:7" hidden="1">
      <c r="A1209" s="2973">
        <v>1208</v>
      </c>
      <c r="B1209" s="2974" t="s">
        <v>3974</v>
      </c>
      <c r="C1209" s="2974">
        <v>-1</v>
      </c>
      <c r="D1209" s="2976" t="s">
        <v>4098</v>
      </c>
      <c r="E1209" s="2976">
        <v>12.84</v>
      </c>
      <c r="F1209" s="2974" t="s">
        <v>3973</v>
      </c>
      <c r="G1209" s="2973" t="s">
        <v>3649</v>
      </c>
    </row>
    <row r="1210" spans="1:7" hidden="1">
      <c r="A1210" s="2973">
        <v>1209</v>
      </c>
      <c r="B1210" s="2974" t="s">
        <v>3974</v>
      </c>
      <c r="C1210" s="2974">
        <v>-1</v>
      </c>
      <c r="D1210" s="2976" t="s">
        <v>4099</v>
      </c>
      <c r="E1210" s="2976">
        <v>12.84</v>
      </c>
      <c r="F1210" s="2974" t="s">
        <v>3973</v>
      </c>
      <c r="G1210" s="2973" t="s">
        <v>3649</v>
      </c>
    </row>
    <row r="1211" spans="1:7" hidden="1">
      <c r="A1211" s="2973">
        <v>1210</v>
      </c>
      <c r="B1211" s="2974" t="s">
        <v>3974</v>
      </c>
      <c r="C1211" s="2974">
        <v>-1</v>
      </c>
      <c r="D1211" s="2976" t="s">
        <v>4100</v>
      </c>
      <c r="E1211" s="2976">
        <v>12.84</v>
      </c>
      <c r="F1211" s="2974" t="s">
        <v>3973</v>
      </c>
      <c r="G1211" s="2973" t="s">
        <v>3649</v>
      </c>
    </row>
    <row r="1212" spans="1:7" hidden="1">
      <c r="A1212" s="2973">
        <v>1211</v>
      </c>
      <c r="B1212" s="2974" t="s">
        <v>3974</v>
      </c>
      <c r="C1212" s="2974">
        <v>-1</v>
      </c>
      <c r="D1212" s="2976" t="s">
        <v>4101</v>
      </c>
      <c r="E1212" s="2976">
        <v>12.84</v>
      </c>
      <c r="F1212" s="2974" t="s">
        <v>3973</v>
      </c>
      <c r="G1212" s="2973" t="s">
        <v>3649</v>
      </c>
    </row>
    <row r="1213" spans="1:7" hidden="1">
      <c r="A1213" s="2973">
        <v>1212</v>
      </c>
      <c r="B1213" s="2974" t="s">
        <v>3974</v>
      </c>
      <c r="C1213" s="2974">
        <v>-1</v>
      </c>
      <c r="D1213" s="2976" t="s">
        <v>4102</v>
      </c>
      <c r="E1213" s="2976">
        <v>12.84</v>
      </c>
      <c r="F1213" s="2974" t="s">
        <v>3973</v>
      </c>
      <c r="G1213" s="2973" t="s">
        <v>3649</v>
      </c>
    </row>
    <row r="1214" spans="1:7" hidden="1">
      <c r="A1214" s="2973">
        <v>1213</v>
      </c>
      <c r="B1214" s="2974" t="s">
        <v>3974</v>
      </c>
      <c r="C1214" s="2974">
        <v>-1</v>
      </c>
      <c r="D1214" s="2976" t="s">
        <v>4103</v>
      </c>
      <c r="E1214" s="2976">
        <v>12.84</v>
      </c>
      <c r="F1214" s="2974" t="s">
        <v>3973</v>
      </c>
      <c r="G1214" s="2973" t="s">
        <v>3649</v>
      </c>
    </row>
    <row r="1215" spans="1:7" hidden="1">
      <c r="A1215" s="2973">
        <v>1214</v>
      </c>
      <c r="B1215" s="2974" t="s">
        <v>3974</v>
      </c>
      <c r="C1215" s="2974">
        <v>-1</v>
      </c>
      <c r="D1215" s="2976" t="s">
        <v>4104</v>
      </c>
      <c r="E1215" s="2976">
        <v>12.84</v>
      </c>
      <c r="F1215" s="2974" t="s">
        <v>3973</v>
      </c>
      <c r="G1215" s="2973" t="s">
        <v>3649</v>
      </c>
    </row>
    <row r="1216" spans="1:7" hidden="1">
      <c r="A1216" s="2973">
        <v>1215</v>
      </c>
      <c r="B1216" s="2974" t="s">
        <v>3974</v>
      </c>
      <c r="C1216" s="2974">
        <v>-1</v>
      </c>
      <c r="D1216" s="2976" t="s">
        <v>4105</v>
      </c>
      <c r="E1216" s="2976">
        <v>12.84</v>
      </c>
      <c r="F1216" s="2974" t="s">
        <v>3973</v>
      </c>
      <c r="G1216" s="2973" t="s">
        <v>3649</v>
      </c>
    </row>
    <row r="1217" spans="1:7" hidden="1">
      <c r="A1217" s="2973">
        <v>1216</v>
      </c>
      <c r="B1217" s="2974" t="s">
        <v>3974</v>
      </c>
      <c r="C1217" s="2974">
        <v>-1</v>
      </c>
      <c r="D1217" s="2976" t="s">
        <v>4106</v>
      </c>
      <c r="E1217" s="2976">
        <v>12.84</v>
      </c>
      <c r="F1217" s="2974" t="s">
        <v>3973</v>
      </c>
      <c r="G1217" s="2973" t="s">
        <v>3649</v>
      </c>
    </row>
    <row r="1218" spans="1:7" hidden="1">
      <c r="A1218" s="2973">
        <v>1217</v>
      </c>
      <c r="B1218" s="2974" t="s">
        <v>3974</v>
      </c>
      <c r="C1218" s="2974">
        <v>-1</v>
      </c>
      <c r="D1218" s="2976" t="s">
        <v>4107</v>
      </c>
      <c r="E1218" s="2976">
        <v>12.84</v>
      </c>
      <c r="F1218" s="2974" t="s">
        <v>3973</v>
      </c>
      <c r="G1218" s="2973" t="s">
        <v>3649</v>
      </c>
    </row>
    <row r="1219" spans="1:7" hidden="1">
      <c r="A1219" s="2973">
        <v>1218</v>
      </c>
      <c r="B1219" s="2974" t="s">
        <v>3974</v>
      </c>
      <c r="C1219" s="2974">
        <v>-1</v>
      </c>
      <c r="D1219" s="2976" t="s">
        <v>4108</v>
      </c>
      <c r="E1219" s="2976">
        <v>12.84</v>
      </c>
      <c r="F1219" s="2974" t="s">
        <v>3973</v>
      </c>
      <c r="G1219" s="2973" t="s">
        <v>3649</v>
      </c>
    </row>
    <row r="1220" spans="1:7" hidden="1">
      <c r="A1220" s="2973">
        <v>1219</v>
      </c>
      <c r="B1220" s="2974" t="s">
        <v>3974</v>
      </c>
      <c r="C1220" s="2974">
        <v>-1</v>
      </c>
      <c r="D1220" s="2976" t="s">
        <v>4109</v>
      </c>
      <c r="E1220" s="2976">
        <v>12.84</v>
      </c>
      <c r="F1220" s="2974" t="s">
        <v>3973</v>
      </c>
      <c r="G1220" s="2973" t="s">
        <v>3649</v>
      </c>
    </row>
    <row r="1221" spans="1:7" hidden="1">
      <c r="A1221" s="2973">
        <v>1220</v>
      </c>
      <c r="B1221" s="2974" t="s">
        <v>3974</v>
      </c>
      <c r="C1221" s="2974">
        <v>-1</v>
      </c>
      <c r="D1221" s="2976" t="s">
        <v>4110</v>
      </c>
      <c r="E1221" s="2976">
        <v>12.84</v>
      </c>
      <c r="F1221" s="2974" t="s">
        <v>3973</v>
      </c>
      <c r="G1221" s="2973" t="s">
        <v>3649</v>
      </c>
    </row>
    <row r="1222" spans="1:7" hidden="1">
      <c r="A1222" s="2973">
        <v>1221</v>
      </c>
      <c r="B1222" s="2974" t="s">
        <v>3974</v>
      </c>
      <c r="C1222" s="2974">
        <v>-1</v>
      </c>
      <c r="D1222" s="2976" t="s">
        <v>4111</v>
      </c>
      <c r="E1222" s="2976">
        <v>12.84</v>
      </c>
      <c r="F1222" s="2974" t="s">
        <v>3973</v>
      </c>
      <c r="G1222" s="2973" t="s">
        <v>3649</v>
      </c>
    </row>
    <row r="1223" spans="1:7" hidden="1">
      <c r="A1223" s="2973">
        <v>1222</v>
      </c>
      <c r="B1223" s="2974" t="s">
        <v>3974</v>
      </c>
      <c r="C1223" s="2974">
        <v>-1</v>
      </c>
      <c r="D1223" s="2976" t="s">
        <v>4112</v>
      </c>
      <c r="E1223" s="2976">
        <v>12.84</v>
      </c>
      <c r="F1223" s="2974" t="s">
        <v>3973</v>
      </c>
      <c r="G1223" s="2973" t="s">
        <v>3649</v>
      </c>
    </row>
    <row r="1224" spans="1:7" hidden="1">
      <c r="A1224" s="2973">
        <v>1223</v>
      </c>
      <c r="B1224" s="2974" t="s">
        <v>3974</v>
      </c>
      <c r="C1224" s="2974">
        <v>-1</v>
      </c>
      <c r="D1224" s="2976" t="s">
        <v>4113</v>
      </c>
      <c r="E1224" s="2976">
        <v>12.84</v>
      </c>
      <c r="F1224" s="2974" t="s">
        <v>3973</v>
      </c>
      <c r="G1224" s="2973" t="s">
        <v>3649</v>
      </c>
    </row>
    <row r="1225" spans="1:7" hidden="1">
      <c r="A1225" s="2973">
        <v>1224</v>
      </c>
      <c r="B1225" s="2974" t="s">
        <v>3974</v>
      </c>
      <c r="C1225" s="2974">
        <v>-1</v>
      </c>
      <c r="D1225" s="2976" t="s">
        <v>4114</v>
      </c>
      <c r="E1225" s="2976">
        <v>12.84</v>
      </c>
      <c r="F1225" s="2974" t="s">
        <v>3973</v>
      </c>
      <c r="G1225" s="2973" t="s">
        <v>3649</v>
      </c>
    </row>
    <row r="1226" spans="1:7" hidden="1">
      <c r="A1226" s="2973">
        <v>1225</v>
      </c>
      <c r="B1226" s="2974" t="s">
        <v>3974</v>
      </c>
      <c r="C1226" s="2974">
        <v>-1</v>
      </c>
      <c r="D1226" s="2976" t="s">
        <v>4115</v>
      </c>
      <c r="E1226" s="2976">
        <v>12.84</v>
      </c>
      <c r="F1226" s="2974" t="s">
        <v>3973</v>
      </c>
      <c r="G1226" s="2973" t="s">
        <v>3649</v>
      </c>
    </row>
    <row r="1227" spans="1:7" hidden="1">
      <c r="A1227" s="2973">
        <v>1226</v>
      </c>
      <c r="B1227" s="2974" t="s">
        <v>3974</v>
      </c>
      <c r="C1227" s="2974">
        <v>-1</v>
      </c>
      <c r="D1227" s="2976" t="s">
        <v>4116</v>
      </c>
      <c r="E1227" s="2976">
        <v>12.84</v>
      </c>
      <c r="F1227" s="2974" t="s">
        <v>3973</v>
      </c>
      <c r="G1227" s="2973" t="s">
        <v>3649</v>
      </c>
    </row>
    <row r="1228" spans="1:7" hidden="1">
      <c r="A1228" s="2973">
        <v>1227</v>
      </c>
      <c r="B1228" s="2974" t="s">
        <v>3974</v>
      </c>
      <c r="C1228" s="2974">
        <v>-1</v>
      </c>
      <c r="D1228" s="2976" t="s">
        <v>4117</v>
      </c>
      <c r="E1228" s="2976">
        <v>12.84</v>
      </c>
      <c r="F1228" s="2974" t="s">
        <v>3973</v>
      </c>
      <c r="G1228" s="2973" t="s">
        <v>3649</v>
      </c>
    </row>
    <row r="1229" spans="1:7" hidden="1">
      <c r="A1229" s="2973">
        <v>1228</v>
      </c>
      <c r="B1229" s="2974" t="s">
        <v>3974</v>
      </c>
      <c r="C1229" s="2974">
        <v>-1</v>
      </c>
      <c r="D1229" s="2976" t="s">
        <v>4118</v>
      </c>
      <c r="E1229" s="2976">
        <v>12.84</v>
      </c>
      <c r="F1229" s="2974" t="s">
        <v>3973</v>
      </c>
      <c r="G1229" s="2973" t="s">
        <v>3649</v>
      </c>
    </row>
    <row r="1230" spans="1:7" hidden="1">
      <c r="A1230" s="2973">
        <v>1229</v>
      </c>
      <c r="B1230" s="2974" t="s">
        <v>3974</v>
      </c>
      <c r="C1230" s="2974">
        <v>-1</v>
      </c>
      <c r="D1230" s="2976" t="s">
        <v>4119</v>
      </c>
      <c r="E1230" s="2976">
        <v>12.84</v>
      </c>
      <c r="F1230" s="2974" t="s">
        <v>3973</v>
      </c>
      <c r="G1230" s="2973" t="s">
        <v>3649</v>
      </c>
    </row>
    <row r="1231" spans="1:7" hidden="1">
      <c r="A1231" s="2973">
        <v>1230</v>
      </c>
      <c r="B1231" s="2974" t="s">
        <v>3974</v>
      </c>
      <c r="C1231" s="2974">
        <v>-1</v>
      </c>
      <c r="D1231" s="2976" t="s">
        <v>4120</v>
      </c>
      <c r="E1231" s="2976">
        <v>12.84</v>
      </c>
      <c r="F1231" s="2974" t="s">
        <v>3973</v>
      </c>
      <c r="G1231" s="2973" t="s">
        <v>3649</v>
      </c>
    </row>
    <row r="1232" spans="1:7" hidden="1">
      <c r="A1232" s="2973">
        <v>1231</v>
      </c>
      <c r="B1232" s="2974" t="s">
        <v>3974</v>
      </c>
      <c r="C1232" s="2974">
        <v>-1</v>
      </c>
      <c r="D1232" s="2976" t="s">
        <v>4121</v>
      </c>
      <c r="E1232" s="2976">
        <v>12.84</v>
      </c>
      <c r="F1232" s="2974" t="s">
        <v>3973</v>
      </c>
      <c r="G1232" s="2973" t="s">
        <v>3649</v>
      </c>
    </row>
    <row r="1233" spans="1:7" hidden="1">
      <c r="A1233" s="2973">
        <v>1232</v>
      </c>
      <c r="B1233" s="2974" t="s">
        <v>3974</v>
      </c>
      <c r="C1233" s="2974">
        <v>-1</v>
      </c>
      <c r="D1233" s="2976" t="s">
        <v>4122</v>
      </c>
      <c r="E1233" s="2976">
        <v>12.84</v>
      </c>
      <c r="F1233" s="2974" t="s">
        <v>3973</v>
      </c>
      <c r="G1233" s="2973" t="s">
        <v>3649</v>
      </c>
    </row>
    <row r="1234" spans="1:7" hidden="1">
      <c r="A1234" s="2973">
        <v>1233</v>
      </c>
      <c r="B1234" s="2974" t="s">
        <v>3974</v>
      </c>
      <c r="C1234" s="2974">
        <v>-1</v>
      </c>
      <c r="D1234" s="2976" t="s">
        <v>4123</v>
      </c>
      <c r="E1234" s="2976">
        <v>12.84</v>
      </c>
      <c r="F1234" s="2974" t="s">
        <v>3973</v>
      </c>
      <c r="G1234" s="2973" t="s">
        <v>3649</v>
      </c>
    </row>
    <row r="1235" spans="1:7" hidden="1">
      <c r="A1235" s="2973">
        <v>1234</v>
      </c>
      <c r="B1235" s="2974" t="s">
        <v>3974</v>
      </c>
      <c r="C1235" s="2974">
        <v>-1</v>
      </c>
      <c r="D1235" s="2976" t="s">
        <v>4124</v>
      </c>
      <c r="E1235" s="2976">
        <v>12.84</v>
      </c>
      <c r="F1235" s="2974" t="s">
        <v>3973</v>
      </c>
      <c r="G1235" s="2973" t="s">
        <v>3649</v>
      </c>
    </row>
    <row r="1236" spans="1:7" hidden="1">
      <c r="A1236" s="2973">
        <v>1235</v>
      </c>
      <c r="B1236" s="2974" t="s">
        <v>3974</v>
      </c>
      <c r="C1236" s="2974">
        <v>-1</v>
      </c>
      <c r="D1236" s="2976" t="s">
        <v>4125</v>
      </c>
      <c r="E1236" s="2976">
        <v>12.84</v>
      </c>
      <c r="F1236" s="2974" t="s">
        <v>3973</v>
      </c>
      <c r="G1236" s="2973" t="s">
        <v>3649</v>
      </c>
    </row>
    <row r="1237" spans="1:7" hidden="1">
      <c r="A1237" s="2973">
        <v>1236</v>
      </c>
      <c r="B1237" s="2974" t="s">
        <v>3974</v>
      </c>
      <c r="C1237" s="2974">
        <v>-1</v>
      </c>
      <c r="D1237" s="2976" t="s">
        <v>4126</v>
      </c>
      <c r="E1237" s="2976">
        <v>12.84</v>
      </c>
      <c r="F1237" s="2974" t="s">
        <v>3973</v>
      </c>
      <c r="G1237" s="2973" t="s">
        <v>3649</v>
      </c>
    </row>
    <row r="1238" spans="1:7" hidden="1">
      <c r="A1238" s="2973">
        <v>1237</v>
      </c>
      <c r="B1238" s="2974" t="s">
        <v>3974</v>
      </c>
      <c r="C1238" s="2974">
        <v>-1</v>
      </c>
      <c r="D1238" s="2976" t="s">
        <v>4127</v>
      </c>
      <c r="E1238" s="2976">
        <v>12.84</v>
      </c>
      <c r="F1238" s="2974" t="s">
        <v>3973</v>
      </c>
      <c r="G1238" s="2973" t="s">
        <v>3649</v>
      </c>
    </row>
    <row r="1239" spans="1:7" hidden="1">
      <c r="A1239" s="2973">
        <v>1238</v>
      </c>
      <c r="B1239" s="2974" t="s">
        <v>3974</v>
      </c>
      <c r="C1239" s="2974">
        <v>-1</v>
      </c>
      <c r="D1239" s="2976" t="s">
        <v>4128</v>
      </c>
      <c r="E1239" s="2976">
        <v>12.84</v>
      </c>
      <c r="F1239" s="2974" t="s">
        <v>3973</v>
      </c>
      <c r="G1239" s="2973" t="s">
        <v>3649</v>
      </c>
    </row>
    <row r="1240" spans="1:7" hidden="1">
      <c r="A1240" s="2973">
        <v>1239</v>
      </c>
      <c r="B1240" s="2974" t="s">
        <v>3974</v>
      </c>
      <c r="C1240" s="2974">
        <v>-1</v>
      </c>
      <c r="D1240" s="2976" t="s">
        <v>4129</v>
      </c>
      <c r="E1240" s="2976">
        <v>12.84</v>
      </c>
      <c r="F1240" s="2974" t="s">
        <v>3973</v>
      </c>
      <c r="G1240" s="2973" t="s">
        <v>3649</v>
      </c>
    </row>
    <row r="1241" spans="1:7" hidden="1">
      <c r="A1241" s="2973">
        <v>1240</v>
      </c>
      <c r="B1241" s="2974" t="s">
        <v>3974</v>
      </c>
      <c r="C1241" s="2974">
        <v>-1</v>
      </c>
      <c r="D1241" s="2976" t="s">
        <v>4130</v>
      </c>
      <c r="E1241" s="2976">
        <v>12.84</v>
      </c>
      <c r="F1241" s="2974" t="s">
        <v>3973</v>
      </c>
      <c r="G1241" s="2973" t="s">
        <v>3649</v>
      </c>
    </row>
    <row r="1242" spans="1:7" hidden="1">
      <c r="A1242" s="2973">
        <v>1241</v>
      </c>
      <c r="B1242" s="2974" t="s">
        <v>3974</v>
      </c>
      <c r="C1242" s="2974">
        <v>-1</v>
      </c>
      <c r="D1242" s="2976" t="s">
        <v>4131</v>
      </c>
      <c r="E1242" s="2976">
        <v>12.84</v>
      </c>
      <c r="F1242" s="2974" t="s">
        <v>3973</v>
      </c>
      <c r="G1242" s="2973" t="s">
        <v>3649</v>
      </c>
    </row>
    <row r="1243" spans="1:7" hidden="1">
      <c r="A1243" s="2973">
        <v>1242</v>
      </c>
      <c r="B1243" s="2974" t="s">
        <v>3974</v>
      </c>
      <c r="C1243" s="2974">
        <v>-1</v>
      </c>
      <c r="D1243" s="2976" t="s">
        <v>4132</v>
      </c>
      <c r="E1243" s="2976">
        <v>12.84</v>
      </c>
      <c r="F1243" s="2974" t="s">
        <v>3973</v>
      </c>
      <c r="G1243" s="2973" t="s">
        <v>3649</v>
      </c>
    </row>
    <row r="1244" spans="1:7" hidden="1">
      <c r="A1244" s="2973">
        <v>1243</v>
      </c>
      <c r="B1244" s="2974" t="s">
        <v>3974</v>
      </c>
      <c r="C1244" s="2974">
        <v>-1</v>
      </c>
      <c r="D1244" s="2976" t="s">
        <v>4133</v>
      </c>
      <c r="E1244" s="2976">
        <v>12.84</v>
      </c>
      <c r="F1244" s="2974" t="s">
        <v>3973</v>
      </c>
      <c r="G1244" s="2973" t="s">
        <v>3649</v>
      </c>
    </row>
    <row r="1245" spans="1:7" hidden="1">
      <c r="A1245" s="2973">
        <v>1244</v>
      </c>
      <c r="B1245" s="2974" t="s">
        <v>3974</v>
      </c>
      <c r="C1245" s="2974">
        <v>-1</v>
      </c>
      <c r="D1245" s="2976" t="s">
        <v>4134</v>
      </c>
      <c r="E1245" s="2976">
        <v>12.84</v>
      </c>
      <c r="F1245" s="2974" t="s">
        <v>3973</v>
      </c>
      <c r="G1245" s="2973" t="s">
        <v>3649</v>
      </c>
    </row>
    <row r="1246" spans="1:7" hidden="1">
      <c r="A1246" s="2973">
        <v>1245</v>
      </c>
      <c r="B1246" s="2974" t="s">
        <v>3974</v>
      </c>
      <c r="C1246" s="2974">
        <v>-1</v>
      </c>
      <c r="D1246" s="2976" t="s">
        <v>4135</v>
      </c>
      <c r="E1246" s="2976">
        <v>12.84</v>
      </c>
      <c r="F1246" s="2974" t="s">
        <v>3973</v>
      </c>
      <c r="G1246" s="2973" t="s">
        <v>3649</v>
      </c>
    </row>
    <row r="1247" spans="1:7" hidden="1">
      <c r="A1247" s="2973">
        <v>1246</v>
      </c>
      <c r="B1247" s="2974" t="s">
        <v>3974</v>
      </c>
      <c r="C1247" s="2974">
        <v>-1</v>
      </c>
      <c r="D1247" s="2976" t="s">
        <v>4136</v>
      </c>
      <c r="E1247" s="2976">
        <v>12.84</v>
      </c>
      <c r="F1247" s="2974" t="s">
        <v>3973</v>
      </c>
      <c r="G1247" s="2973" t="s">
        <v>3649</v>
      </c>
    </row>
    <row r="1248" spans="1:7" hidden="1">
      <c r="A1248" s="2973">
        <v>1247</v>
      </c>
      <c r="B1248" s="2974" t="s">
        <v>3974</v>
      </c>
      <c r="C1248" s="2974">
        <v>-1</v>
      </c>
      <c r="D1248" s="2976" t="s">
        <v>4137</v>
      </c>
      <c r="E1248" s="2976">
        <v>12.84</v>
      </c>
      <c r="F1248" s="2974" t="s">
        <v>3973</v>
      </c>
      <c r="G1248" s="2973" t="s">
        <v>3649</v>
      </c>
    </row>
    <row r="1249" spans="1:7" hidden="1">
      <c r="A1249" s="2973">
        <v>1248</v>
      </c>
      <c r="B1249" s="2974" t="s">
        <v>3974</v>
      </c>
      <c r="C1249" s="2974">
        <v>-1</v>
      </c>
      <c r="D1249" s="2976" t="s">
        <v>4138</v>
      </c>
      <c r="E1249" s="2976">
        <v>12.84</v>
      </c>
      <c r="F1249" s="2974" t="s">
        <v>3973</v>
      </c>
      <c r="G1249" s="2973" t="s">
        <v>3649</v>
      </c>
    </row>
    <row r="1250" spans="1:7" hidden="1">
      <c r="A1250" s="2973">
        <v>1249</v>
      </c>
      <c r="B1250" s="2974" t="s">
        <v>3974</v>
      </c>
      <c r="C1250" s="2974">
        <v>-1</v>
      </c>
      <c r="D1250" s="2976" t="s">
        <v>4139</v>
      </c>
      <c r="E1250" s="2976">
        <v>12.84</v>
      </c>
      <c r="F1250" s="2974" t="s">
        <v>3973</v>
      </c>
      <c r="G1250" s="2973" t="s">
        <v>3649</v>
      </c>
    </row>
    <row r="1251" spans="1:7" hidden="1">
      <c r="A1251" s="2973">
        <v>1250</v>
      </c>
      <c r="B1251" s="2974" t="s">
        <v>3974</v>
      </c>
      <c r="C1251" s="2974">
        <v>-1</v>
      </c>
      <c r="D1251" s="2976" t="s">
        <v>4140</v>
      </c>
      <c r="E1251" s="2976">
        <v>12.84</v>
      </c>
      <c r="F1251" s="2974" t="s">
        <v>3973</v>
      </c>
      <c r="G1251" s="2973" t="s">
        <v>3649</v>
      </c>
    </row>
    <row r="1252" spans="1:7" hidden="1">
      <c r="A1252" s="2973">
        <v>1251</v>
      </c>
      <c r="B1252" s="2974" t="s">
        <v>3974</v>
      </c>
      <c r="C1252" s="2974">
        <v>-1</v>
      </c>
      <c r="D1252" s="2976" t="s">
        <v>4141</v>
      </c>
      <c r="E1252" s="2976">
        <v>12.84</v>
      </c>
      <c r="F1252" s="2974" t="s">
        <v>3973</v>
      </c>
      <c r="G1252" s="2973" t="s">
        <v>3649</v>
      </c>
    </row>
    <row r="1253" spans="1:7" hidden="1">
      <c r="A1253" s="2973">
        <v>1252</v>
      </c>
      <c r="B1253" s="2974" t="s">
        <v>3974</v>
      </c>
      <c r="C1253" s="2974">
        <v>-1</v>
      </c>
      <c r="D1253" s="2976" t="s">
        <v>4142</v>
      </c>
      <c r="E1253" s="2976">
        <v>12.84</v>
      </c>
      <c r="F1253" s="2974" t="s">
        <v>3973</v>
      </c>
      <c r="G1253" s="2973" t="s">
        <v>3649</v>
      </c>
    </row>
    <row r="1254" spans="1:7" hidden="1">
      <c r="A1254" s="2973">
        <v>1253</v>
      </c>
      <c r="B1254" s="2974" t="s">
        <v>3974</v>
      </c>
      <c r="C1254" s="2974">
        <v>-1</v>
      </c>
      <c r="D1254" s="2976" t="s">
        <v>4143</v>
      </c>
      <c r="E1254" s="2976">
        <v>12.84</v>
      </c>
      <c r="F1254" s="2974" t="s">
        <v>3973</v>
      </c>
      <c r="G1254" s="2973" t="s">
        <v>3649</v>
      </c>
    </row>
    <row r="1255" spans="1:7" hidden="1">
      <c r="A1255" s="2973">
        <v>1254</v>
      </c>
      <c r="B1255" s="2974" t="s">
        <v>3974</v>
      </c>
      <c r="C1255" s="2974">
        <v>-1</v>
      </c>
      <c r="D1255" s="2976" t="s">
        <v>4144</v>
      </c>
      <c r="E1255" s="2976">
        <v>12.84</v>
      </c>
      <c r="F1255" s="2974" t="s">
        <v>3973</v>
      </c>
      <c r="G1255" s="2973" t="s">
        <v>3649</v>
      </c>
    </row>
    <row r="1256" spans="1:7" hidden="1">
      <c r="A1256" s="2973">
        <v>1255</v>
      </c>
      <c r="B1256" s="2974" t="s">
        <v>3974</v>
      </c>
      <c r="C1256" s="2974">
        <v>-1</v>
      </c>
      <c r="D1256" s="2976" t="s">
        <v>4145</v>
      </c>
      <c r="E1256" s="2976">
        <v>12.84</v>
      </c>
      <c r="F1256" s="2974" t="s">
        <v>3973</v>
      </c>
      <c r="G1256" s="2973" t="s">
        <v>3649</v>
      </c>
    </row>
    <row r="1257" spans="1:7" hidden="1">
      <c r="A1257" s="2973">
        <v>1256</v>
      </c>
      <c r="B1257" s="2974" t="s">
        <v>3974</v>
      </c>
      <c r="C1257" s="2974">
        <v>-1</v>
      </c>
      <c r="D1257" s="2976" t="s">
        <v>4146</v>
      </c>
      <c r="E1257" s="2976">
        <v>12.84</v>
      </c>
      <c r="F1257" s="2974" t="s">
        <v>3973</v>
      </c>
      <c r="G1257" s="2973" t="s">
        <v>3649</v>
      </c>
    </row>
    <row r="1258" spans="1:7" hidden="1">
      <c r="A1258" s="2973">
        <v>1257</v>
      </c>
      <c r="B1258" s="2974" t="s">
        <v>3974</v>
      </c>
      <c r="C1258" s="2974">
        <v>-1</v>
      </c>
      <c r="D1258" s="2976" t="s">
        <v>4147</v>
      </c>
      <c r="E1258" s="2976">
        <v>12.84</v>
      </c>
      <c r="F1258" s="2974" t="s">
        <v>3973</v>
      </c>
      <c r="G1258" s="2973" t="s">
        <v>3649</v>
      </c>
    </row>
    <row r="1259" spans="1:7" hidden="1">
      <c r="A1259" s="2973">
        <v>1258</v>
      </c>
      <c r="B1259" s="2974" t="s">
        <v>3974</v>
      </c>
      <c r="C1259" s="2974">
        <v>-1</v>
      </c>
      <c r="D1259" s="2976" t="s">
        <v>4148</v>
      </c>
      <c r="E1259" s="2976">
        <v>12.84</v>
      </c>
      <c r="F1259" s="2974" t="s">
        <v>3973</v>
      </c>
      <c r="G1259" s="2973" t="s">
        <v>3649</v>
      </c>
    </row>
    <row r="1260" spans="1:7" hidden="1">
      <c r="A1260" s="2973">
        <v>1259</v>
      </c>
      <c r="B1260" s="2974" t="s">
        <v>3974</v>
      </c>
      <c r="C1260" s="2974">
        <v>-1</v>
      </c>
      <c r="D1260" s="2976" t="s">
        <v>4149</v>
      </c>
      <c r="E1260" s="2976">
        <v>12.84</v>
      </c>
      <c r="F1260" s="2974" t="s">
        <v>3973</v>
      </c>
      <c r="G1260" s="2973" t="s">
        <v>3649</v>
      </c>
    </row>
    <row r="1261" spans="1:7" hidden="1">
      <c r="A1261" s="2973">
        <v>1260</v>
      </c>
      <c r="B1261" s="2974" t="s">
        <v>3974</v>
      </c>
      <c r="C1261" s="2974">
        <v>-1</v>
      </c>
      <c r="D1261" s="2976" t="s">
        <v>4150</v>
      </c>
      <c r="E1261" s="2976">
        <v>12.84</v>
      </c>
      <c r="F1261" s="2974" t="s">
        <v>3973</v>
      </c>
      <c r="G1261" s="2973" t="s">
        <v>3649</v>
      </c>
    </row>
    <row r="1262" spans="1:7" hidden="1">
      <c r="A1262" s="2973">
        <v>1261</v>
      </c>
      <c r="B1262" s="2974" t="s">
        <v>3974</v>
      </c>
      <c r="C1262" s="2974">
        <v>-1</v>
      </c>
      <c r="D1262" s="2976" t="s">
        <v>4151</v>
      </c>
      <c r="E1262" s="2976">
        <v>12.84</v>
      </c>
      <c r="F1262" s="2974" t="s">
        <v>3973</v>
      </c>
      <c r="G1262" s="2973" t="s">
        <v>3649</v>
      </c>
    </row>
    <row r="1263" spans="1:7" hidden="1">
      <c r="A1263" s="2973">
        <v>1262</v>
      </c>
      <c r="B1263" s="2974" t="s">
        <v>3974</v>
      </c>
      <c r="C1263" s="2974">
        <v>-1</v>
      </c>
      <c r="D1263" s="2976" t="s">
        <v>4152</v>
      </c>
      <c r="E1263" s="2976">
        <v>12.84</v>
      </c>
      <c r="F1263" s="2974" t="s">
        <v>3973</v>
      </c>
      <c r="G1263" s="2973" t="s">
        <v>3649</v>
      </c>
    </row>
    <row r="1264" spans="1:7" hidden="1">
      <c r="A1264" s="2973">
        <v>1263</v>
      </c>
      <c r="B1264" s="2974" t="s">
        <v>3974</v>
      </c>
      <c r="C1264" s="2974">
        <v>-1</v>
      </c>
      <c r="D1264" s="2976" t="s">
        <v>4153</v>
      </c>
      <c r="E1264" s="2976">
        <v>12.84</v>
      </c>
      <c r="F1264" s="2974" t="s">
        <v>3973</v>
      </c>
      <c r="G1264" s="2973" t="s">
        <v>3649</v>
      </c>
    </row>
    <row r="1265" spans="1:7" hidden="1">
      <c r="A1265" s="2973">
        <v>1264</v>
      </c>
      <c r="B1265" s="2974" t="s">
        <v>3974</v>
      </c>
      <c r="C1265" s="2974">
        <v>-1</v>
      </c>
      <c r="D1265" s="2976" t="s">
        <v>4154</v>
      </c>
      <c r="E1265" s="2976">
        <v>12.84</v>
      </c>
      <c r="F1265" s="2974" t="s">
        <v>3973</v>
      </c>
      <c r="G1265" s="2973" t="s">
        <v>3649</v>
      </c>
    </row>
    <row r="1266" spans="1:7" hidden="1">
      <c r="A1266" s="2973">
        <v>1265</v>
      </c>
      <c r="B1266" s="2974" t="s">
        <v>3974</v>
      </c>
      <c r="C1266" s="2974">
        <v>-1</v>
      </c>
      <c r="D1266" s="2976" t="s">
        <v>4155</v>
      </c>
      <c r="E1266" s="2976">
        <v>12.84</v>
      </c>
      <c r="F1266" s="2974" t="s">
        <v>3973</v>
      </c>
      <c r="G1266" s="2973" t="s">
        <v>3649</v>
      </c>
    </row>
    <row r="1267" spans="1:7" hidden="1">
      <c r="A1267" s="2973">
        <v>1266</v>
      </c>
      <c r="B1267" s="2974" t="s">
        <v>3974</v>
      </c>
      <c r="C1267" s="2974">
        <v>-1</v>
      </c>
      <c r="D1267" s="2976" t="s">
        <v>4156</v>
      </c>
      <c r="E1267" s="2976">
        <v>12.84</v>
      </c>
      <c r="F1267" s="2974" t="s">
        <v>3973</v>
      </c>
      <c r="G1267" s="2973" t="s">
        <v>3649</v>
      </c>
    </row>
    <row r="1268" spans="1:7" hidden="1">
      <c r="A1268" s="2973">
        <v>1267</v>
      </c>
      <c r="B1268" s="2974" t="s">
        <v>3974</v>
      </c>
      <c r="C1268" s="2974">
        <v>-1</v>
      </c>
      <c r="D1268" s="2976" t="s">
        <v>4157</v>
      </c>
      <c r="E1268" s="2976">
        <v>12.84</v>
      </c>
      <c r="F1268" s="2974" t="s">
        <v>3973</v>
      </c>
      <c r="G1268" s="2973" t="s">
        <v>3649</v>
      </c>
    </row>
    <row r="1269" spans="1:7" hidden="1">
      <c r="A1269" s="2973">
        <v>1268</v>
      </c>
      <c r="B1269" s="2974" t="s">
        <v>3974</v>
      </c>
      <c r="C1269" s="2974">
        <v>-1</v>
      </c>
      <c r="D1269" s="2976" t="s">
        <v>4158</v>
      </c>
      <c r="E1269" s="2976">
        <v>12.84</v>
      </c>
      <c r="F1269" s="2974" t="s">
        <v>3973</v>
      </c>
      <c r="G1269" s="2973" t="s">
        <v>3649</v>
      </c>
    </row>
    <row r="1270" spans="1:7" hidden="1">
      <c r="A1270" s="2973">
        <v>1269</v>
      </c>
      <c r="B1270" s="2974" t="s">
        <v>3974</v>
      </c>
      <c r="C1270" s="2974">
        <v>-1</v>
      </c>
      <c r="D1270" s="2976" t="s">
        <v>4159</v>
      </c>
      <c r="E1270" s="2976">
        <v>12.84</v>
      </c>
      <c r="F1270" s="2974" t="s">
        <v>3973</v>
      </c>
      <c r="G1270" s="2973" t="s">
        <v>3649</v>
      </c>
    </row>
    <row r="1271" spans="1:7" hidden="1">
      <c r="A1271" s="2973">
        <v>1270</v>
      </c>
      <c r="B1271" s="2974" t="s">
        <v>3974</v>
      </c>
      <c r="C1271" s="2974">
        <v>-1</v>
      </c>
      <c r="D1271" s="2976" t="s">
        <v>4160</v>
      </c>
      <c r="E1271" s="2976">
        <v>12.84</v>
      </c>
      <c r="F1271" s="2974" t="s">
        <v>3973</v>
      </c>
      <c r="G1271" s="2973" t="s">
        <v>3649</v>
      </c>
    </row>
    <row r="1272" spans="1:7" hidden="1">
      <c r="A1272" s="2973">
        <v>1271</v>
      </c>
      <c r="B1272" s="2974" t="s">
        <v>3974</v>
      </c>
      <c r="C1272" s="2974">
        <v>-1</v>
      </c>
      <c r="D1272" s="2976" t="s">
        <v>4161</v>
      </c>
      <c r="E1272" s="2976">
        <v>12.84</v>
      </c>
      <c r="F1272" s="2974" t="s">
        <v>3973</v>
      </c>
      <c r="G1272" s="2973" t="s">
        <v>3649</v>
      </c>
    </row>
    <row r="1273" spans="1:7" hidden="1">
      <c r="A1273" s="2973">
        <v>1272</v>
      </c>
      <c r="B1273" s="2974" t="s">
        <v>3974</v>
      </c>
      <c r="C1273" s="2974">
        <v>-1</v>
      </c>
      <c r="D1273" s="2976" t="s">
        <v>4162</v>
      </c>
      <c r="E1273" s="2976">
        <v>12.84</v>
      </c>
      <c r="F1273" s="2974" t="s">
        <v>3973</v>
      </c>
      <c r="G1273" s="2973" t="s">
        <v>3649</v>
      </c>
    </row>
    <row r="1274" spans="1:7" hidden="1">
      <c r="A1274" s="2973">
        <v>1273</v>
      </c>
      <c r="B1274" s="2974" t="s">
        <v>3974</v>
      </c>
      <c r="C1274" s="2974">
        <v>-1</v>
      </c>
      <c r="D1274" s="2976" t="s">
        <v>4163</v>
      </c>
      <c r="E1274" s="2976">
        <v>12.84</v>
      </c>
      <c r="F1274" s="2974" t="s">
        <v>3973</v>
      </c>
      <c r="G1274" s="2973" t="s">
        <v>3649</v>
      </c>
    </row>
    <row r="1275" spans="1:7" hidden="1">
      <c r="A1275" s="2973">
        <v>1274</v>
      </c>
      <c r="B1275" s="2974" t="s">
        <v>3974</v>
      </c>
      <c r="C1275" s="2974">
        <v>-1</v>
      </c>
      <c r="D1275" s="2976" t="s">
        <v>4164</v>
      </c>
      <c r="E1275" s="2976">
        <v>12.84</v>
      </c>
      <c r="F1275" s="2974" t="s">
        <v>3973</v>
      </c>
      <c r="G1275" s="2973" t="s">
        <v>3649</v>
      </c>
    </row>
    <row r="1276" spans="1:7" hidden="1">
      <c r="A1276" s="2973">
        <v>1275</v>
      </c>
      <c r="B1276" s="2974" t="s">
        <v>3974</v>
      </c>
      <c r="C1276" s="2974">
        <v>-1</v>
      </c>
      <c r="D1276" s="2976" t="s">
        <v>4165</v>
      </c>
      <c r="E1276" s="2976">
        <v>12.84</v>
      </c>
      <c r="F1276" s="2974" t="s">
        <v>3973</v>
      </c>
      <c r="G1276" s="2973" t="s">
        <v>3649</v>
      </c>
    </row>
    <row r="1277" spans="1:7" hidden="1">
      <c r="A1277" s="2973">
        <v>1276</v>
      </c>
      <c r="B1277" s="2974" t="s">
        <v>3974</v>
      </c>
      <c r="C1277" s="2974">
        <v>-1</v>
      </c>
      <c r="D1277" s="2976" t="s">
        <v>4166</v>
      </c>
      <c r="E1277" s="2976">
        <v>12.84</v>
      </c>
      <c r="F1277" s="2974" t="s">
        <v>3973</v>
      </c>
      <c r="G1277" s="2973" t="s">
        <v>3649</v>
      </c>
    </row>
    <row r="1278" spans="1:7" hidden="1">
      <c r="A1278" s="2973">
        <v>1277</v>
      </c>
      <c r="B1278" s="2974" t="s">
        <v>3974</v>
      </c>
      <c r="C1278" s="2974">
        <v>-1</v>
      </c>
      <c r="D1278" s="2976" t="s">
        <v>4167</v>
      </c>
      <c r="E1278" s="2976">
        <v>12.84</v>
      </c>
      <c r="F1278" s="2974" t="s">
        <v>3973</v>
      </c>
      <c r="G1278" s="2973" t="s">
        <v>3649</v>
      </c>
    </row>
    <row r="1279" spans="1:7" hidden="1">
      <c r="A1279" s="2973">
        <v>1278</v>
      </c>
      <c r="B1279" s="2974" t="s">
        <v>3974</v>
      </c>
      <c r="C1279" s="2974">
        <v>-1</v>
      </c>
      <c r="D1279" s="2976" t="s">
        <v>4168</v>
      </c>
      <c r="E1279" s="2976">
        <v>12.84</v>
      </c>
      <c r="F1279" s="2974" t="s">
        <v>3973</v>
      </c>
      <c r="G1279" s="2973" t="s">
        <v>3649</v>
      </c>
    </row>
    <row r="1280" spans="1:7" hidden="1">
      <c r="A1280" s="2973">
        <v>1279</v>
      </c>
      <c r="B1280" s="2974" t="s">
        <v>3974</v>
      </c>
      <c r="C1280" s="2974">
        <v>-1</v>
      </c>
      <c r="D1280" s="2976" t="s">
        <v>4169</v>
      </c>
      <c r="E1280" s="2976">
        <v>12.84</v>
      </c>
      <c r="F1280" s="2974" t="s">
        <v>3973</v>
      </c>
      <c r="G1280" s="2973" t="s">
        <v>3649</v>
      </c>
    </row>
    <row r="1281" spans="1:7" hidden="1">
      <c r="A1281" s="2973">
        <v>1280</v>
      </c>
      <c r="B1281" s="2974" t="s">
        <v>3974</v>
      </c>
      <c r="C1281" s="2974">
        <v>-1</v>
      </c>
      <c r="D1281" s="2976" t="s">
        <v>4170</v>
      </c>
      <c r="E1281" s="2976">
        <v>12.84</v>
      </c>
      <c r="F1281" s="2974" t="s">
        <v>3973</v>
      </c>
      <c r="G1281" s="2973" t="s">
        <v>3649</v>
      </c>
    </row>
    <row r="1282" spans="1:7" hidden="1">
      <c r="A1282" s="2973">
        <v>1281</v>
      </c>
      <c r="B1282" s="2974" t="s">
        <v>3974</v>
      </c>
      <c r="C1282" s="2974">
        <v>-1</v>
      </c>
      <c r="D1282" s="2976" t="s">
        <v>4171</v>
      </c>
      <c r="E1282" s="2976">
        <v>12.84</v>
      </c>
      <c r="F1282" s="2974" t="s">
        <v>3973</v>
      </c>
      <c r="G1282" s="2973" t="s">
        <v>3649</v>
      </c>
    </row>
    <row r="1283" spans="1:7" hidden="1">
      <c r="A1283" s="2973">
        <v>1282</v>
      </c>
      <c r="B1283" s="2974" t="s">
        <v>3974</v>
      </c>
      <c r="C1283" s="2974">
        <v>-1</v>
      </c>
      <c r="D1283" s="2976" t="s">
        <v>4172</v>
      </c>
      <c r="E1283" s="2976">
        <v>12.84</v>
      </c>
      <c r="F1283" s="2974" t="s">
        <v>3973</v>
      </c>
      <c r="G1283" s="2973" t="s">
        <v>3649</v>
      </c>
    </row>
    <row r="1284" spans="1:7" hidden="1">
      <c r="A1284" s="2973">
        <v>1283</v>
      </c>
      <c r="B1284" s="2974" t="s">
        <v>3974</v>
      </c>
      <c r="C1284" s="2974">
        <v>-1</v>
      </c>
      <c r="D1284" s="2976" t="s">
        <v>4173</v>
      </c>
      <c r="E1284" s="2976">
        <v>12.84</v>
      </c>
      <c r="F1284" s="2974" t="s">
        <v>3973</v>
      </c>
      <c r="G1284" s="2973" t="s">
        <v>3649</v>
      </c>
    </row>
    <row r="1285" spans="1:7" hidden="1">
      <c r="A1285" s="2973">
        <v>1284</v>
      </c>
      <c r="B1285" s="2974" t="s">
        <v>3974</v>
      </c>
      <c r="C1285" s="2974">
        <v>-1</v>
      </c>
      <c r="D1285" s="2976" t="s">
        <v>4174</v>
      </c>
      <c r="E1285" s="2976">
        <v>12.84</v>
      </c>
      <c r="F1285" s="2974" t="s">
        <v>3973</v>
      </c>
      <c r="G1285" s="2973" t="s">
        <v>3649</v>
      </c>
    </row>
    <row r="1286" spans="1:7" hidden="1">
      <c r="A1286" s="2973">
        <v>1285</v>
      </c>
      <c r="B1286" s="2974" t="s">
        <v>3974</v>
      </c>
      <c r="C1286" s="2974">
        <v>-1</v>
      </c>
      <c r="D1286" s="2976" t="s">
        <v>4175</v>
      </c>
      <c r="E1286" s="2976">
        <v>12.84</v>
      </c>
      <c r="F1286" s="2974" t="s">
        <v>3973</v>
      </c>
      <c r="G1286" s="2973" t="s">
        <v>3649</v>
      </c>
    </row>
    <row r="1287" spans="1:7" hidden="1">
      <c r="A1287" s="2973">
        <v>1286</v>
      </c>
      <c r="B1287" s="2974" t="s">
        <v>3974</v>
      </c>
      <c r="C1287" s="2974">
        <v>-1</v>
      </c>
      <c r="D1287" s="2976" t="s">
        <v>4176</v>
      </c>
      <c r="E1287" s="2976">
        <v>12.84</v>
      </c>
      <c r="F1287" s="2974" t="s">
        <v>3973</v>
      </c>
      <c r="G1287" s="2973" t="s">
        <v>3649</v>
      </c>
    </row>
    <row r="1288" spans="1:7" hidden="1">
      <c r="A1288" s="2973">
        <v>1287</v>
      </c>
      <c r="B1288" s="2974" t="s">
        <v>3974</v>
      </c>
      <c r="C1288" s="2974">
        <v>-1</v>
      </c>
      <c r="D1288" s="2976" t="s">
        <v>4177</v>
      </c>
      <c r="E1288" s="2976">
        <v>12.84</v>
      </c>
      <c r="F1288" s="2974" t="s">
        <v>3973</v>
      </c>
      <c r="G1288" s="2973" t="s">
        <v>3649</v>
      </c>
    </row>
    <row r="1289" spans="1:7" hidden="1">
      <c r="A1289" s="2973">
        <v>1288</v>
      </c>
      <c r="B1289" s="2974" t="s">
        <v>3974</v>
      </c>
      <c r="C1289" s="2974">
        <v>-1</v>
      </c>
      <c r="D1289" s="2976" t="s">
        <v>4178</v>
      </c>
      <c r="E1289" s="2976">
        <v>12.84</v>
      </c>
      <c r="F1289" s="2974" t="s">
        <v>3913</v>
      </c>
      <c r="G1289" s="2973" t="s">
        <v>3796</v>
      </c>
    </row>
    <row r="1290" spans="1:7" hidden="1">
      <c r="A1290" s="2973">
        <v>1289</v>
      </c>
      <c r="B1290" s="2974" t="s">
        <v>3914</v>
      </c>
      <c r="C1290" s="2974">
        <v>-1</v>
      </c>
      <c r="D1290" s="2976" t="s">
        <v>4179</v>
      </c>
      <c r="E1290" s="2976">
        <v>12.84</v>
      </c>
      <c r="F1290" s="2974" t="s">
        <v>4180</v>
      </c>
      <c r="G1290" s="2973" t="s">
        <v>4181</v>
      </c>
    </row>
    <row r="1291" spans="1:7" hidden="1">
      <c r="A1291" s="2973">
        <v>1290</v>
      </c>
      <c r="B1291" s="2974" t="s">
        <v>4182</v>
      </c>
      <c r="C1291" s="2974">
        <v>-1</v>
      </c>
      <c r="D1291" s="2976" t="s">
        <v>4183</v>
      </c>
      <c r="E1291" s="2976">
        <v>12.84</v>
      </c>
      <c r="F1291" s="2974" t="s">
        <v>3913</v>
      </c>
      <c r="G1291" s="2973" t="s">
        <v>3796</v>
      </c>
    </row>
    <row r="1292" spans="1:7" hidden="1">
      <c r="A1292" s="2973">
        <v>1291</v>
      </c>
      <c r="B1292" s="2974" t="s">
        <v>3914</v>
      </c>
      <c r="C1292" s="2974">
        <v>-1</v>
      </c>
      <c r="D1292" s="2976" t="s">
        <v>4184</v>
      </c>
      <c r="E1292" s="2976">
        <v>12.84</v>
      </c>
      <c r="F1292" s="2974" t="s">
        <v>3913</v>
      </c>
      <c r="G1292" s="2973" t="s">
        <v>3796</v>
      </c>
    </row>
    <row r="1293" spans="1:7" hidden="1">
      <c r="A1293" s="2973">
        <v>1292</v>
      </c>
      <c r="B1293" s="2974" t="s">
        <v>3914</v>
      </c>
      <c r="C1293" s="2974">
        <v>-1</v>
      </c>
      <c r="D1293" s="2976" t="s">
        <v>4185</v>
      </c>
      <c r="E1293" s="2976">
        <v>12.84</v>
      </c>
      <c r="F1293" s="2974" t="s">
        <v>4180</v>
      </c>
      <c r="G1293" s="2973" t="s">
        <v>4181</v>
      </c>
    </row>
    <row r="1294" spans="1:7" hidden="1">
      <c r="A1294" s="2973">
        <v>1293</v>
      </c>
      <c r="B1294" s="2974" t="s">
        <v>4182</v>
      </c>
      <c r="C1294" s="2974">
        <v>-1</v>
      </c>
      <c r="D1294" s="2976" t="s">
        <v>4186</v>
      </c>
      <c r="E1294" s="2976">
        <v>12.84</v>
      </c>
      <c r="F1294" s="2974" t="s">
        <v>4180</v>
      </c>
      <c r="G1294" s="2973" t="s">
        <v>4181</v>
      </c>
    </row>
    <row r="1295" spans="1:7" hidden="1">
      <c r="A1295" s="2973">
        <v>1294</v>
      </c>
      <c r="B1295" s="2974" t="s">
        <v>4182</v>
      </c>
      <c r="C1295" s="2974">
        <v>-1</v>
      </c>
      <c r="D1295" s="2976" t="s">
        <v>4187</v>
      </c>
      <c r="E1295" s="2976">
        <v>12.84</v>
      </c>
      <c r="F1295" s="2974" t="s">
        <v>4180</v>
      </c>
      <c r="G1295" s="2973" t="s">
        <v>4181</v>
      </c>
    </row>
    <row r="1296" spans="1:7" hidden="1">
      <c r="A1296" s="2973">
        <v>1295</v>
      </c>
      <c r="B1296" s="2974" t="s">
        <v>4182</v>
      </c>
      <c r="C1296" s="2974">
        <v>-1</v>
      </c>
      <c r="D1296" s="2976" t="s">
        <v>4188</v>
      </c>
      <c r="E1296" s="2976">
        <v>12.84</v>
      </c>
      <c r="F1296" s="2974" t="s">
        <v>4180</v>
      </c>
      <c r="G1296" s="2973" t="s">
        <v>4181</v>
      </c>
    </row>
    <row r="1297" spans="1:7" hidden="1">
      <c r="A1297" s="2973">
        <v>1296</v>
      </c>
      <c r="B1297" s="2974" t="s">
        <v>4182</v>
      </c>
      <c r="C1297" s="2974">
        <v>-1</v>
      </c>
      <c r="D1297" s="2976" t="s">
        <v>4189</v>
      </c>
      <c r="E1297" s="2976">
        <v>12.84</v>
      </c>
      <c r="F1297" s="2974" t="s">
        <v>4180</v>
      </c>
      <c r="G1297" s="2973" t="s">
        <v>4181</v>
      </c>
    </row>
    <row r="1298" spans="1:7" hidden="1">
      <c r="A1298" s="2973">
        <v>1297</v>
      </c>
      <c r="B1298" s="2974" t="s">
        <v>4182</v>
      </c>
      <c r="C1298" s="2974">
        <v>-1</v>
      </c>
      <c r="D1298" s="2976" t="s">
        <v>4190</v>
      </c>
      <c r="E1298" s="2976">
        <v>12.84</v>
      </c>
      <c r="F1298" s="2974" t="s">
        <v>4180</v>
      </c>
      <c r="G1298" s="2973" t="s">
        <v>4181</v>
      </c>
    </row>
    <row r="1299" spans="1:7" hidden="1">
      <c r="A1299" s="2973">
        <v>1298</v>
      </c>
      <c r="B1299" s="2974" t="s">
        <v>4182</v>
      </c>
      <c r="C1299" s="2974">
        <v>-1</v>
      </c>
      <c r="D1299" s="2976" t="s">
        <v>4191</v>
      </c>
      <c r="E1299" s="2976">
        <v>12.84</v>
      </c>
      <c r="F1299" s="2974" t="s">
        <v>4180</v>
      </c>
      <c r="G1299" s="2973" t="s">
        <v>4181</v>
      </c>
    </row>
    <row r="1300" spans="1:7" hidden="1">
      <c r="A1300" s="2973">
        <v>1299</v>
      </c>
      <c r="B1300" s="2974" t="s">
        <v>4182</v>
      </c>
      <c r="C1300" s="2974">
        <v>-1</v>
      </c>
      <c r="D1300" s="2976" t="s">
        <v>4192</v>
      </c>
      <c r="E1300" s="2976">
        <v>12.84</v>
      </c>
      <c r="F1300" s="2974" t="s">
        <v>4180</v>
      </c>
      <c r="G1300" s="2973" t="s">
        <v>4181</v>
      </c>
    </row>
    <row r="1301" spans="1:7" hidden="1">
      <c r="A1301" s="2973">
        <v>1300</v>
      </c>
      <c r="B1301" s="2974" t="s">
        <v>4182</v>
      </c>
      <c r="C1301" s="2974">
        <v>-1</v>
      </c>
      <c r="D1301" s="2976" t="s">
        <v>4193</v>
      </c>
      <c r="E1301" s="2976">
        <v>12.84</v>
      </c>
      <c r="F1301" s="2974" t="s">
        <v>4180</v>
      </c>
      <c r="G1301" s="2973" t="s">
        <v>4181</v>
      </c>
    </row>
    <row r="1302" spans="1:7" hidden="1">
      <c r="A1302" s="2973">
        <v>1301</v>
      </c>
      <c r="B1302" s="2974" t="s">
        <v>4182</v>
      </c>
      <c r="C1302" s="2974">
        <v>-1</v>
      </c>
      <c r="D1302" s="2976" t="s">
        <v>4194</v>
      </c>
      <c r="E1302" s="2976">
        <v>12.84</v>
      </c>
      <c r="F1302" s="2974" t="s">
        <v>4180</v>
      </c>
      <c r="G1302" s="2973" t="s">
        <v>4181</v>
      </c>
    </row>
    <row r="1303" spans="1:7" hidden="1">
      <c r="A1303" s="2973">
        <v>1302</v>
      </c>
      <c r="B1303" s="2974" t="s">
        <v>4182</v>
      </c>
      <c r="C1303" s="2974">
        <v>-1</v>
      </c>
      <c r="D1303" s="2976" t="s">
        <v>4195</v>
      </c>
      <c r="E1303" s="2976">
        <v>12.84</v>
      </c>
      <c r="F1303" s="2974" t="s">
        <v>4180</v>
      </c>
      <c r="G1303" s="2973" t="s">
        <v>4181</v>
      </c>
    </row>
    <row r="1304" spans="1:7" hidden="1">
      <c r="A1304" s="2973">
        <v>1303</v>
      </c>
      <c r="B1304" s="2974" t="s">
        <v>4182</v>
      </c>
      <c r="C1304" s="2974">
        <v>-1</v>
      </c>
      <c r="D1304" s="2976" t="s">
        <v>4196</v>
      </c>
      <c r="E1304" s="2976">
        <v>12.84</v>
      </c>
      <c r="F1304" s="2974" t="s">
        <v>4180</v>
      </c>
      <c r="G1304" s="2973" t="s">
        <v>4181</v>
      </c>
    </row>
    <row r="1305" spans="1:7" hidden="1">
      <c r="A1305" s="2973">
        <v>1304</v>
      </c>
      <c r="B1305" s="2974" t="s">
        <v>4182</v>
      </c>
      <c r="C1305" s="2974">
        <v>-1</v>
      </c>
      <c r="D1305" s="2976" t="s">
        <v>4197</v>
      </c>
      <c r="E1305" s="2976">
        <v>12.84</v>
      </c>
      <c r="F1305" s="2974" t="s">
        <v>4180</v>
      </c>
      <c r="G1305" s="2973" t="s">
        <v>4181</v>
      </c>
    </row>
    <row r="1306" spans="1:7" hidden="1">
      <c r="A1306" s="2973">
        <v>1305</v>
      </c>
      <c r="B1306" s="2974" t="s">
        <v>4182</v>
      </c>
      <c r="C1306" s="2974">
        <v>-1</v>
      </c>
      <c r="D1306" s="2976" t="s">
        <v>4198</v>
      </c>
      <c r="E1306" s="2976">
        <v>12.84</v>
      </c>
      <c r="F1306" s="2974" t="s">
        <v>4180</v>
      </c>
      <c r="G1306" s="2973" t="s">
        <v>4181</v>
      </c>
    </row>
    <row r="1307" spans="1:7" hidden="1">
      <c r="A1307" s="2973">
        <v>1306</v>
      </c>
      <c r="B1307" s="2974" t="s">
        <v>4182</v>
      </c>
      <c r="C1307" s="2974">
        <v>-1</v>
      </c>
      <c r="D1307" s="2976" t="s">
        <v>4199</v>
      </c>
      <c r="E1307" s="2976">
        <v>12.84</v>
      </c>
      <c r="F1307" s="2974" t="s">
        <v>4180</v>
      </c>
      <c r="G1307" s="2973" t="s">
        <v>4181</v>
      </c>
    </row>
    <row r="1308" spans="1:7" hidden="1">
      <c r="A1308" s="2973">
        <v>1307</v>
      </c>
      <c r="B1308" s="2974" t="s">
        <v>4182</v>
      </c>
      <c r="C1308" s="2974">
        <v>-1</v>
      </c>
      <c r="D1308" s="2976" t="s">
        <v>4200</v>
      </c>
      <c r="E1308" s="2976">
        <v>12.84</v>
      </c>
      <c r="F1308" s="2974" t="s">
        <v>4180</v>
      </c>
      <c r="G1308" s="2973" t="s">
        <v>4181</v>
      </c>
    </row>
    <row r="1309" spans="1:7" hidden="1">
      <c r="A1309" s="2973">
        <v>1308</v>
      </c>
      <c r="B1309" s="2974" t="s">
        <v>4182</v>
      </c>
      <c r="C1309" s="2974">
        <v>-1</v>
      </c>
      <c r="D1309" s="2976" t="s">
        <v>4201</v>
      </c>
      <c r="E1309" s="2976">
        <v>12.84</v>
      </c>
      <c r="F1309" s="2974" t="s">
        <v>4180</v>
      </c>
      <c r="G1309" s="2973" t="s">
        <v>4181</v>
      </c>
    </row>
    <row r="1310" spans="1:7" hidden="1">
      <c r="A1310" s="2973">
        <v>1309</v>
      </c>
      <c r="B1310" s="2974" t="s">
        <v>4182</v>
      </c>
      <c r="C1310" s="2974">
        <v>-1</v>
      </c>
      <c r="D1310" s="2976" t="s">
        <v>4202</v>
      </c>
      <c r="E1310" s="2976">
        <v>12.84</v>
      </c>
      <c r="F1310" s="2974" t="s">
        <v>4180</v>
      </c>
      <c r="G1310" s="2973" t="s">
        <v>4181</v>
      </c>
    </row>
    <row r="1311" spans="1:7" hidden="1">
      <c r="A1311" s="2973">
        <v>1310</v>
      </c>
      <c r="B1311" s="2974" t="s">
        <v>4182</v>
      </c>
      <c r="C1311" s="2974">
        <v>-1</v>
      </c>
      <c r="D1311" s="2976" t="s">
        <v>4203</v>
      </c>
      <c r="E1311" s="2976">
        <v>12.84</v>
      </c>
      <c r="F1311" s="2974" t="s">
        <v>4180</v>
      </c>
      <c r="G1311" s="2973" t="s">
        <v>4181</v>
      </c>
    </row>
    <row r="1312" spans="1:7" hidden="1">
      <c r="A1312" s="2973">
        <v>1311</v>
      </c>
      <c r="B1312" s="2974" t="s">
        <v>4182</v>
      </c>
      <c r="C1312" s="2974">
        <v>-1</v>
      </c>
      <c r="D1312" s="2976" t="s">
        <v>4204</v>
      </c>
      <c r="E1312" s="2976">
        <v>12.84</v>
      </c>
      <c r="F1312" s="2974" t="s">
        <v>4180</v>
      </c>
      <c r="G1312" s="2973" t="s">
        <v>4181</v>
      </c>
    </row>
    <row r="1313" spans="1:7" hidden="1">
      <c r="A1313" s="2973">
        <v>1312</v>
      </c>
      <c r="B1313" s="2974" t="s">
        <v>4182</v>
      </c>
      <c r="C1313" s="2974">
        <v>-1</v>
      </c>
      <c r="D1313" s="2976" t="s">
        <v>4205</v>
      </c>
      <c r="E1313" s="2976">
        <v>12.84</v>
      </c>
      <c r="F1313" s="2974" t="s">
        <v>4180</v>
      </c>
      <c r="G1313" s="2973" t="s">
        <v>4181</v>
      </c>
    </row>
    <row r="1314" spans="1:7" hidden="1">
      <c r="A1314" s="2973">
        <v>1313</v>
      </c>
      <c r="B1314" s="2974" t="s">
        <v>4182</v>
      </c>
      <c r="C1314" s="2974">
        <v>-1</v>
      </c>
      <c r="D1314" s="2976" t="s">
        <v>4206</v>
      </c>
      <c r="E1314" s="2976">
        <v>12.84</v>
      </c>
      <c r="F1314" s="2974" t="s">
        <v>3913</v>
      </c>
      <c r="G1314" s="2973" t="s">
        <v>3796</v>
      </c>
    </row>
    <row r="1315" spans="1:7" hidden="1">
      <c r="A1315" s="2973">
        <v>1314</v>
      </c>
      <c r="B1315" s="2974" t="s">
        <v>3914</v>
      </c>
      <c r="C1315" s="2974">
        <v>-1</v>
      </c>
      <c r="D1315" s="2976" t="s">
        <v>4207</v>
      </c>
      <c r="E1315" s="2976">
        <v>12.84</v>
      </c>
      <c r="F1315" s="2974" t="s">
        <v>3913</v>
      </c>
      <c r="G1315" s="2973" t="s">
        <v>3796</v>
      </c>
    </row>
    <row r="1316" spans="1:7" hidden="1">
      <c r="A1316" s="2973">
        <v>1315</v>
      </c>
      <c r="B1316" s="2974" t="s">
        <v>3914</v>
      </c>
      <c r="C1316" s="2974">
        <v>-1</v>
      </c>
      <c r="D1316" s="2976" t="s">
        <v>4208</v>
      </c>
      <c r="E1316" s="2976">
        <v>12.84</v>
      </c>
      <c r="F1316" s="2974" t="s">
        <v>3913</v>
      </c>
      <c r="G1316" s="2973" t="s">
        <v>3796</v>
      </c>
    </row>
    <row r="1317" spans="1:7" hidden="1">
      <c r="A1317" s="2973">
        <v>1316</v>
      </c>
      <c r="B1317" s="2974" t="s">
        <v>3914</v>
      </c>
      <c r="C1317" s="2974">
        <v>-1</v>
      </c>
      <c r="D1317" s="2976" t="s">
        <v>4209</v>
      </c>
      <c r="E1317" s="2976">
        <v>12.84</v>
      </c>
      <c r="F1317" s="2974" t="s">
        <v>3913</v>
      </c>
      <c r="G1317" s="2973" t="s">
        <v>3796</v>
      </c>
    </row>
    <row r="1318" spans="1:7" hidden="1">
      <c r="A1318" s="2973">
        <v>1317</v>
      </c>
      <c r="B1318" s="2974" t="s">
        <v>3914</v>
      </c>
      <c r="C1318" s="2974">
        <v>-1</v>
      </c>
      <c r="D1318" s="2976" t="s">
        <v>4210</v>
      </c>
      <c r="E1318" s="2976">
        <v>12.84</v>
      </c>
      <c r="F1318" s="2974" t="s">
        <v>3913</v>
      </c>
      <c r="G1318" s="2973" t="s">
        <v>3796</v>
      </c>
    </row>
    <row r="1319" spans="1:7" hidden="1">
      <c r="A1319" s="2973">
        <v>1318</v>
      </c>
      <c r="B1319" s="2974" t="s">
        <v>3914</v>
      </c>
      <c r="C1319" s="2974">
        <v>-1</v>
      </c>
      <c r="D1319" s="2976" t="s">
        <v>4211</v>
      </c>
      <c r="E1319" s="2976">
        <v>12.84</v>
      </c>
      <c r="F1319" s="2974" t="s">
        <v>3913</v>
      </c>
      <c r="G1319" s="2973" t="s">
        <v>3796</v>
      </c>
    </row>
    <row r="1320" spans="1:7" hidden="1">
      <c r="A1320" s="2973">
        <v>1319</v>
      </c>
      <c r="B1320" s="2974" t="s">
        <v>3914</v>
      </c>
      <c r="C1320" s="2974">
        <v>-1</v>
      </c>
      <c r="D1320" s="2976" t="s">
        <v>4212</v>
      </c>
      <c r="E1320" s="2976">
        <v>12.84</v>
      </c>
      <c r="F1320" s="2974" t="s">
        <v>3913</v>
      </c>
      <c r="G1320" s="2973" t="s">
        <v>3796</v>
      </c>
    </row>
    <row r="1321" spans="1:7" hidden="1">
      <c r="A1321" s="2973">
        <v>1320</v>
      </c>
      <c r="B1321" s="2974" t="s">
        <v>3914</v>
      </c>
      <c r="C1321" s="2974">
        <v>-1</v>
      </c>
      <c r="D1321" s="2976" t="s">
        <v>4213</v>
      </c>
      <c r="E1321" s="2976">
        <v>12.84</v>
      </c>
      <c r="F1321" s="2974" t="s">
        <v>3913</v>
      </c>
      <c r="G1321" s="2973" t="s">
        <v>3796</v>
      </c>
    </row>
    <row r="1322" spans="1:7" hidden="1">
      <c r="A1322" s="2973">
        <v>1321</v>
      </c>
      <c r="B1322" s="2974" t="s">
        <v>3914</v>
      </c>
      <c r="C1322" s="2974">
        <v>-1</v>
      </c>
      <c r="D1322" s="2976" t="s">
        <v>4214</v>
      </c>
      <c r="E1322" s="2976">
        <v>12.84</v>
      </c>
      <c r="F1322" s="2974" t="s">
        <v>3913</v>
      </c>
      <c r="G1322" s="2973" t="s">
        <v>3796</v>
      </c>
    </row>
    <row r="1323" spans="1:7" hidden="1">
      <c r="A1323" s="2973">
        <v>1322</v>
      </c>
      <c r="B1323" s="2974" t="s">
        <v>3914</v>
      </c>
      <c r="C1323" s="2974">
        <v>-1</v>
      </c>
      <c r="D1323" s="2976" t="s">
        <v>4215</v>
      </c>
      <c r="E1323" s="2976">
        <v>12.84</v>
      </c>
      <c r="F1323" s="2974" t="s">
        <v>3913</v>
      </c>
      <c r="G1323" s="2973" t="s">
        <v>3796</v>
      </c>
    </row>
    <row r="1324" spans="1:7" hidden="1">
      <c r="A1324" s="2973">
        <v>1323</v>
      </c>
      <c r="B1324" s="2974" t="s">
        <v>3914</v>
      </c>
      <c r="C1324" s="2974">
        <v>-1</v>
      </c>
      <c r="D1324" s="2976" t="s">
        <v>4216</v>
      </c>
      <c r="E1324" s="2976">
        <v>12.84</v>
      </c>
      <c r="F1324" s="2974" t="s">
        <v>3913</v>
      </c>
      <c r="G1324" s="2973" t="s">
        <v>3796</v>
      </c>
    </row>
    <row r="1325" spans="1:7" hidden="1">
      <c r="A1325" s="2973">
        <v>1324</v>
      </c>
      <c r="B1325" s="2974" t="s">
        <v>3914</v>
      </c>
      <c r="C1325" s="2974">
        <v>-1</v>
      </c>
      <c r="D1325" s="2976" t="s">
        <v>4217</v>
      </c>
      <c r="E1325" s="2976">
        <v>12.84</v>
      </c>
      <c r="F1325" s="2974" t="s">
        <v>3913</v>
      </c>
      <c r="G1325" s="2973" t="s">
        <v>3796</v>
      </c>
    </row>
    <row r="1326" spans="1:7" hidden="1">
      <c r="A1326" s="2973">
        <v>1325</v>
      </c>
      <c r="B1326" s="2974" t="s">
        <v>3914</v>
      </c>
      <c r="C1326" s="2974">
        <v>-1</v>
      </c>
      <c r="D1326" s="2976" t="s">
        <v>4218</v>
      </c>
      <c r="E1326" s="2976">
        <v>12.84</v>
      </c>
      <c r="F1326" s="2974" t="s">
        <v>3913</v>
      </c>
      <c r="G1326" s="2973" t="s">
        <v>3796</v>
      </c>
    </row>
    <row r="1327" spans="1:7" hidden="1">
      <c r="A1327" s="2973">
        <v>1326</v>
      </c>
      <c r="B1327" s="2974" t="s">
        <v>3914</v>
      </c>
      <c r="C1327" s="2974">
        <v>-1</v>
      </c>
      <c r="D1327" s="2976" t="s">
        <v>4219</v>
      </c>
      <c r="E1327" s="2976">
        <v>12.84</v>
      </c>
      <c r="F1327" s="2974" t="s">
        <v>3913</v>
      </c>
      <c r="G1327" s="2973" t="s">
        <v>3796</v>
      </c>
    </row>
    <row r="1328" spans="1:7" hidden="1">
      <c r="A1328" s="2973">
        <v>1327</v>
      </c>
      <c r="B1328" s="2974" t="s">
        <v>3914</v>
      </c>
      <c r="C1328" s="2974">
        <v>-1</v>
      </c>
      <c r="D1328" s="2976" t="s">
        <v>4220</v>
      </c>
      <c r="E1328" s="2976">
        <v>12.84</v>
      </c>
      <c r="F1328" s="2974" t="s">
        <v>3913</v>
      </c>
      <c r="G1328" s="2973" t="s">
        <v>3796</v>
      </c>
    </row>
    <row r="1329" spans="1:7" hidden="1">
      <c r="A1329" s="2973">
        <v>1328</v>
      </c>
      <c r="B1329" s="2974" t="s">
        <v>3914</v>
      </c>
      <c r="C1329" s="2974">
        <v>-1</v>
      </c>
      <c r="D1329" s="2976" t="s">
        <v>4221</v>
      </c>
      <c r="E1329" s="2976">
        <v>12.84</v>
      </c>
      <c r="F1329" s="2974" t="s">
        <v>3913</v>
      </c>
      <c r="G1329" s="2973" t="s">
        <v>3796</v>
      </c>
    </row>
    <row r="1330" spans="1:7" hidden="1">
      <c r="A1330" s="2973">
        <v>1329</v>
      </c>
      <c r="B1330" s="2974" t="s">
        <v>3914</v>
      </c>
      <c r="C1330" s="2974">
        <v>-1</v>
      </c>
      <c r="D1330" s="2976" t="s">
        <v>4222</v>
      </c>
      <c r="E1330" s="2976">
        <v>12.84</v>
      </c>
      <c r="F1330" s="2974" t="s">
        <v>3913</v>
      </c>
      <c r="G1330" s="2973" t="s">
        <v>3796</v>
      </c>
    </row>
    <row r="1331" spans="1:7" hidden="1">
      <c r="A1331" s="2973">
        <v>1330</v>
      </c>
      <c r="B1331" s="2974" t="s">
        <v>3914</v>
      </c>
      <c r="C1331" s="2974">
        <v>-1</v>
      </c>
      <c r="D1331" s="2976" t="s">
        <v>4223</v>
      </c>
      <c r="E1331" s="2976">
        <v>12.84</v>
      </c>
      <c r="F1331" s="2974" t="s">
        <v>3913</v>
      </c>
      <c r="G1331" s="2973" t="s">
        <v>3796</v>
      </c>
    </row>
    <row r="1332" spans="1:7" hidden="1">
      <c r="A1332" s="2973">
        <v>1331</v>
      </c>
      <c r="B1332" s="2974" t="s">
        <v>3914</v>
      </c>
      <c r="C1332" s="2974">
        <v>-1</v>
      </c>
      <c r="D1332" s="2976" t="s">
        <v>4224</v>
      </c>
      <c r="E1332" s="2976">
        <v>12.84</v>
      </c>
      <c r="F1332" s="2974" t="s">
        <v>3913</v>
      </c>
      <c r="G1332" s="2973" t="s">
        <v>3796</v>
      </c>
    </row>
    <row r="1333" spans="1:7" hidden="1">
      <c r="A1333" s="2973">
        <v>1332</v>
      </c>
      <c r="B1333" s="2974" t="s">
        <v>3914</v>
      </c>
      <c r="C1333" s="2974">
        <v>-1</v>
      </c>
      <c r="D1333" s="2976" t="s">
        <v>4225</v>
      </c>
      <c r="E1333" s="2976">
        <v>12.84</v>
      </c>
      <c r="F1333" s="2974" t="s">
        <v>3913</v>
      </c>
      <c r="G1333" s="2973" t="s">
        <v>3796</v>
      </c>
    </row>
    <row r="1334" spans="1:7" hidden="1">
      <c r="A1334" s="2973">
        <v>1333</v>
      </c>
      <c r="B1334" s="2974" t="s">
        <v>3914</v>
      </c>
      <c r="C1334" s="2974">
        <v>-1</v>
      </c>
      <c r="D1334" s="2976" t="s">
        <v>4226</v>
      </c>
      <c r="E1334" s="2976">
        <v>12.84</v>
      </c>
      <c r="F1334" s="2974" t="s">
        <v>3913</v>
      </c>
      <c r="G1334" s="2973" t="s">
        <v>3796</v>
      </c>
    </row>
    <row r="1335" spans="1:7" hidden="1">
      <c r="A1335" s="2973">
        <v>1334</v>
      </c>
      <c r="B1335" s="2974" t="s">
        <v>3914</v>
      </c>
      <c r="C1335" s="2974">
        <v>-1</v>
      </c>
      <c r="D1335" s="2976" t="s">
        <v>4227</v>
      </c>
      <c r="E1335" s="2976">
        <v>12.84</v>
      </c>
      <c r="F1335" s="2974" t="s">
        <v>3913</v>
      </c>
      <c r="G1335" s="2973" t="s">
        <v>3796</v>
      </c>
    </row>
    <row r="1336" spans="1:7" hidden="1">
      <c r="A1336" s="2973">
        <v>1335</v>
      </c>
      <c r="B1336" s="2974" t="s">
        <v>3914</v>
      </c>
      <c r="C1336" s="2974">
        <v>-1</v>
      </c>
      <c r="D1336" s="2976" t="s">
        <v>4228</v>
      </c>
      <c r="E1336" s="2976">
        <v>12.84</v>
      </c>
      <c r="F1336" s="2974" t="s">
        <v>3913</v>
      </c>
      <c r="G1336" s="2973" t="s">
        <v>3796</v>
      </c>
    </row>
    <row r="1337" spans="1:7" hidden="1">
      <c r="A1337" s="2973">
        <v>1336</v>
      </c>
      <c r="B1337" s="2974" t="s">
        <v>3914</v>
      </c>
      <c r="C1337" s="2974">
        <v>-1</v>
      </c>
      <c r="D1337" s="2976" t="s">
        <v>4229</v>
      </c>
      <c r="E1337" s="2976">
        <v>12.84</v>
      </c>
      <c r="F1337" s="2974" t="s">
        <v>3913</v>
      </c>
      <c r="G1337" s="2973" t="s">
        <v>3796</v>
      </c>
    </row>
    <row r="1338" spans="1:7" hidden="1">
      <c r="A1338" s="2973">
        <v>1337</v>
      </c>
      <c r="B1338" s="2974" t="s">
        <v>3914</v>
      </c>
      <c r="C1338" s="2974">
        <v>-1</v>
      </c>
      <c r="D1338" s="2976" t="s">
        <v>4230</v>
      </c>
      <c r="E1338" s="2976">
        <v>12.84</v>
      </c>
      <c r="F1338" s="2974" t="s">
        <v>3913</v>
      </c>
      <c r="G1338" s="2973" t="s">
        <v>3796</v>
      </c>
    </row>
    <row r="1339" spans="1:7" hidden="1">
      <c r="A1339" s="2973">
        <v>1338</v>
      </c>
      <c r="B1339" s="2974" t="s">
        <v>3914</v>
      </c>
      <c r="C1339" s="2974">
        <v>-1</v>
      </c>
      <c r="D1339" s="2976" t="s">
        <v>4231</v>
      </c>
      <c r="E1339" s="2976">
        <v>12.84</v>
      </c>
      <c r="F1339" s="2974" t="s">
        <v>3913</v>
      </c>
      <c r="G1339" s="2973" t="s">
        <v>3796</v>
      </c>
    </row>
    <row r="1340" spans="1:7" hidden="1">
      <c r="A1340" s="2973">
        <v>1339</v>
      </c>
      <c r="B1340" s="2974" t="s">
        <v>3914</v>
      </c>
      <c r="C1340" s="2974">
        <v>-1</v>
      </c>
      <c r="D1340" s="2976" t="s">
        <v>4232</v>
      </c>
      <c r="E1340" s="2976">
        <v>12.84</v>
      </c>
      <c r="F1340" s="2974" t="s">
        <v>3913</v>
      </c>
      <c r="G1340" s="2973" t="s">
        <v>3796</v>
      </c>
    </row>
    <row r="1341" spans="1:7" hidden="1">
      <c r="A1341" s="2973">
        <v>1340</v>
      </c>
      <c r="B1341" s="2974" t="s">
        <v>3914</v>
      </c>
      <c r="C1341" s="2974">
        <v>-1</v>
      </c>
      <c r="D1341" s="2976" t="s">
        <v>4233</v>
      </c>
      <c r="E1341" s="2976">
        <v>12.84</v>
      </c>
      <c r="F1341" s="2974" t="s">
        <v>3913</v>
      </c>
      <c r="G1341" s="2973" t="s">
        <v>3796</v>
      </c>
    </row>
    <row r="1342" spans="1:7" hidden="1">
      <c r="A1342" s="2973">
        <v>1341</v>
      </c>
      <c r="B1342" s="2974" t="s">
        <v>3914</v>
      </c>
      <c r="C1342" s="2974">
        <v>-1</v>
      </c>
      <c r="D1342" s="2976" t="s">
        <v>4234</v>
      </c>
      <c r="E1342" s="2976">
        <v>12.84</v>
      </c>
      <c r="F1342" s="2974" t="s">
        <v>3913</v>
      </c>
      <c r="G1342" s="2973" t="s">
        <v>3796</v>
      </c>
    </row>
    <row r="1343" spans="1:7" hidden="1">
      <c r="A1343" s="2973">
        <v>1342</v>
      </c>
      <c r="B1343" s="2974" t="s">
        <v>3914</v>
      </c>
      <c r="C1343" s="2974">
        <v>-1</v>
      </c>
      <c r="D1343" s="2976" t="s">
        <v>4235</v>
      </c>
      <c r="E1343" s="2976">
        <v>12.84</v>
      </c>
      <c r="F1343" s="2974" t="s">
        <v>3913</v>
      </c>
      <c r="G1343" s="2973" t="s">
        <v>3796</v>
      </c>
    </row>
    <row r="1344" spans="1:7" hidden="1">
      <c r="A1344" s="2973">
        <v>1343</v>
      </c>
      <c r="B1344" s="2974" t="s">
        <v>3914</v>
      </c>
      <c r="C1344" s="2974">
        <v>-1</v>
      </c>
      <c r="D1344" s="2976" t="s">
        <v>4236</v>
      </c>
      <c r="E1344" s="2976">
        <v>12.84</v>
      </c>
      <c r="F1344" s="2974" t="s">
        <v>3913</v>
      </c>
      <c r="G1344" s="2973" t="s">
        <v>3796</v>
      </c>
    </row>
    <row r="1345" spans="1:7" hidden="1">
      <c r="A1345" s="2973">
        <v>1344</v>
      </c>
      <c r="B1345" s="2974" t="s">
        <v>3914</v>
      </c>
      <c r="C1345" s="2974">
        <v>-1</v>
      </c>
      <c r="D1345" s="2976" t="s">
        <v>4237</v>
      </c>
      <c r="E1345" s="2976">
        <v>12.84</v>
      </c>
      <c r="F1345" s="2974" t="s">
        <v>3913</v>
      </c>
      <c r="G1345" s="2973" t="s">
        <v>3796</v>
      </c>
    </row>
    <row r="1346" spans="1:7" hidden="1">
      <c r="A1346" s="2973">
        <v>1345</v>
      </c>
      <c r="B1346" s="2974" t="s">
        <v>3914</v>
      </c>
      <c r="C1346" s="2974">
        <v>-1</v>
      </c>
      <c r="D1346" s="2976" t="s">
        <v>4238</v>
      </c>
      <c r="E1346" s="2976">
        <v>12.84</v>
      </c>
      <c r="F1346" s="2974" t="s">
        <v>3913</v>
      </c>
      <c r="G1346" s="2973" t="s">
        <v>3796</v>
      </c>
    </row>
    <row r="1347" spans="1:7" hidden="1">
      <c r="A1347" s="2973">
        <v>1346</v>
      </c>
      <c r="B1347" s="2974" t="s">
        <v>3914</v>
      </c>
      <c r="C1347" s="2974">
        <v>-1</v>
      </c>
      <c r="D1347" s="2976" t="s">
        <v>4239</v>
      </c>
      <c r="E1347" s="2976">
        <v>12.84</v>
      </c>
      <c r="F1347" s="2974" t="s">
        <v>3913</v>
      </c>
      <c r="G1347" s="2973" t="s">
        <v>3796</v>
      </c>
    </row>
    <row r="1348" spans="1:7" hidden="1">
      <c r="A1348" s="2973">
        <v>1347</v>
      </c>
      <c r="B1348" s="2974" t="s">
        <v>3914</v>
      </c>
      <c r="C1348" s="2974">
        <v>-1</v>
      </c>
      <c r="D1348" s="2976" t="s">
        <v>4240</v>
      </c>
      <c r="E1348" s="2976">
        <v>12.84</v>
      </c>
      <c r="F1348" s="2974" t="s">
        <v>3913</v>
      </c>
      <c r="G1348" s="2973" t="s">
        <v>3796</v>
      </c>
    </row>
    <row r="1349" spans="1:7" hidden="1">
      <c r="A1349" s="2973">
        <v>1348</v>
      </c>
      <c r="B1349" s="2974" t="s">
        <v>3914</v>
      </c>
      <c r="C1349" s="2974">
        <v>-1</v>
      </c>
      <c r="D1349" s="2976" t="s">
        <v>4241</v>
      </c>
      <c r="E1349" s="2976">
        <v>12.84</v>
      </c>
      <c r="F1349" s="2974" t="s">
        <v>3913</v>
      </c>
      <c r="G1349" s="2973" t="s">
        <v>3796</v>
      </c>
    </row>
    <row r="1350" spans="1:7" hidden="1">
      <c r="A1350" s="2973">
        <v>1349</v>
      </c>
      <c r="B1350" s="2974" t="s">
        <v>3914</v>
      </c>
      <c r="C1350" s="2974">
        <v>-1</v>
      </c>
      <c r="D1350" s="2976" t="s">
        <v>4242</v>
      </c>
      <c r="E1350" s="2976">
        <v>12.84</v>
      </c>
      <c r="F1350" s="2974" t="s">
        <v>3913</v>
      </c>
      <c r="G1350" s="2973" t="s">
        <v>3796</v>
      </c>
    </row>
    <row r="1351" spans="1:7" hidden="1">
      <c r="A1351" s="2973">
        <v>1350</v>
      </c>
      <c r="B1351" s="2974" t="s">
        <v>3914</v>
      </c>
      <c r="C1351" s="2974">
        <v>-1</v>
      </c>
      <c r="D1351" s="2976" t="s">
        <v>4243</v>
      </c>
      <c r="E1351" s="2976">
        <v>12.84</v>
      </c>
      <c r="F1351" s="2974" t="s">
        <v>3913</v>
      </c>
      <c r="G1351" s="2973" t="s">
        <v>3796</v>
      </c>
    </row>
    <row r="1352" spans="1:7" hidden="1">
      <c r="A1352" s="2973">
        <v>1351</v>
      </c>
      <c r="B1352" s="2974" t="s">
        <v>3914</v>
      </c>
      <c r="C1352" s="2974">
        <v>-1</v>
      </c>
      <c r="D1352" s="2976" t="s">
        <v>4244</v>
      </c>
      <c r="E1352" s="2976">
        <v>12.84</v>
      </c>
      <c r="F1352" s="2974" t="s">
        <v>3913</v>
      </c>
      <c r="G1352" s="2973" t="s">
        <v>3796</v>
      </c>
    </row>
    <row r="1353" spans="1:7" hidden="1">
      <c r="A1353" s="2973">
        <v>1352</v>
      </c>
      <c r="B1353" s="2974" t="s">
        <v>3914</v>
      </c>
      <c r="C1353" s="2974">
        <v>-1</v>
      </c>
      <c r="D1353" s="2976" t="s">
        <v>4245</v>
      </c>
      <c r="E1353" s="2976">
        <v>12.84</v>
      </c>
      <c r="F1353" s="2974" t="s">
        <v>3913</v>
      </c>
      <c r="G1353" s="2973" t="s">
        <v>3796</v>
      </c>
    </row>
    <row r="1354" spans="1:7" hidden="1">
      <c r="A1354" s="2973">
        <v>1353</v>
      </c>
      <c r="B1354" s="2974" t="s">
        <v>3914</v>
      </c>
      <c r="C1354" s="2974">
        <v>-1</v>
      </c>
      <c r="D1354" s="2976" t="s">
        <v>4246</v>
      </c>
      <c r="E1354" s="2976">
        <v>12.84</v>
      </c>
      <c r="F1354" s="2974" t="s">
        <v>3913</v>
      </c>
      <c r="G1354" s="2973" t="s">
        <v>3796</v>
      </c>
    </row>
    <row r="1355" spans="1:7" hidden="1">
      <c r="A1355" s="2973">
        <v>1354</v>
      </c>
      <c r="B1355" s="2974" t="s">
        <v>3914</v>
      </c>
      <c r="C1355" s="2974">
        <v>-1</v>
      </c>
      <c r="D1355" s="2976" t="s">
        <v>4247</v>
      </c>
      <c r="E1355" s="2976">
        <v>12.84</v>
      </c>
      <c r="F1355" s="2974" t="s">
        <v>3913</v>
      </c>
      <c r="G1355" s="2973" t="s">
        <v>3796</v>
      </c>
    </row>
    <row r="1356" spans="1:7" hidden="1">
      <c r="A1356" s="2973">
        <v>1355</v>
      </c>
      <c r="B1356" s="2974" t="s">
        <v>3914</v>
      </c>
      <c r="C1356" s="2974">
        <v>-1</v>
      </c>
      <c r="D1356" s="2976" t="s">
        <v>4248</v>
      </c>
      <c r="E1356" s="2976">
        <v>12.84</v>
      </c>
      <c r="F1356" s="2974" t="s">
        <v>3913</v>
      </c>
      <c r="G1356" s="2973" t="s">
        <v>3796</v>
      </c>
    </row>
    <row r="1357" spans="1:7" hidden="1">
      <c r="A1357" s="2973">
        <v>1356</v>
      </c>
      <c r="B1357" s="2974" t="s">
        <v>3914</v>
      </c>
      <c r="C1357" s="2974">
        <v>-1</v>
      </c>
      <c r="D1357" s="2976" t="s">
        <v>4249</v>
      </c>
      <c r="E1357" s="2976">
        <v>12.84</v>
      </c>
      <c r="F1357" s="2974" t="s">
        <v>3913</v>
      </c>
      <c r="G1357" s="2973" t="s">
        <v>3796</v>
      </c>
    </row>
    <row r="1358" spans="1:7" hidden="1">
      <c r="A1358" s="2973">
        <v>1357</v>
      </c>
      <c r="B1358" s="2974" t="s">
        <v>3914</v>
      </c>
      <c r="C1358" s="2974">
        <v>-1</v>
      </c>
      <c r="D1358" s="2976" t="s">
        <v>4250</v>
      </c>
      <c r="E1358" s="2976">
        <v>12.84</v>
      </c>
      <c r="F1358" s="2974" t="s">
        <v>3913</v>
      </c>
      <c r="G1358" s="2973" t="s">
        <v>3796</v>
      </c>
    </row>
    <row r="1359" spans="1:7" hidden="1">
      <c r="A1359" s="2973">
        <v>1358</v>
      </c>
      <c r="B1359" s="2974" t="s">
        <v>3914</v>
      </c>
      <c r="C1359" s="2974">
        <v>-1</v>
      </c>
      <c r="D1359" s="2976" t="s">
        <v>4251</v>
      </c>
      <c r="E1359" s="2976">
        <v>12.84</v>
      </c>
      <c r="F1359" s="2974" t="s">
        <v>3913</v>
      </c>
      <c r="G1359" s="2973" t="s">
        <v>3796</v>
      </c>
    </row>
    <row r="1360" spans="1:7" hidden="1">
      <c r="A1360" s="2973">
        <v>1359</v>
      </c>
      <c r="B1360" s="2974" t="s">
        <v>3914</v>
      </c>
      <c r="C1360" s="2974">
        <v>-1</v>
      </c>
      <c r="D1360" s="2976" t="s">
        <v>4252</v>
      </c>
      <c r="E1360" s="2976">
        <v>12.84</v>
      </c>
      <c r="F1360" s="2974" t="s">
        <v>3913</v>
      </c>
      <c r="G1360" s="2973" t="s">
        <v>3796</v>
      </c>
    </row>
    <row r="1361" spans="1:7" hidden="1">
      <c r="A1361" s="2973">
        <v>1360</v>
      </c>
      <c r="B1361" s="2974" t="s">
        <v>3914</v>
      </c>
      <c r="C1361" s="2974">
        <v>-1</v>
      </c>
      <c r="D1361" s="2976" t="s">
        <v>4253</v>
      </c>
      <c r="E1361" s="2976">
        <v>12.84</v>
      </c>
      <c r="F1361" s="2974" t="s">
        <v>3913</v>
      </c>
      <c r="G1361" s="2973" t="s">
        <v>3796</v>
      </c>
    </row>
    <row r="1362" spans="1:7" hidden="1">
      <c r="A1362" s="2973">
        <v>1361</v>
      </c>
      <c r="B1362" s="2974" t="s">
        <v>3914</v>
      </c>
      <c r="C1362" s="2974">
        <v>-1</v>
      </c>
      <c r="D1362" s="2976" t="s">
        <v>4254</v>
      </c>
      <c r="E1362" s="2976">
        <v>12.84</v>
      </c>
      <c r="F1362" s="2974" t="s">
        <v>3913</v>
      </c>
      <c r="G1362" s="2973" t="s">
        <v>3796</v>
      </c>
    </row>
    <row r="1363" spans="1:7" hidden="1">
      <c r="A1363" s="2973">
        <v>1362</v>
      </c>
      <c r="B1363" s="2974" t="s">
        <v>3914</v>
      </c>
      <c r="C1363" s="2974">
        <v>-1</v>
      </c>
      <c r="D1363" s="2976" t="s">
        <v>4255</v>
      </c>
      <c r="E1363" s="2976">
        <v>12.84</v>
      </c>
      <c r="F1363" s="2974" t="s">
        <v>3913</v>
      </c>
      <c r="G1363" s="2973" t="s">
        <v>3796</v>
      </c>
    </row>
    <row r="1364" spans="1:7" hidden="1">
      <c r="A1364" s="2973">
        <v>1363</v>
      </c>
      <c r="B1364" s="2974" t="s">
        <v>3914</v>
      </c>
      <c r="C1364" s="2974">
        <v>-1</v>
      </c>
      <c r="D1364" s="2976" t="s">
        <v>4256</v>
      </c>
      <c r="E1364" s="2976">
        <v>12.84</v>
      </c>
      <c r="F1364" s="2974" t="s">
        <v>3913</v>
      </c>
      <c r="G1364" s="2973" t="s">
        <v>3796</v>
      </c>
    </row>
    <row r="1365" spans="1:7" hidden="1">
      <c r="A1365" s="2973">
        <v>1364</v>
      </c>
      <c r="B1365" s="2974" t="s">
        <v>3914</v>
      </c>
      <c r="C1365" s="2974">
        <v>-1</v>
      </c>
      <c r="D1365" s="2976" t="s">
        <v>4257</v>
      </c>
      <c r="E1365" s="2976">
        <v>12.84</v>
      </c>
      <c r="F1365" s="2974" t="s">
        <v>3913</v>
      </c>
      <c r="G1365" s="2973" t="s">
        <v>3796</v>
      </c>
    </row>
    <row r="1366" spans="1:7" hidden="1">
      <c r="A1366" s="2973">
        <v>1365</v>
      </c>
      <c r="B1366" s="2974" t="s">
        <v>3914</v>
      </c>
      <c r="C1366" s="2974">
        <v>-1</v>
      </c>
      <c r="D1366" s="2976" t="s">
        <v>4258</v>
      </c>
      <c r="E1366" s="2976">
        <v>12.84</v>
      </c>
      <c r="F1366" s="2974" t="s">
        <v>3913</v>
      </c>
      <c r="G1366" s="2973" t="s">
        <v>3796</v>
      </c>
    </row>
    <row r="1367" spans="1:7" hidden="1">
      <c r="A1367" s="2973">
        <v>1366</v>
      </c>
      <c r="B1367" s="2974" t="s">
        <v>3914</v>
      </c>
      <c r="C1367" s="2974">
        <v>-1</v>
      </c>
      <c r="D1367" s="2976" t="s">
        <v>4259</v>
      </c>
      <c r="E1367" s="2976">
        <v>12.84</v>
      </c>
      <c r="F1367" s="2974" t="s">
        <v>3991</v>
      </c>
      <c r="G1367" s="2973" t="s">
        <v>3620</v>
      </c>
    </row>
    <row r="1368" spans="1:7" hidden="1">
      <c r="A1368" s="2973">
        <v>1367</v>
      </c>
      <c r="B1368" s="2974" t="s">
        <v>3992</v>
      </c>
      <c r="C1368" s="2974">
        <v>-1</v>
      </c>
      <c r="D1368" s="2976" t="s">
        <v>4260</v>
      </c>
      <c r="E1368" s="2976">
        <v>12.84</v>
      </c>
      <c r="F1368" s="2974" t="s">
        <v>3991</v>
      </c>
      <c r="G1368" s="2973" t="s">
        <v>3620</v>
      </c>
    </row>
    <row r="1369" spans="1:7" hidden="1">
      <c r="A1369" s="2973">
        <v>1368</v>
      </c>
      <c r="B1369" s="2974" t="s">
        <v>3992</v>
      </c>
      <c r="C1369" s="2974">
        <v>-1</v>
      </c>
      <c r="D1369" s="2976" t="s">
        <v>4261</v>
      </c>
      <c r="E1369" s="2976">
        <v>12.84</v>
      </c>
      <c r="F1369" s="2974" t="s">
        <v>3991</v>
      </c>
      <c r="G1369" s="2973" t="s">
        <v>3620</v>
      </c>
    </row>
    <row r="1370" spans="1:7" hidden="1">
      <c r="A1370" s="2973">
        <v>1369</v>
      </c>
      <c r="B1370" s="2974" t="s">
        <v>3992</v>
      </c>
      <c r="C1370" s="2974">
        <v>-1</v>
      </c>
      <c r="D1370" s="2976" t="s">
        <v>4262</v>
      </c>
      <c r="E1370" s="2976">
        <v>12.84</v>
      </c>
      <c r="F1370" s="2974" t="s">
        <v>3991</v>
      </c>
      <c r="G1370" s="2973" t="s">
        <v>3620</v>
      </c>
    </row>
    <row r="1371" spans="1:7" hidden="1">
      <c r="A1371" s="2973">
        <v>1370</v>
      </c>
      <c r="B1371" s="2974" t="s">
        <v>3992</v>
      </c>
      <c r="C1371" s="2974">
        <v>-1</v>
      </c>
      <c r="D1371" s="2976" t="s">
        <v>4263</v>
      </c>
      <c r="E1371" s="2976">
        <v>12.84</v>
      </c>
      <c r="F1371" s="2974" t="s">
        <v>3991</v>
      </c>
      <c r="G1371" s="2973" t="s">
        <v>3620</v>
      </c>
    </row>
    <row r="1372" spans="1:7" hidden="1">
      <c r="A1372" s="2973">
        <v>1371</v>
      </c>
      <c r="B1372" s="2974" t="s">
        <v>3992</v>
      </c>
      <c r="C1372" s="2974">
        <v>-1</v>
      </c>
      <c r="D1372" s="2976" t="s">
        <v>4264</v>
      </c>
      <c r="E1372" s="2976">
        <v>12.84</v>
      </c>
      <c r="F1372" s="2974" t="s">
        <v>3991</v>
      </c>
      <c r="G1372" s="2973" t="s">
        <v>3620</v>
      </c>
    </row>
    <row r="1373" spans="1:7" hidden="1">
      <c r="A1373" s="2973">
        <v>1372</v>
      </c>
      <c r="B1373" s="2974" t="s">
        <v>3992</v>
      </c>
      <c r="C1373" s="2974">
        <v>-1</v>
      </c>
      <c r="D1373" s="2976" t="s">
        <v>4265</v>
      </c>
      <c r="E1373" s="2976">
        <v>12.84</v>
      </c>
      <c r="F1373" s="2974" t="s">
        <v>3991</v>
      </c>
      <c r="G1373" s="2973" t="s">
        <v>3620</v>
      </c>
    </row>
    <row r="1374" spans="1:7" hidden="1">
      <c r="A1374" s="2973">
        <v>1373</v>
      </c>
      <c r="B1374" s="2974" t="s">
        <v>3992</v>
      </c>
      <c r="C1374" s="2974">
        <v>-1</v>
      </c>
      <c r="D1374" s="2976" t="s">
        <v>4266</v>
      </c>
      <c r="E1374" s="2976">
        <v>12.84</v>
      </c>
      <c r="F1374" s="2974" t="s">
        <v>3991</v>
      </c>
      <c r="G1374" s="2973" t="s">
        <v>3620</v>
      </c>
    </row>
    <row r="1375" spans="1:7" hidden="1">
      <c r="A1375" s="2973">
        <v>1374</v>
      </c>
      <c r="B1375" s="2974" t="s">
        <v>3992</v>
      </c>
      <c r="C1375" s="2974">
        <v>-1</v>
      </c>
      <c r="D1375" s="2976" t="s">
        <v>4267</v>
      </c>
      <c r="E1375" s="2976">
        <v>12.84</v>
      </c>
      <c r="F1375" s="2974" t="s">
        <v>3991</v>
      </c>
      <c r="G1375" s="2973" t="s">
        <v>3620</v>
      </c>
    </row>
    <row r="1376" spans="1:7" hidden="1">
      <c r="A1376" s="2973">
        <v>1375</v>
      </c>
      <c r="B1376" s="2974" t="s">
        <v>3992</v>
      </c>
      <c r="C1376" s="2974">
        <v>-1</v>
      </c>
      <c r="D1376" s="2976" t="s">
        <v>4268</v>
      </c>
      <c r="E1376" s="2976">
        <v>12.84</v>
      </c>
      <c r="F1376" s="2974" t="s">
        <v>3991</v>
      </c>
      <c r="G1376" s="2973" t="s">
        <v>3620</v>
      </c>
    </row>
    <row r="1377" spans="1:7" hidden="1">
      <c r="A1377" s="2973">
        <v>1376</v>
      </c>
      <c r="B1377" s="2974" t="s">
        <v>3992</v>
      </c>
      <c r="C1377" s="2974">
        <v>-1</v>
      </c>
      <c r="D1377" s="2976" t="s">
        <v>4269</v>
      </c>
      <c r="E1377" s="2976">
        <v>12.84</v>
      </c>
      <c r="F1377" s="2974" t="s">
        <v>3991</v>
      </c>
      <c r="G1377" s="2973" t="s">
        <v>3620</v>
      </c>
    </row>
    <row r="1378" spans="1:7" hidden="1">
      <c r="A1378" s="2973">
        <v>1377</v>
      </c>
      <c r="B1378" s="2974" t="s">
        <v>3992</v>
      </c>
      <c r="C1378" s="2974">
        <v>-1</v>
      </c>
      <c r="D1378" s="2976" t="s">
        <v>4270</v>
      </c>
      <c r="E1378" s="2976">
        <v>12.84</v>
      </c>
      <c r="F1378" s="2974" t="s">
        <v>4180</v>
      </c>
      <c r="G1378" s="2973" t="s">
        <v>4181</v>
      </c>
    </row>
    <row r="1379" spans="1:7" hidden="1">
      <c r="A1379" s="2973">
        <v>1378</v>
      </c>
      <c r="B1379" s="2974" t="s">
        <v>4182</v>
      </c>
      <c r="C1379" s="2974">
        <v>-1</v>
      </c>
      <c r="D1379" s="2976" t="s">
        <v>4271</v>
      </c>
      <c r="E1379" s="2976">
        <v>12.84</v>
      </c>
      <c r="F1379" s="2974" t="s">
        <v>4180</v>
      </c>
      <c r="G1379" s="2973" t="s">
        <v>4181</v>
      </c>
    </row>
    <row r="1380" spans="1:7" hidden="1">
      <c r="A1380" s="2973">
        <v>1379</v>
      </c>
      <c r="B1380" s="2974" t="s">
        <v>4182</v>
      </c>
      <c r="C1380" s="2974">
        <v>-1</v>
      </c>
      <c r="D1380" s="2976" t="s">
        <v>4272</v>
      </c>
      <c r="E1380" s="2976">
        <v>12.84</v>
      </c>
      <c r="F1380" s="2974" t="s">
        <v>4180</v>
      </c>
      <c r="G1380" s="2973" t="s">
        <v>4181</v>
      </c>
    </row>
    <row r="1381" spans="1:7" hidden="1">
      <c r="A1381" s="2973">
        <v>1380</v>
      </c>
      <c r="B1381" s="2974" t="s">
        <v>4182</v>
      </c>
      <c r="C1381" s="2974">
        <v>-1</v>
      </c>
      <c r="D1381" s="2976" t="s">
        <v>4273</v>
      </c>
      <c r="E1381" s="2976">
        <v>12.84</v>
      </c>
      <c r="F1381" s="2974" t="s">
        <v>4180</v>
      </c>
      <c r="G1381" s="2973" t="s">
        <v>4181</v>
      </c>
    </row>
    <row r="1382" spans="1:7" hidden="1">
      <c r="A1382" s="2973">
        <v>1381</v>
      </c>
      <c r="B1382" s="2974" t="s">
        <v>4182</v>
      </c>
      <c r="C1382" s="2974">
        <v>-1</v>
      </c>
      <c r="D1382" s="2976" t="s">
        <v>4274</v>
      </c>
      <c r="E1382" s="2976">
        <v>12.84</v>
      </c>
      <c r="F1382" s="2974" t="s">
        <v>4180</v>
      </c>
      <c r="G1382" s="2973" t="s">
        <v>4181</v>
      </c>
    </row>
    <row r="1383" spans="1:7" hidden="1">
      <c r="A1383" s="2973">
        <v>1382</v>
      </c>
      <c r="B1383" s="2974" t="s">
        <v>4182</v>
      </c>
      <c r="C1383" s="2974">
        <v>-1</v>
      </c>
      <c r="D1383" s="2976" t="s">
        <v>4275</v>
      </c>
      <c r="E1383" s="2976">
        <v>12.84</v>
      </c>
      <c r="F1383" s="2974" t="s">
        <v>4180</v>
      </c>
      <c r="G1383" s="2973" t="s">
        <v>4181</v>
      </c>
    </row>
    <row r="1384" spans="1:7" hidden="1">
      <c r="A1384" s="2973">
        <v>1383</v>
      </c>
      <c r="B1384" s="2974" t="s">
        <v>4182</v>
      </c>
      <c r="C1384" s="2974">
        <v>-1</v>
      </c>
      <c r="D1384" s="2976" t="s">
        <v>4276</v>
      </c>
      <c r="E1384" s="2976">
        <v>12.84</v>
      </c>
      <c r="F1384" s="2974" t="s">
        <v>4180</v>
      </c>
      <c r="G1384" s="2973" t="s">
        <v>4181</v>
      </c>
    </row>
    <row r="1385" spans="1:7" hidden="1">
      <c r="A1385" s="2973">
        <v>1384</v>
      </c>
      <c r="B1385" s="2974" t="s">
        <v>4182</v>
      </c>
      <c r="C1385" s="2974">
        <v>-1</v>
      </c>
      <c r="D1385" s="2976" t="s">
        <v>4277</v>
      </c>
      <c r="E1385" s="2976">
        <v>12.84</v>
      </c>
      <c r="F1385" s="2974" t="s">
        <v>4180</v>
      </c>
      <c r="G1385" s="2973" t="s">
        <v>4181</v>
      </c>
    </row>
    <row r="1386" spans="1:7" hidden="1">
      <c r="A1386" s="2973">
        <v>1385</v>
      </c>
      <c r="B1386" s="2974" t="s">
        <v>4182</v>
      </c>
      <c r="C1386" s="2974">
        <v>-1</v>
      </c>
      <c r="D1386" s="2976" t="s">
        <v>4278</v>
      </c>
      <c r="E1386" s="2976">
        <v>12.84</v>
      </c>
      <c r="F1386" s="2974" t="s">
        <v>4180</v>
      </c>
      <c r="G1386" s="2973" t="s">
        <v>4181</v>
      </c>
    </row>
    <row r="1387" spans="1:7" hidden="1">
      <c r="A1387" s="2973">
        <v>1386</v>
      </c>
      <c r="B1387" s="2974" t="s">
        <v>4182</v>
      </c>
      <c r="C1387" s="2974">
        <v>-1</v>
      </c>
      <c r="D1387" s="2976" t="s">
        <v>4279</v>
      </c>
      <c r="E1387" s="2976">
        <v>12.84</v>
      </c>
      <c r="F1387" s="2974" t="s">
        <v>4180</v>
      </c>
      <c r="G1387" s="2973" t="s">
        <v>4181</v>
      </c>
    </row>
    <row r="1388" spans="1:7" hidden="1">
      <c r="A1388" s="2973">
        <v>1387</v>
      </c>
      <c r="B1388" s="2974" t="s">
        <v>4182</v>
      </c>
      <c r="C1388" s="2974">
        <v>-1</v>
      </c>
      <c r="D1388" s="2976" t="s">
        <v>4280</v>
      </c>
      <c r="E1388" s="2976">
        <v>12.84</v>
      </c>
      <c r="F1388" s="2974" t="s">
        <v>4180</v>
      </c>
      <c r="G1388" s="2973" t="s">
        <v>4181</v>
      </c>
    </row>
    <row r="1389" spans="1:7" hidden="1">
      <c r="A1389" s="2973">
        <v>1388</v>
      </c>
      <c r="B1389" s="2974" t="s">
        <v>4182</v>
      </c>
      <c r="C1389" s="2974">
        <v>-1</v>
      </c>
      <c r="D1389" s="2976" t="s">
        <v>4281</v>
      </c>
      <c r="E1389" s="2976">
        <v>12.84</v>
      </c>
      <c r="F1389" s="2974" t="s">
        <v>4180</v>
      </c>
      <c r="G1389" s="2973" t="s">
        <v>4181</v>
      </c>
    </row>
    <row r="1390" spans="1:7" hidden="1">
      <c r="A1390" s="2973">
        <v>1389</v>
      </c>
      <c r="B1390" s="2974" t="s">
        <v>4182</v>
      </c>
      <c r="C1390" s="2974">
        <v>-1</v>
      </c>
      <c r="D1390" s="2976" t="s">
        <v>4282</v>
      </c>
      <c r="E1390" s="2976">
        <v>12.84</v>
      </c>
      <c r="F1390" s="2974" t="s">
        <v>4180</v>
      </c>
      <c r="G1390" s="2973" t="s">
        <v>4181</v>
      </c>
    </row>
    <row r="1391" spans="1:7" hidden="1">
      <c r="A1391" s="2973">
        <v>1390</v>
      </c>
      <c r="B1391" s="2974" t="s">
        <v>4182</v>
      </c>
      <c r="C1391" s="2974">
        <v>-1</v>
      </c>
      <c r="D1391" s="2976" t="s">
        <v>4283</v>
      </c>
      <c r="E1391" s="2976">
        <v>12.84</v>
      </c>
      <c r="F1391" s="2974" t="s">
        <v>4180</v>
      </c>
      <c r="G1391" s="2973" t="s">
        <v>4181</v>
      </c>
    </row>
    <row r="1392" spans="1:7" hidden="1">
      <c r="A1392" s="2973">
        <v>1391</v>
      </c>
      <c r="B1392" s="2974" t="s">
        <v>4182</v>
      </c>
      <c r="C1392" s="2974">
        <v>-1</v>
      </c>
      <c r="D1392" s="2976" t="s">
        <v>4284</v>
      </c>
      <c r="E1392" s="2976">
        <v>12.84</v>
      </c>
      <c r="F1392" s="2974" t="s">
        <v>4180</v>
      </c>
      <c r="G1392" s="2973" t="s">
        <v>4181</v>
      </c>
    </row>
    <row r="1393" spans="1:7" hidden="1">
      <c r="A1393" s="2973">
        <v>1392</v>
      </c>
      <c r="B1393" s="2974" t="s">
        <v>4182</v>
      </c>
      <c r="C1393" s="2974">
        <v>-1</v>
      </c>
      <c r="D1393" s="2976" t="s">
        <v>4285</v>
      </c>
      <c r="E1393" s="2976">
        <v>12.84</v>
      </c>
      <c r="F1393" s="2974" t="s">
        <v>4180</v>
      </c>
      <c r="G1393" s="2973" t="s">
        <v>4181</v>
      </c>
    </row>
    <row r="1394" spans="1:7" hidden="1">
      <c r="A1394" s="2973">
        <v>1393</v>
      </c>
      <c r="B1394" s="2974" t="s">
        <v>4182</v>
      </c>
      <c r="C1394" s="2974">
        <v>-1</v>
      </c>
      <c r="D1394" s="2976" t="s">
        <v>4286</v>
      </c>
      <c r="E1394" s="2976">
        <v>12.84</v>
      </c>
      <c r="F1394" s="2974" t="s">
        <v>4180</v>
      </c>
      <c r="G1394" s="2973" t="s">
        <v>4181</v>
      </c>
    </row>
    <row r="1395" spans="1:7" hidden="1">
      <c r="A1395" s="2973">
        <v>1394</v>
      </c>
      <c r="B1395" s="2974" t="s">
        <v>4182</v>
      </c>
      <c r="C1395" s="2974">
        <v>-1</v>
      </c>
      <c r="D1395" s="2976" t="s">
        <v>4287</v>
      </c>
      <c r="E1395" s="2976">
        <v>12.84</v>
      </c>
      <c r="F1395" s="2974" t="s">
        <v>4180</v>
      </c>
      <c r="G1395" s="2973" t="s">
        <v>4181</v>
      </c>
    </row>
    <row r="1396" spans="1:7" hidden="1">
      <c r="A1396" s="2973">
        <v>1395</v>
      </c>
      <c r="B1396" s="2974" t="s">
        <v>4182</v>
      </c>
      <c r="C1396" s="2974">
        <v>-1</v>
      </c>
      <c r="D1396" s="2976" t="s">
        <v>4288</v>
      </c>
      <c r="E1396" s="2976">
        <v>12.84</v>
      </c>
      <c r="F1396" s="2974" t="s">
        <v>4180</v>
      </c>
      <c r="G1396" s="2973" t="s">
        <v>4181</v>
      </c>
    </row>
    <row r="1397" spans="1:7" hidden="1">
      <c r="A1397" s="2973">
        <v>1396</v>
      </c>
      <c r="B1397" s="2974" t="s">
        <v>4182</v>
      </c>
      <c r="C1397" s="2974">
        <v>-1</v>
      </c>
      <c r="D1397" s="2976" t="s">
        <v>4289</v>
      </c>
      <c r="E1397" s="2976">
        <v>12.84</v>
      </c>
      <c r="F1397" s="2974" t="s">
        <v>4180</v>
      </c>
      <c r="G1397" s="2973" t="s">
        <v>4181</v>
      </c>
    </row>
    <row r="1398" spans="1:7" hidden="1">
      <c r="A1398" s="2973">
        <v>1397</v>
      </c>
      <c r="B1398" s="2974" t="s">
        <v>4182</v>
      </c>
      <c r="C1398" s="2974">
        <v>-1</v>
      </c>
      <c r="D1398" s="2976" t="s">
        <v>4290</v>
      </c>
      <c r="E1398" s="2976">
        <v>12.84</v>
      </c>
      <c r="F1398" s="2974" t="s">
        <v>4180</v>
      </c>
      <c r="G1398" s="2973" t="s">
        <v>4181</v>
      </c>
    </row>
    <row r="1399" spans="1:7" hidden="1">
      <c r="A1399" s="2973">
        <v>1398</v>
      </c>
      <c r="B1399" s="2974" t="s">
        <v>4182</v>
      </c>
      <c r="C1399" s="2974">
        <v>-1</v>
      </c>
      <c r="D1399" s="2976" t="s">
        <v>4291</v>
      </c>
      <c r="E1399" s="2976">
        <v>12.84</v>
      </c>
      <c r="F1399" s="2974" t="s">
        <v>4180</v>
      </c>
      <c r="G1399" s="2973" t="s">
        <v>4181</v>
      </c>
    </row>
    <row r="1400" spans="1:7" hidden="1">
      <c r="A1400" s="2973">
        <v>1399</v>
      </c>
      <c r="B1400" s="2974" t="s">
        <v>4182</v>
      </c>
      <c r="C1400" s="2974">
        <v>-1</v>
      </c>
      <c r="D1400" s="2976" t="s">
        <v>4292</v>
      </c>
      <c r="E1400" s="2976">
        <v>12.84</v>
      </c>
      <c r="F1400" s="2974" t="s">
        <v>4180</v>
      </c>
      <c r="G1400" s="2973" t="s">
        <v>4181</v>
      </c>
    </row>
    <row r="1401" spans="1:7" hidden="1">
      <c r="A1401" s="2973">
        <v>1400</v>
      </c>
      <c r="B1401" s="2974" t="s">
        <v>4182</v>
      </c>
      <c r="C1401" s="2974">
        <v>-1</v>
      </c>
      <c r="D1401" s="2976" t="s">
        <v>4293</v>
      </c>
      <c r="E1401" s="2976">
        <v>12.84</v>
      </c>
      <c r="F1401" s="2974" t="s">
        <v>4180</v>
      </c>
      <c r="G1401" s="2973" t="s">
        <v>4181</v>
      </c>
    </row>
    <row r="1402" spans="1:7" hidden="1">
      <c r="A1402" s="2973">
        <v>1401</v>
      </c>
      <c r="B1402" s="2974" t="s">
        <v>4182</v>
      </c>
      <c r="C1402" s="2974">
        <v>-1</v>
      </c>
      <c r="D1402" s="2976" t="s">
        <v>4294</v>
      </c>
      <c r="E1402" s="2976">
        <v>12.84</v>
      </c>
      <c r="F1402" s="2974" t="s">
        <v>4180</v>
      </c>
      <c r="G1402" s="2973" t="s">
        <v>4181</v>
      </c>
    </row>
    <row r="1403" spans="1:7" hidden="1">
      <c r="A1403" s="2973">
        <v>1402</v>
      </c>
      <c r="B1403" s="2974" t="s">
        <v>4182</v>
      </c>
      <c r="C1403" s="2974">
        <v>-1</v>
      </c>
      <c r="D1403" s="2976" t="s">
        <v>4295</v>
      </c>
      <c r="E1403" s="2976">
        <v>12.84</v>
      </c>
      <c r="F1403" s="2974" t="s">
        <v>4180</v>
      </c>
      <c r="G1403" s="2973" t="s">
        <v>4181</v>
      </c>
    </row>
    <row r="1404" spans="1:7" hidden="1">
      <c r="A1404" s="2973">
        <v>1403</v>
      </c>
      <c r="B1404" s="2974" t="s">
        <v>4182</v>
      </c>
      <c r="C1404" s="2974">
        <v>-1</v>
      </c>
      <c r="D1404" s="2976" t="s">
        <v>4296</v>
      </c>
      <c r="E1404" s="2976">
        <v>12.84</v>
      </c>
      <c r="F1404" s="2974" t="s">
        <v>4180</v>
      </c>
      <c r="G1404" s="2973" t="s">
        <v>4181</v>
      </c>
    </row>
    <row r="1405" spans="1:7" hidden="1">
      <c r="A1405" s="2973">
        <v>1404</v>
      </c>
      <c r="B1405" s="2974" t="s">
        <v>4182</v>
      </c>
      <c r="C1405" s="2974">
        <v>-1</v>
      </c>
      <c r="D1405" s="2976" t="s">
        <v>4297</v>
      </c>
      <c r="E1405" s="2976">
        <v>12.84</v>
      </c>
      <c r="F1405" s="2974" t="s">
        <v>4180</v>
      </c>
      <c r="G1405" s="2973" t="s">
        <v>4181</v>
      </c>
    </row>
    <row r="1406" spans="1:7" hidden="1">
      <c r="A1406" s="2973">
        <v>1405</v>
      </c>
      <c r="B1406" s="2974" t="s">
        <v>4182</v>
      </c>
      <c r="C1406" s="2974">
        <v>-1</v>
      </c>
      <c r="D1406" s="2976" t="s">
        <v>4298</v>
      </c>
      <c r="E1406" s="2976">
        <v>12.84</v>
      </c>
      <c r="F1406" s="2974" t="s">
        <v>4180</v>
      </c>
      <c r="G1406" s="2973" t="s">
        <v>4181</v>
      </c>
    </row>
    <row r="1407" spans="1:7" hidden="1">
      <c r="A1407" s="2973">
        <v>1406</v>
      </c>
      <c r="B1407" s="2974" t="s">
        <v>4182</v>
      </c>
      <c r="C1407" s="2974">
        <v>-1</v>
      </c>
      <c r="D1407" s="2976" t="s">
        <v>4299</v>
      </c>
      <c r="E1407" s="2976">
        <v>12.84</v>
      </c>
      <c r="F1407" s="2974" t="s">
        <v>4180</v>
      </c>
      <c r="G1407" s="2973" t="s">
        <v>4181</v>
      </c>
    </row>
    <row r="1408" spans="1:7" hidden="1">
      <c r="A1408" s="2973">
        <v>1407</v>
      </c>
      <c r="B1408" s="2974" t="s">
        <v>4182</v>
      </c>
      <c r="C1408" s="2974">
        <v>-1</v>
      </c>
      <c r="D1408" s="2976" t="s">
        <v>4300</v>
      </c>
      <c r="E1408" s="2976">
        <v>12.84</v>
      </c>
      <c r="F1408" s="2974" t="s">
        <v>4180</v>
      </c>
      <c r="G1408" s="2973" t="s">
        <v>4181</v>
      </c>
    </row>
    <row r="1409" spans="1:7" hidden="1">
      <c r="A1409" s="2973">
        <v>1408</v>
      </c>
      <c r="B1409" s="2974" t="s">
        <v>4182</v>
      </c>
      <c r="C1409" s="2974">
        <v>-1</v>
      </c>
      <c r="D1409" s="2976" t="s">
        <v>4301</v>
      </c>
      <c r="E1409" s="2976">
        <v>12.84</v>
      </c>
      <c r="F1409" s="2974" t="s">
        <v>4180</v>
      </c>
      <c r="G1409" s="2973" t="s">
        <v>4181</v>
      </c>
    </row>
    <row r="1410" spans="1:7" hidden="1">
      <c r="A1410" s="2973">
        <v>1409</v>
      </c>
      <c r="B1410" s="2974" t="s">
        <v>4182</v>
      </c>
      <c r="C1410" s="2974">
        <v>-1</v>
      </c>
      <c r="D1410" s="2976" t="s">
        <v>4302</v>
      </c>
      <c r="E1410" s="2976">
        <v>12.84</v>
      </c>
      <c r="F1410" s="2974" t="s">
        <v>4180</v>
      </c>
      <c r="G1410" s="2973" t="s">
        <v>4181</v>
      </c>
    </row>
    <row r="1411" spans="1:7" hidden="1">
      <c r="A1411" s="2973">
        <v>1410</v>
      </c>
      <c r="B1411" s="2974" t="s">
        <v>4182</v>
      </c>
      <c r="C1411" s="2974">
        <v>-1</v>
      </c>
      <c r="D1411" s="2976" t="s">
        <v>4303</v>
      </c>
      <c r="E1411" s="2976">
        <v>12.84</v>
      </c>
      <c r="F1411" s="2974" t="s">
        <v>4180</v>
      </c>
      <c r="G1411" s="2973" t="s">
        <v>4181</v>
      </c>
    </row>
    <row r="1412" spans="1:7" hidden="1">
      <c r="A1412" s="2973">
        <v>1411</v>
      </c>
      <c r="B1412" s="2974" t="s">
        <v>4182</v>
      </c>
      <c r="C1412" s="2974">
        <v>-1</v>
      </c>
      <c r="D1412" s="2976" t="s">
        <v>4304</v>
      </c>
      <c r="E1412" s="2976">
        <v>12.84</v>
      </c>
      <c r="F1412" s="2974" t="s">
        <v>4180</v>
      </c>
      <c r="G1412" s="2973" t="s">
        <v>4181</v>
      </c>
    </row>
    <row r="1413" spans="1:7" hidden="1">
      <c r="A1413" s="2973">
        <v>1412</v>
      </c>
      <c r="B1413" s="2974" t="s">
        <v>4182</v>
      </c>
      <c r="C1413" s="2974">
        <v>-1</v>
      </c>
      <c r="D1413" s="2976" t="s">
        <v>4305</v>
      </c>
      <c r="E1413" s="2976">
        <v>12.84</v>
      </c>
      <c r="F1413" s="2974" t="s">
        <v>4180</v>
      </c>
      <c r="G1413" s="2973" t="s">
        <v>4181</v>
      </c>
    </row>
    <row r="1414" spans="1:7" hidden="1">
      <c r="A1414" s="2973">
        <v>1413</v>
      </c>
      <c r="B1414" s="2974" t="s">
        <v>4182</v>
      </c>
      <c r="C1414" s="2974">
        <v>-1</v>
      </c>
      <c r="D1414" s="2976" t="s">
        <v>4306</v>
      </c>
      <c r="E1414" s="2976">
        <v>12.84</v>
      </c>
      <c r="F1414" s="2974" t="s">
        <v>4180</v>
      </c>
      <c r="G1414" s="2973" t="s">
        <v>4181</v>
      </c>
    </row>
    <row r="1415" spans="1:7" hidden="1">
      <c r="A1415" s="2973">
        <v>1414</v>
      </c>
      <c r="B1415" s="2974" t="s">
        <v>4182</v>
      </c>
      <c r="C1415" s="2974">
        <v>-1</v>
      </c>
      <c r="D1415" s="2976" t="s">
        <v>4307</v>
      </c>
      <c r="E1415" s="2976">
        <v>12.84</v>
      </c>
      <c r="F1415" s="2974" t="s">
        <v>4180</v>
      </c>
      <c r="G1415" s="2973" t="s">
        <v>4181</v>
      </c>
    </row>
    <row r="1416" spans="1:7" hidden="1">
      <c r="A1416" s="2973">
        <v>1415</v>
      </c>
      <c r="B1416" s="2974" t="s">
        <v>4182</v>
      </c>
      <c r="C1416" s="2974">
        <v>-1</v>
      </c>
      <c r="D1416" s="2976" t="s">
        <v>4308</v>
      </c>
      <c r="E1416" s="2976">
        <v>12.84</v>
      </c>
      <c r="F1416" s="2974" t="s">
        <v>4180</v>
      </c>
      <c r="G1416" s="2973" t="s">
        <v>4181</v>
      </c>
    </row>
    <row r="1417" spans="1:7" hidden="1">
      <c r="A1417" s="2973">
        <v>1416</v>
      </c>
      <c r="B1417" s="2974" t="s">
        <v>4182</v>
      </c>
      <c r="C1417" s="2974">
        <v>-1</v>
      </c>
      <c r="D1417" s="2976" t="s">
        <v>4309</v>
      </c>
      <c r="E1417" s="2976">
        <v>12.84</v>
      </c>
      <c r="F1417" s="2974" t="s">
        <v>4180</v>
      </c>
      <c r="G1417" s="2973" t="s">
        <v>4181</v>
      </c>
    </row>
    <row r="1418" spans="1:7" hidden="1">
      <c r="A1418" s="2973">
        <v>1417</v>
      </c>
      <c r="B1418" s="2974" t="s">
        <v>4182</v>
      </c>
      <c r="C1418" s="2974">
        <v>-1</v>
      </c>
      <c r="D1418" s="2976" t="s">
        <v>4310</v>
      </c>
      <c r="E1418" s="2976">
        <v>12.84</v>
      </c>
      <c r="F1418" s="2974" t="s">
        <v>4180</v>
      </c>
      <c r="G1418" s="2973" t="s">
        <v>4181</v>
      </c>
    </row>
    <row r="1419" spans="1:7" hidden="1">
      <c r="A1419" s="2973">
        <v>1418</v>
      </c>
      <c r="B1419" s="2974" t="s">
        <v>4182</v>
      </c>
      <c r="C1419" s="2974">
        <v>-1</v>
      </c>
      <c r="D1419" s="2976" t="s">
        <v>4311</v>
      </c>
      <c r="E1419" s="2976">
        <v>12.84</v>
      </c>
      <c r="F1419" s="2974" t="s">
        <v>4180</v>
      </c>
      <c r="G1419" s="2973" t="s">
        <v>4181</v>
      </c>
    </row>
    <row r="1420" spans="1:7" hidden="1">
      <c r="A1420" s="2973">
        <v>1419</v>
      </c>
      <c r="B1420" s="2974" t="s">
        <v>4182</v>
      </c>
      <c r="C1420" s="2974">
        <v>-1</v>
      </c>
      <c r="D1420" s="2976" t="s">
        <v>4312</v>
      </c>
      <c r="E1420" s="2976">
        <v>12.84</v>
      </c>
      <c r="F1420" s="2974" t="s">
        <v>4180</v>
      </c>
      <c r="G1420" s="2973" t="s">
        <v>4181</v>
      </c>
    </row>
    <row r="1421" spans="1:7" hidden="1">
      <c r="A1421" s="2973">
        <v>1420</v>
      </c>
      <c r="B1421" s="2974" t="s">
        <v>4182</v>
      </c>
      <c r="C1421" s="2974">
        <v>-1</v>
      </c>
      <c r="D1421" s="2976" t="s">
        <v>4313</v>
      </c>
      <c r="E1421" s="2976">
        <v>12.84</v>
      </c>
      <c r="F1421" s="2974" t="s">
        <v>4180</v>
      </c>
      <c r="G1421" s="2973" t="s">
        <v>4181</v>
      </c>
    </row>
    <row r="1422" spans="1:7" hidden="1">
      <c r="A1422" s="2973">
        <v>1421</v>
      </c>
      <c r="B1422" s="2974" t="s">
        <v>4182</v>
      </c>
      <c r="C1422" s="2974">
        <v>-1</v>
      </c>
      <c r="D1422" s="2976" t="s">
        <v>4314</v>
      </c>
      <c r="E1422" s="2976">
        <v>12.84</v>
      </c>
      <c r="F1422" s="2974" t="s">
        <v>4180</v>
      </c>
      <c r="G1422" s="2973" t="s">
        <v>4181</v>
      </c>
    </row>
    <row r="1423" spans="1:7" hidden="1">
      <c r="A1423" s="2973">
        <v>1422</v>
      </c>
      <c r="B1423" s="2974" t="s">
        <v>4182</v>
      </c>
      <c r="C1423" s="2974">
        <v>-1</v>
      </c>
      <c r="D1423" s="2976" t="s">
        <v>4315</v>
      </c>
      <c r="E1423" s="2976">
        <v>12.84</v>
      </c>
      <c r="F1423" s="2974" t="s">
        <v>4180</v>
      </c>
      <c r="G1423" s="2973" t="s">
        <v>4181</v>
      </c>
    </row>
    <row r="1424" spans="1:7" hidden="1">
      <c r="A1424" s="2973">
        <v>1423</v>
      </c>
      <c r="B1424" s="2974" t="s">
        <v>4182</v>
      </c>
      <c r="C1424" s="2974">
        <v>-1</v>
      </c>
      <c r="D1424" s="2976" t="s">
        <v>4316</v>
      </c>
      <c r="E1424" s="2976">
        <v>12.84</v>
      </c>
      <c r="F1424" s="2974" t="s">
        <v>4180</v>
      </c>
      <c r="G1424" s="2973" t="s">
        <v>4181</v>
      </c>
    </row>
    <row r="1425" spans="1:7" hidden="1">
      <c r="A1425" s="2973">
        <v>1424</v>
      </c>
      <c r="B1425" s="2974" t="s">
        <v>4182</v>
      </c>
      <c r="C1425" s="2974">
        <v>-1</v>
      </c>
      <c r="D1425" s="2976" t="s">
        <v>4317</v>
      </c>
      <c r="E1425" s="2976">
        <v>12.84</v>
      </c>
      <c r="F1425" s="2974" t="s">
        <v>4180</v>
      </c>
      <c r="G1425" s="2973" t="s">
        <v>4181</v>
      </c>
    </row>
    <row r="1426" spans="1:7" hidden="1">
      <c r="A1426" s="2973">
        <v>1425</v>
      </c>
      <c r="B1426" s="2974" t="s">
        <v>4182</v>
      </c>
      <c r="C1426" s="2974">
        <v>-1</v>
      </c>
      <c r="D1426" s="2976" t="s">
        <v>4318</v>
      </c>
      <c r="E1426" s="2976">
        <v>12.84</v>
      </c>
      <c r="F1426" s="2974" t="s">
        <v>4180</v>
      </c>
      <c r="G1426" s="2973" t="s">
        <v>4181</v>
      </c>
    </row>
    <row r="1427" spans="1:7" hidden="1">
      <c r="A1427" s="2973">
        <v>1426</v>
      </c>
      <c r="B1427" s="2974" t="s">
        <v>4182</v>
      </c>
      <c r="C1427" s="2974">
        <v>-1</v>
      </c>
      <c r="D1427" s="2976" t="s">
        <v>4319</v>
      </c>
      <c r="E1427" s="2976">
        <v>12.84</v>
      </c>
      <c r="F1427" s="2974" t="s">
        <v>4180</v>
      </c>
      <c r="G1427" s="2973" t="s">
        <v>4181</v>
      </c>
    </row>
    <row r="1428" spans="1:7" hidden="1">
      <c r="A1428" s="2973">
        <v>1427</v>
      </c>
      <c r="B1428" s="2974" t="s">
        <v>4182</v>
      </c>
      <c r="C1428" s="2974">
        <v>-1</v>
      </c>
      <c r="D1428" s="2976" t="s">
        <v>4320</v>
      </c>
      <c r="E1428" s="2976">
        <v>12.84</v>
      </c>
      <c r="F1428" s="2974" t="s">
        <v>4180</v>
      </c>
      <c r="G1428" s="2973" t="s">
        <v>4181</v>
      </c>
    </row>
    <row r="1429" spans="1:7" hidden="1">
      <c r="A1429" s="2973">
        <v>1428</v>
      </c>
      <c r="B1429" s="2974" t="s">
        <v>4182</v>
      </c>
      <c r="C1429" s="2974">
        <v>-1</v>
      </c>
      <c r="D1429" s="2976" t="s">
        <v>4321</v>
      </c>
      <c r="E1429" s="2976">
        <v>12.84</v>
      </c>
      <c r="F1429" s="2974" t="s">
        <v>4180</v>
      </c>
      <c r="G1429" s="2973" t="s">
        <v>4181</v>
      </c>
    </row>
    <row r="1430" spans="1:7" hidden="1">
      <c r="A1430" s="2973">
        <v>1429</v>
      </c>
      <c r="B1430" s="2974" t="s">
        <v>4182</v>
      </c>
      <c r="C1430" s="2974">
        <v>-1</v>
      </c>
      <c r="D1430" s="2976" t="s">
        <v>4322</v>
      </c>
      <c r="E1430" s="2976">
        <v>12.84</v>
      </c>
      <c r="F1430" s="2974" t="s">
        <v>4180</v>
      </c>
      <c r="G1430" s="2973" t="s">
        <v>4181</v>
      </c>
    </row>
    <row r="1431" spans="1:7" hidden="1">
      <c r="A1431" s="2973">
        <v>1430</v>
      </c>
      <c r="B1431" s="2974" t="s">
        <v>4182</v>
      </c>
      <c r="C1431" s="2974">
        <v>-1</v>
      </c>
      <c r="D1431" s="2976" t="s">
        <v>4323</v>
      </c>
      <c r="E1431" s="2976">
        <v>12.84</v>
      </c>
      <c r="F1431" s="2974" t="s">
        <v>4180</v>
      </c>
      <c r="G1431" s="2973" t="s">
        <v>4181</v>
      </c>
    </row>
    <row r="1432" spans="1:7" hidden="1">
      <c r="A1432" s="2973">
        <v>1431</v>
      </c>
      <c r="B1432" s="2974" t="s">
        <v>4182</v>
      </c>
      <c r="C1432" s="2974">
        <v>-1</v>
      </c>
      <c r="D1432" s="2976" t="s">
        <v>4324</v>
      </c>
      <c r="E1432" s="2976">
        <v>12.84</v>
      </c>
      <c r="F1432" s="2974" t="s">
        <v>4180</v>
      </c>
      <c r="G1432" s="2973" t="s">
        <v>4181</v>
      </c>
    </row>
    <row r="1433" spans="1:7" hidden="1">
      <c r="A1433" s="2973">
        <v>1432</v>
      </c>
      <c r="B1433" s="2974" t="s">
        <v>4182</v>
      </c>
      <c r="C1433" s="2974">
        <v>-1</v>
      </c>
      <c r="D1433" s="2976" t="s">
        <v>4325</v>
      </c>
      <c r="E1433" s="2976">
        <v>12.84</v>
      </c>
      <c r="F1433" s="2974" t="s">
        <v>4180</v>
      </c>
      <c r="G1433" s="2973" t="s">
        <v>4181</v>
      </c>
    </row>
    <row r="1434" spans="1:7" hidden="1">
      <c r="A1434" s="2973">
        <v>1433</v>
      </c>
      <c r="B1434" s="2974" t="s">
        <v>4182</v>
      </c>
      <c r="C1434" s="2974">
        <v>-1</v>
      </c>
      <c r="D1434" s="2976" t="s">
        <v>4326</v>
      </c>
      <c r="E1434" s="2976">
        <v>12.84</v>
      </c>
      <c r="F1434" s="2974" t="s">
        <v>4180</v>
      </c>
      <c r="G1434" s="2973" t="s">
        <v>4181</v>
      </c>
    </row>
    <row r="1435" spans="1:7" hidden="1">
      <c r="A1435" s="2973">
        <v>1434</v>
      </c>
      <c r="B1435" s="2974" t="s">
        <v>4182</v>
      </c>
      <c r="C1435" s="2974">
        <v>-1</v>
      </c>
      <c r="D1435" s="2976" t="s">
        <v>4327</v>
      </c>
      <c r="E1435" s="2976">
        <v>12.84</v>
      </c>
      <c r="F1435" s="2974" t="s">
        <v>4180</v>
      </c>
      <c r="G1435" s="2973" t="s">
        <v>4181</v>
      </c>
    </row>
    <row r="1436" spans="1:7" hidden="1">
      <c r="A1436" s="2973">
        <v>1435</v>
      </c>
      <c r="B1436" s="2974" t="s">
        <v>4182</v>
      </c>
      <c r="C1436" s="2974">
        <v>-1</v>
      </c>
      <c r="D1436" s="2976" t="s">
        <v>4328</v>
      </c>
      <c r="E1436" s="2976">
        <v>12.84</v>
      </c>
      <c r="F1436" s="2974" t="s">
        <v>4180</v>
      </c>
      <c r="G1436" s="2973" t="s">
        <v>4181</v>
      </c>
    </row>
    <row r="1437" spans="1:7" hidden="1">
      <c r="A1437" s="2973">
        <v>1436</v>
      </c>
      <c r="B1437" s="2974" t="s">
        <v>4182</v>
      </c>
      <c r="C1437" s="2974">
        <v>-1</v>
      </c>
      <c r="D1437" s="2976" t="s">
        <v>4329</v>
      </c>
      <c r="E1437" s="2976">
        <v>12.84</v>
      </c>
      <c r="F1437" s="2974" t="s">
        <v>4180</v>
      </c>
      <c r="G1437" s="2973" t="s">
        <v>4181</v>
      </c>
    </row>
    <row r="1438" spans="1:7" hidden="1">
      <c r="A1438" s="2973">
        <v>1437</v>
      </c>
      <c r="B1438" s="2974" t="s">
        <v>4182</v>
      </c>
      <c r="C1438" s="2974">
        <v>-1</v>
      </c>
      <c r="D1438" s="2976" t="s">
        <v>4330</v>
      </c>
      <c r="E1438" s="2976">
        <v>12.84</v>
      </c>
      <c r="F1438" s="2974" t="s">
        <v>4180</v>
      </c>
      <c r="G1438" s="2973" t="s">
        <v>4181</v>
      </c>
    </row>
    <row r="1439" spans="1:7" hidden="1">
      <c r="A1439" s="2973">
        <v>1438</v>
      </c>
      <c r="B1439" s="2974" t="s">
        <v>4182</v>
      </c>
      <c r="C1439" s="2974">
        <v>-1</v>
      </c>
      <c r="D1439" s="2976" t="s">
        <v>4331</v>
      </c>
      <c r="E1439" s="2976">
        <v>12.84</v>
      </c>
      <c r="F1439" s="2974" t="s">
        <v>4180</v>
      </c>
      <c r="G1439" s="2973" t="s">
        <v>4181</v>
      </c>
    </row>
    <row r="1440" spans="1:7" hidden="1">
      <c r="A1440" s="2973">
        <v>1439</v>
      </c>
      <c r="B1440" s="2974" t="s">
        <v>4182</v>
      </c>
      <c r="C1440" s="2974">
        <v>-1</v>
      </c>
      <c r="D1440" s="2976" t="s">
        <v>4332</v>
      </c>
      <c r="E1440" s="2976">
        <v>12.84</v>
      </c>
      <c r="F1440" s="2974" t="s">
        <v>4180</v>
      </c>
      <c r="G1440" s="2973" t="s">
        <v>4181</v>
      </c>
    </row>
    <row r="1441" spans="1:7" hidden="1">
      <c r="A1441" s="2973">
        <v>1440</v>
      </c>
      <c r="B1441" s="2974" t="s">
        <v>4182</v>
      </c>
      <c r="C1441" s="2974">
        <v>-1</v>
      </c>
      <c r="D1441" s="2976" t="s">
        <v>4333</v>
      </c>
      <c r="E1441" s="2976">
        <v>12.84</v>
      </c>
      <c r="F1441" s="2974" t="s">
        <v>4180</v>
      </c>
      <c r="G1441" s="2973" t="s">
        <v>4181</v>
      </c>
    </row>
    <row r="1442" spans="1:7" hidden="1">
      <c r="A1442" s="2973">
        <v>1441</v>
      </c>
      <c r="B1442" s="2974" t="s">
        <v>4182</v>
      </c>
      <c r="C1442" s="2974">
        <v>-1</v>
      </c>
      <c r="D1442" s="2976" t="s">
        <v>4334</v>
      </c>
      <c r="E1442" s="2976">
        <v>12.84</v>
      </c>
      <c r="F1442" s="2974" t="s">
        <v>4180</v>
      </c>
      <c r="G1442" s="2973" t="s">
        <v>4181</v>
      </c>
    </row>
    <row r="1443" spans="1:7" hidden="1">
      <c r="A1443" s="2973">
        <v>1442</v>
      </c>
      <c r="B1443" s="2974" t="s">
        <v>4182</v>
      </c>
      <c r="C1443" s="2974">
        <v>-1</v>
      </c>
      <c r="D1443" s="2976" t="s">
        <v>4335</v>
      </c>
      <c r="E1443" s="2976">
        <v>12.84</v>
      </c>
      <c r="F1443" s="2974" t="s">
        <v>4180</v>
      </c>
      <c r="G1443" s="2973" t="s">
        <v>4181</v>
      </c>
    </row>
    <row r="1444" spans="1:7" hidden="1">
      <c r="A1444" s="2973">
        <v>1443</v>
      </c>
      <c r="B1444" s="2974" t="s">
        <v>4182</v>
      </c>
      <c r="C1444" s="2974">
        <v>-1</v>
      </c>
      <c r="D1444" s="2976" t="s">
        <v>4336</v>
      </c>
      <c r="E1444" s="2976">
        <v>12.84</v>
      </c>
      <c r="F1444" s="2974" t="s">
        <v>4180</v>
      </c>
      <c r="G1444" s="2973" t="s">
        <v>4181</v>
      </c>
    </row>
    <row r="1445" spans="1:7" hidden="1">
      <c r="A1445" s="2973">
        <v>1444</v>
      </c>
      <c r="B1445" s="2974" t="s">
        <v>4182</v>
      </c>
      <c r="C1445" s="2974">
        <v>-1</v>
      </c>
      <c r="D1445" s="2976" t="s">
        <v>4337</v>
      </c>
      <c r="E1445" s="2976">
        <v>12.84</v>
      </c>
      <c r="F1445" s="2974" t="s">
        <v>4180</v>
      </c>
      <c r="G1445" s="2973" t="s">
        <v>4181</v>
      </c>
    </row>
    <row r="1446" spans="1:7" hidden="1">
      <c r="A1446" s="2973">
        <v>1445</v>
      </c>
      <c r="B1446" s="2974" t="s">
        <v>4182</v>
      </c>
      <c r="C1446" s="2974">
        <v>-1</v>
      </c>
      <c r="D1446" s="2976" t="s">
        <v>4338</v>
      </c>
      <c r="E1446" s="2976">
        <v>12.84</v>
      </c>
      <c r="F1446" s="2974" t="s">
        <v>4180</v>
      </c>
      <c r="G1446" s="2973" t="s">
        <v>4181</v>
      </c>
    </row>
    <row r="1447" spans="1:7" hidden="1">
      <c r="A1447" s="2973">
        <v>1446</v>
      </c>
      <c r="B1447" s="2974" t="s">
        <v>4182</v>
      </c>
      <c r="C1447" s="2974">
        <v>-1</v>
      </c>
      <c r="D1447" s="2976" t="s">
        <v>4339</v>
      </c>
      <c r="E1447" s="2976">
        <v>12.84</v>
      </c>
      <c r="F1447" s="2974" t="s">
        <v>4180</v>
      </c>
      <c r="G1447" s="2973" t="s">
        <v>4181</v>
      </c>
    </row>
    <row r="1448" spans="1:7" hidden="1">
      <c r="A1448" s="2973">
        <v>1447</v>
      </c>
      <c r="B1448" s="2974" t="s">
        <v>4182</v>
      </c>
      <c r="C1448" s="2974">
        <v>-1</v>
      </c>
      <c r="D1448" s="2976" t="s">
        <v>4340</v>
      </c>
      <c r="E1448" s="2976">
        <v>12.84</v>
      </c>
      <c r="F1448" s="2974" t="s">
        <v>4180</v>
      </c>
      <c r="G1448" s="2973" t="s">
        <v>4181</v>
      </c>
    </row>
    <row r="1449" spans="1:7" hidden="1">
      <c r="A1449" s="2973">
        <v>1448</v>
      </c>
      <c r="B1449" s="2974" t="s">
        <v>4182</v>
      </c>
      <c r="C1449" s="2974">
        <v>-1</v>
      </c>
      <c r="D1449" s="2976" t="s">
        <v>4341</v>
      </c>
      <c r="E1449" s="2976">
        <v>12.84</v>
      </c>
      <c r="F1449" s="2974" t="s">
        <v>4180</v>
      </c>
      <c r="G1449" s="2973" t="s">
        <v>4181</v>
      </c>
    </row>
    <row r="1450" spans="1:7" hidden="1">
      <c r="A1450" s="2973">
        <v>1449</v>
      </c>
      <c r="B1450" s="2974" t="s">
        <v>4182</v>
      </c>
      <c r="C1450" s="2974">
        <v>-1</v>
      </c>
      <c r="D1450" s="2976" t="s">
        <v>4342</v>
      </c>
      <c r="E1450" s="2976">
        <v>12.84</v>
      </c>
      <c r="F1450" s="2974" t="s">
        <v>4180</v>
      </c>
      <c r="G1450" s="2973" t="s">
        <v>4181</v>
      </c>
    </row>
    <row r="1451" spans="1:7" hidden="1">
      <c r="A1451" s="2973">
        <v>1450</v>
      </c>
      <c r="B1451" s="2974" t="s">
        <v>4182</v>
      </c>
      <c r="C1451" s="2974">
        <v>-1</v>
      </c>
      <c r="D1451" s="2976" t="s">
        <v>4343</v>
      </c>
      <c r="E1451" s="2976">
        <v>12.84</v>
      </c>
      <c r="F1451" s="2974" t="s">
        <v>4180</v>
      </c>
      <c r="G1451" s="2973" t="s">
        <v>4181</v>
      </c>
    </row>
    <row r="1452" spans="1:7" hidden="1">
      <c r="A1452" s="2973">
        <v>1451</v>
      </c>
      <c r="B1452" s="2974" t="s">
        <v>4182</v>
      </c>
      <c r="C1452" s="2974">
        <v>-1</v>
      </c>
      <c r="D1452" s="2976" t="s">
        <v>4344</v>
      </c>
      <c r="E1452" s="2976">
        <v>12.84</v>
      </c>
      <c r="F1452" s="2974" t="s">
        <v>4180</v>
      </c>
      <c r="G1452" s="2973" t="s">
        <v>4181</v>
      </c>
    </row>
    <row r="1453" spans="1:7" hidden="1">
      <c r="A1453" s="2973">
        <v>1452</v>
      </c>
      <c r="B1453" s="2974" t="s">
        <v>4182</v>
      </c>
      <c r="C1453" s="2974">
        <v>-1</v>
      </c>
      <c r="D1453" s="2976" t="s">
        <v>4345</v>
      </c>
      <c r="E1453" s="2976">
        <v>12.84</v>
      </c>
      <c r="F1453" s="2974" t="s">
        <v>4180</v>
      </c>
      <c r="G1453" s="2973" t="s">
        <v>4181</v>
      </c>
    </row>
    <row r="1454" spans="1:7" hidden="1">
      <c r="A1454" s="2973">
        <v>1453</v>
      </c>
      <c r="B1454" s="2974" t="s">
        <v>4182</v>
      </c>
      <c r="C1454" s="2974">
        <v>-1</v>
      </c>
      <c r="D1454" s="2976" t="s">
        <v>4346</v>
      </c>
      <c r="E1454" s="2976">
        <v>12.84</v>
      </c>
      <c r="F1454" s="2974" t="s">
        <v>4180</v>
      </c>
      <c r="G1454" s="2973" t="s">
        <v>4181</v>
      </c>
    </row>
    <row r="1455" spans="1:7" hidden="1">
      <c r="A1455" s="2973">
        <v>1454</v>
      </c>
      <c r="B1455" s="2974" t="s">
        <v>4182</v>
      </c>
      <c r="C1455" s="2974">
        <v>-1</v>
      </c>
      <c r="D1455" s="2976" t="s">
        <v>4347</v>
      </c>
      <c r="E1455" s="2976">
        <v>12.84</v>
      </c>
      <c r="F1455" s="2974" t="s">
        <v>4180</v>
      </c>
      <c r="G1455" s="2973" t="s">
        <v>4181</v>
      </c>
    </row>
    <row r="1456" spans="1:7" hidden="1">
      <c r="A1456" s="2973">
        <v>1455</v>
      </c>
      <c r="B1456" s="2974" t="s">
        <v>4182</v>
      </c>
      <c r="C1456" s="2974">
        <v>-1</v>
      </c>
      <c r="D1456" s="2976" t="s">
        <v>4348</v>
      </c>
      <c r="E1456" s="2976">
        <v>12.84</v>
      </c>
      <c r="F1456" s="2974" t="s">
        <v>4180</v>
      </c>
      <c r="G1456" s="2973" t="s">
        <v>4181</v>
      </c>
    </row>
    <row r="1457" spans="1:7" hidden="1">
      <c r="A1457" s="2973">
        <v>1456</v>
      </c>
      <c r="B1457" s="2974" t="s">
        <v>4182</v>
      </c>
      <c r="C1457" s="2974">
        <v>-1</v>
      </c>
      <c r="D1457" s="2976" t="s">
        <v>4349</v>
      </c>
      <c r="E1457" s="2976">
        <v>12.84</v>
      </c>
      <c r="F1457" s="2974" t="s">
        <v>4180</v>
      </c>
      <c r="G1457" s="2973" t="s">
        <v>4181</v>
      </c>
    </row>
    <row r="1458" spans="1:7" hidden="1">
      <c r="A1458" s="2973">
        <v>1457</v>
      </c>
      <c r="B1458" s="2974" t="s">
        <v>4182</v>
      </c>
      <c r="C1458" s="2974">
        <v>-1</v>
      </c>
      <c r="D1458" s="2976" t="s">
        <v>4350</v>
      </c>
      <c r="E1458" s="2976">
        <v>12.84</v>
      </c>
      <c r="F1458" s="2974" t="s">
        <v>4180</v>
      </c>
      <c r="G1458" s="2973" t="s">
        <v>4181</v>
      </c>
    </row>
    <row r="1459" spans="1:7" hidden="1">
      <c r="A1459" s="2973">
        <v>1458</v>
      </c>
      <c r="B1459" s="2974" t="s">
        <v>4182</v>
      </c>
      <c r="C1459" s="2974">
        <v>-1</v>
      </c>
      <c r="D1459" s="2976" t="s">
        <v>4351</v>
      </c>
      <c r="E1459" s="2976">
        <v>12.84</v>
      </c>
      <c r="F1459" s="2974" t="s">
        <v>4180</v>
      </c>
      <c r="G1459" s="2973" t="s">
        <v>4181</v>
      </c>
    </row>
    <row r="1460" spans="1:7" hidden="1">
      <c r="A1460" s="2973">
        <v>1459</v>
      </c>
      <c r="B1460" s="2974" t="s">
        <v>4182</v>
      </c>
      <c r="C1460" s="2974">
        <v>-1</v>
      </c>
      <c r="D1460" s="2976" t="s">
        <v>4352</v>
      </c>
      <c r="E1460" s="2976">
        <v>12.84</v>
      </c>
      <c r="F1460" s="2974" t="s">
        <v>4180</v>
      </c>
      <c r="G1460" s="2973" t="s">
        <v>4181</v>
      </c>
    </row>
    <row r="1461" spans="1:7" hidden="1">
      <c r="A1461" s="2973">
        <v>1460</v>
      </c>
      <c r="B1461" s="2974" t="s">
        <v>4182</v>
      </c>
      <c r="C1461" s="2974">
        <v>-1</v>
      </c>
      <c r="D1461" s="2976" t="s">
        <v>4353</v>
      </c>
      <c r="E1461" s="2976">
        <v>12.84</v>
      </c>
      <c r="F1461" s="2974" t="s">
        <v>4180</v>
      </c>
      <c r="G1461" s="2973" t="s">
        <v>4181</v>
      </c>
    </row>
    <row r="1462" spans="1:7" hidden="1">
      <c r="A1462" s="2973">
        <v>1461</v>
      </c>
      <c r="B1462" s="2974" t="s">
        <v>4182</v>
      </c>
      <c r="C1462" s="2974">
        <v>-1</v>
      </c>
      <c r="D1462" s="2976" t="s">
        <v>4354</v>
      </c>
      <c r="E1462" s="2976">
        <v>12.84</v>
      </c>
      <c r="F1462" s="2974" t="s">
        <v>4180</v>
      </c>
      <c r="G1462" s="2973" t="s">
        <v>4181</v>
      </c>
    </row>
    <row r="1463" spans="1:7" hidden="1">
      <c r="A1463" s="2973">
        <v>1462</v>
      </c>
      <c r="B1463" s="2974" t="s">
        <v>4182</v>
      </c>
      <c r="C1463" s="2974">
        <v>-1</v>
      </c>
      <c r="D1463" s="2976" t="s">
        <v>4355</v>
      </c>
      <c r="E1463" s="2976">
        <v>12.84</v>
      </c>
      <c r="F1463" s="2974" t="s">
        <v>4180</v>
      </c>
      <c r="G1463" s="2973" t="s">
        <v>4181</v>
      </c>
    </row>
    <row r="1464" spans="1:7" hidden="1">
      <c r="A1464" s="2973">
        <v>1463</v>
      </c>
      <c r="B1464" s="2974" t="s">
        <v>4182</v>
      </c>
      <c r="C1464" s="2974">
        <v>-1</v>
      </c>
      <c r="D1464" s="2976" t="s">
        <v>4356</v>
      </c>
      <c r="E1464" s="2976">
        <v>12.84</v>
      </c>
      <c r="F1464" s="2974" t="s">
        <v>4180</v>
      </c>
      <c r="G1464" s="2973" t="s">
        <v>4181</v>
      </c>
    </row>
    <row r="1465" spans="1:7" hidden="1">
      <c r="A1465" s="2973">
        <v>1464</v>
      </c>
      <c r="B1465" s="2974" t="s">
        <v>4182</v>
      </c>
      <c r="C1465" s="2974">
        <v>-1</v>
      </c>
      <c r="D1465" s="2976" t="s">
        <v>4357</v>
      </c>
      <c r="E1465" s="2976">
        <v>12.84</v>
      </c>
      <c r="F1465" s="2974" t="s">
        <v>4180</v>
      </c>
      <c r="G1465" s="2973" t="s">
        <v>4181</v>
      </c>
    </row>
    <row r="1466" spans="1:7" hidden="1">
      <c r="A1466" s="2973">
        <v>1465</v>
      </c>
      <c r="B1466" s="2974" t="s">
        <v>4182</v>
      </c>
      <c r="C1466" s="2974">
        <v>-1</v>
      </c>
      <c r="D1466" s="2976" t="s">
        <v>4358</v>
      </c>
      <c r="E1466" s="2976">
        <v>12.84</v>
      </c>
      <c r="F1466" s="2974" t="s">
        <v>4180</v>
      </c>
      <c r="G1466" s="2973" t="s">
        <v>4181</v>
      </c>
    </row>
    <row r="1467" spans="1:7" hidden="1">
      <c r="A1467" s="2973">
        <v>1466</v>
      </c>
      <c r="B1467" s="2974" t="s">
        <v>4182</v>
      </c>
      <c r="C1467" s="2974">
        <v>-1</v>
      </c>
      <c r="D1467" s="2976" t="s">
        <v>4359</v>
      </c>
      <c r="E1467" s="2976">
        <v>12.84</v>
      </c>
      <c r="F1467" s="2974" t="s">
        <v>4180</v>
      </c>
      <c r="G1467" s="2973" t="s">
        <v>4181</v>
      </c>
    </row>
    <row r="1468" spans="1:7" hidden="1">
      <c r="A1468" s="2973">
        <v>1467</v>
      </c>
      <c r="B1468" s="2974" t="s">
        <v>4182</v>
      </c>
      <c r="C1468" s="2974">
        <v>-1</v>
      </c>
      <c r="D1468" s="2976" t="s">
        <v>4360</v>
      </c>
      <c r="E1468" s="2976">
        <v>12.84</v>
      </c>
      <c r="F1468" s="2974" t="s">
        <v>3868</v>
      </c>
      <c r="G1468" s="2973" t="s">
        <v>3857</v>
      </c>
    </row>
    <row r="1469" spans="1:7" hidden="1">
      <c r="A1469" s="2973">
        <v>1468</v>
      </c>
      <c r="B1469" s="2974" t="s">
        <v>3866</v>
      </c>
      <c r="C1469" s="2974">
        <v>-1</v>
      </c>
      <c r="D1469" s="2976" t="s">
        <v>4361</v>
      </c>
      <c r="E1469" s="2976">
        <v>12.84</v>
      </c>
      <c r="F1469" s="2974" t="s">
        <v>3868</v>
      </c>
      <c r="G1469" s="2973" t="s">
        <v>3857</v>
      </c>
    </row>
    <row r="1470" spans="1:7" hidden="1">
      <c r="A1470" s="2973">
        <v>1469</v>
      </c>
      <c r="B1470" s="2974" t="s">
        <v>3866</v>
      </c>
      <c r="C1470" s="2974">
        <v>-1</v>
      </c>
      <c r="D1470" s="2976" t="s">
        <v>4362</v>
      </c>
      <c r="E1470" s="2976">
        <v>12.84</v>
      </c>
      <c r="F1470" s="2974" t="s">
        <v>3868</v>
      </c>
      <c r="G1470" s="2973" t="s">
        <v>3857</v>
      </c>
    </row>
    <row r="1471" spans="1:7" hidden="1">
      <c r="A1471" s="2973">
        <v>1470</v>
      </c>
      <c r="B1471" s="2974" t="s">
        <v>3866</v>
      </c>
      <c r="C1471" s="2974">
        <v>-1</v>
      </c>
      <c r="D1471" s="2976" t="s">
        <v>4363</v>
      </c>
      <c r="E1471" s="2976">
        <v>12.84</v>
      </c>
      <c r="F1471" s="2974" t="s">
        <v>3868</v>
      </c>
      <c r="G1471" s="2973" t="s">
        <v>3857</v>
      </c>
    </row>
    <row r="1472" spans="1:7" hidden="1">
      <c r="A1472" s="2973">
        <v>1471</v>
      </c>
      <c r="B1472" s="2974" t="s">
        <v>3866</v>
      </c>
      <c r="C1472" s="2974">
        <v>-1</v>
      </c>
      <c r="D1472" s="2976" t="s">
        <v>4364</v>
      </c>
      <c r="E1472" s="2976">
        <v>12.84</v>
      </c>
      <c r="F1472" s="2974" t="s">
        <v>3868</v>
      </c>
      <c r="G1472" s="2973" t="s">
        <v>3857</v>
      </c>
    </row>
    <row r="1473" spans="1:7" hidden="1">
      <c r="A1473" s="2973">
        <v>1472</v>
      </c>
      <c r="B1473" s="2974" t="s">
        <v>3866</v>
      </c>
      <c r="C1473" s="2974">
        <v>-1</v>
      </c>
      <c r="D1473" s="2976" t="s">
        <v>4365</v>
      </c>
      <c r="E1473" s="2976">
        <v>12.84</v>
      </c>
      <c r="F1473" s="2974" t="s">
        <v>3868</v>
      </c>
      <c r="G1473" s="2973" t="s">
        <v>3857</v>
      </c>
    </row>
    <row r="1474" spans="1:7" hidden="1">
      <c r="A1474" s="2973">
        <v>1473</v>
      </c>
      <c r="B1474" s="2974" t="s">
        <v>3866</v>
      </c>
      <c r="C1474" s="2974">
        <v>-1</v>
      </c>
      <c r="D1474" s="2976" t="s">
        <v>4366</v>
      </c>
      <c r="E1474" s="2976">
        <v>12.84</v>
      </c>
      <c r="F1474" s="2974" t="s">
        <v>3868</v>
      </c>
      <c r="G1474" s="2973" t="s">
        <v>3857</v>
      </c>
    </row>
    <row r="1475" spans="1:7" hidden="1">
      <c r="A1475" s="2973">
        <v>1474</v>
      </c>
      <c r="B1475" s="2974" t="s">
        <v>3866</v>
      </c>
      <c r="C1475" s="2974">
        <v>-1</v>
      </c>
      <c r="D1475" s="2976" t="s">
        <v>4367</v>
      </c>
      <c r="E1475" s="2976">
        <v>12.84</v>
      </c>
      <c r="F1475" s="2974" t="s">
        <v>3913</v>
      </c>
      <c r="G1475" s="2973" t="s">
        <v>3796</v>
      </c>
    </row>
    <row r="1476" spans="1:7" hidden="1">
      <c r="A1476" s="2973">
        <v>1475</v>
      </c>
      <c r="B1476" s="2974" t="s">
        <v>3914</v>
      </c>
      <c r="C1476" s="2974">
        <v>-1</v>
      </c>
      <c r="D1476" s="2976" t="s">
        <v>4368</v>
      </c>
      <c r="E1476" s="2976">
        <v>12.84</v>
      </c>
      <c r="F1476" s="2974" t="s">
        <v>3913</v>
      </c>
      <c r="G1476" s="2973" t="s">
        <v>3796</v>
      </c>
    </row>
    <row r="1477" spans="1:7" hidden="1">
      <c r="A1477" s="2973">
        <v>1476</v>
      </c>
      <c r="B1477" s="2974" t="s">
        <v>3914</v>
      </c>
      <c r="C1477" s="2974">
        <v>-1</v>
      </c>
      <c r="D1477" s="2976" t="s">
        <v>4369</v>
      </c>
      <c r="E1477" s="2976">
        <v>12.84</v>
      </c>
      <c r="F1477" s="2974" t="s">
        <v>3913</v>
      </c>
      <c r="G1477" s="2973" t="s">
        <v>3796</v>
      </c>
    </row>
    <row r="1478" spans="1:7" hidden="1">
      <c r="A1478" s="2973">
        <v>1477</v>
      </c>
      <c r="B1478" s="2974" t="s">
        <v>3914</v>
      </c>
      <c r="C1478" s="2974">
        <v>-1</v>
      </c>
      <c r="D1478" s="2976" t="s">
        <v>4370</v>
      </c>
      <c r="E1478" s="2976">
        <v>12.84</v>
      </c>
      <c r="F1478" s="2974" t="s">
        <v>3913</v>
      </c>
      <c r="G1478" s="2973" t="s">
        <v>3796</v>
      </c>
    </row>
    <row r="1479" spans="1:7" hidden="1">
      <c r="A1479" s="2973">
        <v>1478</v>
      </c>
      <c r="B1479" s="2974" t="s">
        <v>3914</v>
      </c>
      <c r="C1479" s="2974">
        <v>-1</v>
      </c>
      <c r="D1479" s="2976" t="s">
        <v>4371</v>
      </c>
      <c r="E1479" s="2976">
        <v>12.84</v>
      </c>
      <c r="F1479" s="2974" t="s">
        <v>3913</v>
      </c>
      <c r="G1479" s="2973" t="s">
        <v>3796</v>
      </c>
    </row>
    <row r="1480" spans="1:7" hidden="1">
      <c r="A1480" s="2973">
        <v>1479</v>
      </c>
      <c r="B1480" s="2974" t="s">
        <v>3914</v>
      </c>
      <c r="C1480" s="2974">
        <v>-1</v>
      </c>
      <c r="D1480" s="2976" t="s">
        <v>4372</v>
      </c>
      <c r="E1480" s="2976">
        <v>12.84</v>
      </c>
      <c r="F1480" s="2974" t="s">
        <v>3913</v>
      </c>
      <c r="G1480" s="2973" t="s">
        <v>3796</v>
      </c>
    </row>
    <row r="1481" spans="1:7" hidden="1">
      <c r="A1481" s="2973">
        <v>1480</v>
      </c>
      <c r="B1481" s="2974" t="s">
        <v>3914</v>
      </c>
      <c r="C1481" s="2974">
        <v>-1</v>
      </c>
      <c r="D1481" s="2976" t="s">
        <v>4373</v>
      </c>
      <c r="E1481" s="2976">
        <v>12.84</v>
      </c>
      <c r="F1481" s="2974" t="s">
        <v>3913</v>
      </c>
      <c r="G1481" s="2973" t="s">
        <v>3796</v>
      </c>
    </row>
    <row r="1482" spans="1:7" hidden="1">
      <c r="A1482" s="2973">
        <v>1481</v>
      </c>
      <c r="B1482" s="2974" t="s">
        <v>3914</v>
      </c>
      <c r="C1482" s="2974">
        <v>-1</v>
      </c>
      <c r="D1482" s="2976" t="s">
        <v>4374</v>
      </c>
      <c r="E1482" s="2976">
        <v>12.84</v>
      </c>
      <c r="F1482" s="2974" t="s">
        <v>3913</v>
      </c>
      <c r="G1482" s="2973" t="s">
        <v>3796</v>
      </c>
    </row>
    <row r="1483" spans="1:7" hidden="1">
      <c r="A1483" s="2973">
        <v>1482</v>
      </c>
      <c r="B1483" s="2974" t="s">
        <v>3914</v>
      </c>
      <c r="C1483" s="2974">
        <v>-1</v>
      </c>
      <c r="D1483" s="2976" t="s">
        <v>4375</v>
      </c>
      <c r="E1483" s="2976">
        <v>12.84</v>
      </c>
      <c r="F1483" s="2974" t="s">
        <v>3913</v>
      </c>
      <c r="G1483" s="2973" t="s">
        <v>3796</v>
      </c>
    </row>
    <row r="1484" spans="1:7" hidden="1">
      <c r="A1484" s="2973">
        <v>1483</v>
      </c>
      <c r="B1484" s="2974" t="s">
        <v>3914</v>
      </c>
      <c r="C1484" s="2974">
        <v>-1</v>
      </c>
      <c r="D1484" s="2976" t="s">
        <v>4376</v>
      </c>
      <c r="E1484" s="2976">
        <v>12.84</v>
      </c>
      <c r="F1484" s="2974" t="s">
        <v>3913</v>
      </c>
      <c r="G1484" s="2973" t="s">
        <v>3796</v>
      </c>
    </row>
    <row r="1485" spans="1:7" hidden="1">
      <c r="A1485" s="2973">
        <v>1484</v>
      </c>
      <c r="B1485" s="2974" t="s">
        <v>3914</v>
      </c>
      <c r="C1485" s="2974">
        <v>-1</v>
      </c>
      <c r="D1485" s="2976" t="s">
        <v>4377</v>
      </c>
      <c r="E1485" s="2976">
        <v>12.84</v>
      </c>
      <c r="F1485" s="2974" t="s">
        <v>3913</v>
      </c>
      <c r="G1485" s="2973" t="s">
        <v>3796</v>
      </c>
    </row>
    <row r="1486" spans="1:7" hidden="1">
      <c r="A1486" s="2973">
        <v>1485</v>
      </c>
      <c r="B1486" s="2974" t="s">
        <v>3914</v>
      </c>
      <c r="C1486" s="2974">
        <v>-1</v>
      </c>
      <c r="D1486" s="2976" t="s">
        <v>4378</v>
      </c>
      <c r="E1486" s="2976">
        <v>12.84</v>
      </c>
      <c r="F1486" s="2974" t="s">
        <v>3913</v>
      </c>
      <c r="G1486" s="2973" t="s">
        <v>3796</v>
      </c>
    </row>
    <row r="1487" spans="1:7" hidden="1">
      <c r="A1487" s="2973">
        <v>1486</v>
      </c>
      <c r="B1487" s="2974" t="s">
        <v>3914</v>
      </c>
      <c r="C1487" s="2974">
        <v>-1</v>
      </c>
      <c r="D1487" s="2976" t="s">
        <v>4379</v>
      </c>
      <c r="E1487" s="2976">
        <v>12.84</v>
      </c>
      <c r="F1487" s="2974" t="s">
        <v>3913</v>
      </c>
      <c r="G1487" s="2973" t="s">
        <v>3796</v>
      </c>
    </row>
    <row r="1488" spans="1:7" hidden="1">
      <c r="A1488" s="2973">
        <v>1487</v>
      </c>
      <c r="B1488" s="2974" t="s">
        <v>3914</v>
      </c>
      <c r="C1488" s="2974">
        <v>-1</v>
      </c>
      <c r="D1488" s="2976" t="s">
        <v>4380</v>
      </c>
      <c r="E1488" s="2976">
        <v>12.84</v>
      </c>
      <c r="F1488" s="2974" t="s">
        <v>3913</v>
      </c>
      <c r="G1488" s="2973" t="s">
        <v>3796</v>
      </c>
    </row>
    <row r="1489" spans="1:7" hidden="1">
      <c r="A1489" s="2973">
        <v>1488</v>
      </c>
      <c r="B1489" s="2974" t="s">
        <v>3914</v>
      </c>
      <c r="C1489" s="2974">
        <v>-1</v>
      </c>
      <c r="D1489" s="2976" t="s">
        <v>4381</v>
      </c>
      <c r="E1489" s="2976">
        <v>12.84</v>
      </c>
      <c r="F1489" s="2974" t="s">
        <v>3913</v>
      </c>
      <c r="G1489" s="2973" t="s">
        <v>3796</v>
      </c>
    </row>
    <row r="1490" spans="1:7" hidden="1">
      <c r="A1490" s="2973">
        <v>1489</v>
      </c>
      <c r="B1490" s="2974" t="s">
        <v>3914</v>
      </c>
      <c r="C1490" s="2974">
        <v>-1</v>
      </c>
      <c r="D1490" s="2976" t="s">
        <v>4382</v>
      </c>
      <c r="E1490" s="2976">
        <v>12.84</v>
      </c>
      <c r="F1490" s="2974" t="s">
        <v>3913</v>
      </c>
      <c r="G1490" s="2973" t="s">
        <v>3796</v>
      </c>
    </row>
    <row r="1491" spans="1:7" hidden="1">
      <c r="A1491" s="2973">
        <v>1490</v>
      </c>
      <c r="B1491" s="2974" t="s">
        <v>3914</v>
      </c>
      <c r="C1491" s="2974">
        <v>-1</v>
      </c>
      <c r="D1491" s="2976" t="s">
        <v>4383</v>
      </c>
      <c r="E1491" s="2976">
        <v>12.84</v>
      </c>
      <c r="F1491" s="2974" t="s">
        <v>3913</v>
      </c>
      <c r="G1491" s="2973" t="s">
        <v>3796</v>
      </c>
    </row>
    <row r="1492" spans="1:7" hidden="1">
      <c r="A1492" s="2973">
        <v>1491</v>
      </c>
      <c r="B1492" s="2974" t="s">
        <v>3914</v>
      </c>
      <c r="C1492" s="2974">
        <v>-1</v>
      </c>
      <c r="D1492" s="2976" t="s">
        <v>4384</v>
      </c>
      <c r="E1492" s="2976">
        <v>12.84</v>
      </c>
      <c r="F1492" s="2974" t="s">
        <v>3913</v>
      </c>
      <c r="G1492" s="2973" t="s">
        <v>3796</v>
      </c>
    </row>
    <row r="1493" spans="1:7" hidden="1">
      <c r="A1493" s="2973">
        <v>1492</v>
      </c>
      <c r="B1493" s="2974" t="s">
        <v>3914</v>
      </c>
      <c r="C1493" s="2974">
        <v>-1</v>
      </c>
      <c r="D1493" s="2976" t="s">
        <v>4385</v>
      </c>
      <c r="E1493" s="2976">
        <v>12.84</v>
      </c>
      <c r="F1493" s="2974" t="s">
        <v>3913</v>
      </c>
      <c r="G1493" s="2973" t="s">
        <v>3796</v>
      </c>
    </row>
    <row r="1494" spans="1:7" hidden="1">
      <c r="A1494" s="2973">
        <v>1493</v>
      </c>
      <c r="B1494" s="2974" t="s">
        <v>3914</v>
      </c>
      <c r="C1494" s="2974">
        <v>-1</v>
      </c>
      <c r="D1494" s="2976" t="s">
        <v>4386</v>
      </c>
      <c r="E1494" s="2976">
        <v>12.84</v>
      </c>
      <c r="F1494" s="2974" t="s">
        <v>3913</v>
      </c>
      <c r="G1494" s="2973" t="s">
        <v>3796</v>
      </c>
    </row>
    <row r="1495" spans="1:7" hidden="1">
      <c r="A1495" s="2973">
        <v>1494</v>
      </c>
      <c r="B1495" s="2974" t="s">
        <v>3914</v>
      </c>
      <c r="C1495" s="2974">
        <v>-1</v>
      </c>
      <c r="D1495" s="2976" t="s">
        <v>4387</v>
      </c>
      <c r="E1495" s="2976">
        <v>12.84</v>
      </c>
      <c r="F1495" s="2974" t="s">
        <v>3913</v>
      </c>
      <c r="G1495" s="2973" t="s">
        <v>3796</v>
      </c>
    </row>
    <row r="1496" spans="1:7" hidden="1">
      <c r="A1496" s="2973">
        <v>1495</v>
      </c>
      <c r="B1496" s="2974" t="s">
        <v>3914</v>
      </c>
      <c r="C1496" s="2974">
        <v>-1</v>
      </c>
      <c r="D1496" s="2976" t="s">
        <v>4388</v>
      </c>
      <c r="E1496" s="2976">
        <v>12.84</v>
      </c>
      <c r="F1496" s="2974" t="s">
        <v>3913</v>
      </c>
      <c r="G1496" s="2973" t="s">
        <v>3796</v>
      </c>
    </row>
    <row r="1497" spans="1:7" hidden="1">
      <c r="A1497" s="2973">
        <v>1496</v>
      </c>
      <c r="B1497" s="2974" t="s">
        <v>3914</v>
      </c>
      <c r="C1497" s="2974">
        <v>-1</v>
      </c>
      <c r="D1497" s="2976" t="s">
        <v>4389</v>
      </c>
      <c r="E1497" s="2976">
        <v>12.84</v>
      </c>
      <c r="F1497" s="2974" t="s">
        <v>3913</v>
      </c>
      <c r="G1497" s="2973" t="s">
        <v>3796</v>
      </c>
    </row>
    <row r="1498" spans="1:7" hidden="1">
      <c r="A1498" s="2973">
        <v>1497</v>
      </c>
      <c r="B1498" s="2974" t="s">
        <v>3914</v>
      </c>
      <c r="C1498" s="2974">
        <v>-1</v>
      </c>
      <c r="D1498" s="2976" t="s">
        <v>4390</v>
      </c>
      <c r="E1498" s="2976">
        <v>12.84</v>
      </c>
      <c r="F1498" s="2974" t="s">
        <v>3913</v>
      </c>
      <c r="G1498" s="2973" t="s">
        <v>3796</v>
      </c>
    </row>
    <row r="1499" spans="1:7" hidden="1">
      <c r="A1499" s="2973">
        <v>1498</v>
      </c>
      <c r="B1499" s="2974" t="s">
        <v>3914</v>
      </c>
      <c r="C1499" s="2974">
        <v>-1</v>
      </c>
      <c r="D1499" s="2976" t="s">
        <v>4391</v>
      </c>
      <c r="E1499" s="2976">
        <v>12.84</v>
      </c>
      <c r="F1499" s="2974" t="s">
        <v>3913</v>
      </c>
      <c r="G1499" s="2973" t="s">
        <v>3796</v>
      </c>
    </row>
    <row r="1500" spans="1:7" hidden="1">
      <c r="A1500" s="2973">
        <v>1499</v>
      </c>
      <c r="B1500" s="2974" t="s">
        <v>3914</v>
      </c>
      <c r="C1500" s="2974">
        <v>-1</v>
      </c>
      <c r="D1500" s="2976" t="s">
        <v>4392</v>
      </c>
      <c r="E1500" s="2976">
        <v>12.84</v>
      </c>
      <c r="F1500" s="2974" t="s">
        <v>3913</v>
      </c>
      <c r="G1500" s="2973" t="s">
        <v>3796</v>
      </c>
    </row>
    <row r="1501" spans="1:7" hidden="1">
      <c r="A1501" s="2973">
        <v>1500</v>
      </c>
      <c r="B1501" s="2974" t="s">
        <v>3914</v>
      </c>
      <c r="C1501" s="2974">
        <v>-1</v>
      </c>
      <c r="D1501" s="2976" t="s">
        <v>4393</v>
      </c>
      <c r="E1501" s="2976">
        <v>12.84</v>
      </c>
      <c r="F1501" s="2974" t="s">
        <v>3913</v>
      </c>
      <c r="G1501" s="2973" t="s">
        <v>3796</v>
      </c>
    </row>
    <row r="1502" spans="1:7" hidden="1">
      <c r="A1502" s="2973">
        <v>1501</v>
      </c>
      <c r="B1502" s="2974" t="s">
        <v>3914</v>
      </c>
      <c r="C1502" s="2974">
        <v>-1</v>
      </c>
      <c r="D1502" s="2976" t="s">
        <v>4394</v>
      </c>
      <c r="E1502" s="2976">
        <v>12.84</v>
      </c>
      <c r="F1502" s="2974" t="s">
        <v>3913</v>
      </c>
      <c r="G1502" s="2973" t="s">
        <v>3796</v>
      </c>
    </row>
    <row r="1503" spans="1:7" hidden="1">
      <c r="A1503" s="2973">
        <v>1502</v>
      </c>
      <c r="B1503" s="2974" t="s">
        <v>3914</v>
      </c>
      <c r="C1503" s="2974">
        <v>-1</v>
      </c>
      <c r="D1503" s="2976" t="s">
        <v>4395</v>
      </c>
      <c r="E1503" s="2976">
        <v>12.84</v>
      </c>
      <c r="F1503" s="2974" t="s">
        <v>3913</v>
      </c>
      <c r="G1503" s="2973" t="s">
        <v>3796</v>
      </c>
    </row>
    <row r="1504" spans="1:7" hidden="1">
      <c r="A1504" s="2973">
        <v>1503</v>
      </c>
      <c r="B1504" s="2974" t="s">
        <v>3914</v>
      </c>
      <c r="C1504" s="2974">
        <v>-1</v>
      </c>
      <c r="D1504" s="2976" t="s">
        <v>4396</v>
      </c>
      <c r="E1504" s="2976">
        <v>12.84</v>
      </c>
      <c r="F1504" s="2974" t="s">
        <v>3913</v>
      </c>
      <c r="G1504" s="2973" t="s">
        <v>3796</v>
      </c>
    </row>
    <row r="1505" spans="1:7" hidden="1">
      <c r="A1505" s="2973">
        <v>1504</v>
      </c>
      <c r="B1505" s="2974" t="s">
        <v>3914</v>
      </c>
      <c r="C1505" s="2974">
        <v>-1</v>
      </c>
      <c r="D1505" s="2976" t="s">
        <v>4397</v>
      </c>
      <c r="E1505" s="2976">
        <v>12.84</v>
      </c>
      <c r="F1505" s="2974" t="s">
        <v>3913</v>
      </c>
      <c r="G1505" s="2973" t="s">
        <v>3796</v>
      </c>
    </row>
    <row r="1506" spans="1:7" hidden="1">
      <c r="A1506" s="2973">
        <v>1505</v>
      </c>
      <c r="B1506" s="2974" t="s">
        <v>3914</v>
      </c>
      <c r="C1506" s="2974">
        <v>-1</v>
      </c>
      <c r="D1506" s="2976" t="s">
        <v>4398</v>
      </c>
      <c r="E1506" s="2976">
        <v>12.84</v>
      </c>
      <c r="F1506" s="2974" t="s">
        <v>3913</v>
      </c>
      <c r="G1506" s="2973" t="s">
        <v>3796</v>
      </c>
    </row>
    <row r="1507" spans="1:7" hidden="1">
      <c r="A1507" s="2973">
        <v>1506</v>
      </c>
      <c r="B1507" s="2974" t="s">
        <v>3914</v>
      </c>
      <c r="C1507" s="2974">
        <v>-1</v>
      </c>
      <c r="D1507" s="2976" t="s">
        <v>4399</v>
      </c>
      <c r="E1507" s="2976">
        <v>12.84</v>
      </c>
      <c r="F1507" s="2974" t="s">
        <v>3913</v>
      </c>
      <c r="G1507" s="2973" t="s">
        <v>3796</v>
      </c>
    </row>
    <row r="1508" spans="1:7" hidden="1">
      <c r="A1508" s="2973">
        <v>1507</v>
      </c>
      <c r="B1508" s="2974" t="s">
        <v>3914</v>
      </c>
      <c r="C1508" s="2974">
        <v>-1</v>
      </c>
      <c r="D1508" s="2976" t="s">
        <v>4400</v>
      </c>
      <c r="E1508" s="2976">
        <v>12.84</v>
      </c>
      <c r="F1508" s="2974" t="s">
        <v>3913</v>
      </c>
      <c r="G1508" s="2973" t="s">
        <v>3796</v>
      </c>
    </row>
    <row r="1509" spans="1:7" hidden="1">
      <c r="A1509" s="2973">
        <v>1508</v>
      </c>
      <c r="B1509" s="2974" t="s">
        <v>3914</v>
      </c>
      <c r="C1509" s="2974">
        <v>-1</v>
      </c>
      <c r="D1509" s="2976" t="s">
        <v>4401</v>
      </c>
      <c r="E1509" s="2976">
        <v>12.84</v>
      </c>
      <c r="F1509" s="2974" t="s">
        <v>3913</v>
      </c>
      <c r="G1509" s="2973" t="s">
        <v>3796</v>
      </c>
    </row>
    <row r="1510" spans="1:7" hidden="1">
      <c r="A1510" s="2973">
        <v>1509</v>
      </c>
      <c r="B1510" s="2974" t="s">
        <v>3914</v>
      </c>
      <c r="C1510" s="2974">
        <v>-1</v>
      </c>
      <c r="D1510" s="2976" t="s">
        <v>4402</v>
      </c>
      <c r="E1510" s="2976">
        <v>12.84</v>
      </c>
      <c r="F1510" s="2974" t="s">
        <v>3913</v>
      </c>
      <c r="G1510" s="2973" t="s">
        <v>3796</v>
      </c>
    </row>
    <row r="1511" spans="1:7" hidden="1">
      <c r="A1511" s="2973">
        <v>1510</v>
      </c>
      <c r="B1511" s="2974" t="s">
        <v>3914</v>
      </c>
      <c r="C1511" s="2974">
        <v>-1</v>
      </c>
      <c r="D1511" s="2976" t="s">
        <v>4403</v>
      </c>
      <c r="E1511" s="2976">
        <v>12.84</v>
      </c>
      <c r="F1511" s="2974" t="s">
        <v>3913</v>
      </c>
      <c r="G1511" s="2973" t="s">
        <v>3796</v>
      </c>
    </row>
    <row r="1512" spans="1:7" hidden="1">
      <c r="A1512" s="2973">
        <v>1511</v>
      </c>
      <c r="B1512" s="2974" t="s">
        <v>3914</v>
      </c>
      <c r="C1512" s="2974">
        <v>-1</v>
      </c>
      <c r="D1512" s="2976" t="s">
        <v>4404</v>
      </c>
      <c r="E1512" s="2976">
        <v>12.84</v>
      </c>
      <c r="F1512" s="2974" t="s">
        <v>3913</v>
      </c>
      <c r="G1512" s="2973" t="s">
        <v>3796</v>
      </c>
    </row>
    <row r="1513" spans="1:7" hidden="1">
      <c r="A1513" s="2973">
        <v>1512</v>
      </c>
      <c r="B1513" s="2974" t="s">
        <v>3914</v>
      </c>
      <c r="C1513" s="2974">
        <v>-1</v>
      </c>
      <c r="D1513" s="2976" t="s">
        <v>4405</v>
      </c>
      <c r="E1513" s="2976">
        <v>12.84</v>
      </c>
      <c r="F1513" s="2974" t="s">
        <v>3913</v>
      </c>
      <c r="G1513" s="2973" t="s">
        <v>3796</v>
      </c>
    </row>
    <row r="1514" spans="1:7" hidden="1">
      <c r="A1514" s="2973">
        <v>1513</v>
      </c>
      <c r="B1514" s="2974" t="s">
        <v>3914</v>
      </c>
      <c r="C1514" s="2974">
        <v>-1</v>
      </c>
      <c r="D1514" s="2976" t="s">
        <v>4406</v>
      </c>
      <c r="E1514" s="2976">
        <v>12.84</v>
      </c>
      <c r="F1514" s="2974" t="s">
        <v>3913</v>
      </c>
      <c r="G1514" s="2973" t="s">
        <v>3796</v>
      </c>
    </row>
    <row r="1515" spans="1:7" hidden="1">
      <c r="A1515" s="2973">
        <v>1514</v>
      </c>
      <c r="B1515" s="2974" t="s">
        <v>3914</v>
      </c>
      <c r="C1515" s="2974">
        <v>-1</v>
      </c>
      <c r="D1515" s="2976" t="s">
        <v>4407</v>
      </c>
      <c r="E1515" s="2976">
        <v>12.84</v>
      </c>
      <c r="F1515" s="2974" t="s">
        <v>3913</v>
      </c>
      <c r="G1515" s="2973" t="s">
        <v>3796</v>
      </c>
    </row>
    <row r="1516" spans="1:7" hidden="1">
      <c r="A1516" s="2973">
        <v>1515</v>
      </c>
      <c r="B1516" s="2974" t="s">
        <v>3914</v>
      </c>
      <c r="C1516" s="2974">
        <v>-1</v>
      </c>
      <c r="D1516" s="2976" t="s">
        <v>4408</v>
      </c>
      <c r="E1516" s="2976">
        <v>12.84</v>
      </c>
      <c r="F1516" s="2974" t="s">
        <v>3913</v>
      </c>
      <c r="G1516" s="2973" t="s">
        <v>3796</v>
      </c>
    </row>
    <row r="1517" spans="1:7" hidden="1">
      <c r="A1517" s="2973">
        <v>1516</v>
      </c>
      <c r="B1517" s="2974" t="s">
        <v>3914</v>
      </c>
      <c r="C1517" s="2974">
        <v>-1</v>
      </c>
      <c r="D1517" s="2976" t="s">
        <v>4409</v>
      </c>
      <c r="E1517" s="2976">
        <v>12.84</v>
      </c>
      <c r="F1517" s="2974" t="s">
        <v>3913</v>
      </c>
      <c r="G1517" s="2973" t="s">
        <v>3796</v>
      </c>
    </row>
    <row r="1518" spans="1:7" hidden="1">
      <c r="A1518" s="2973">
        <v>1517</v>
      </c>
      <c r="B1518" s="2974" t="s">
        <v>3914</v>
      </c>
      <c r="C1518" s="2974">
        <v>-1</v>
      </c>
      <c r="D1518" s="2976" t="s">
        <v>4410</v>
      </c>
      <c r="E1518" s="2976">
        <v>12.84</v>
      </c>
      <c r="F1518" s="2974" t="s">
        <v>3913</v>
      </c>
      <c r="G1518" s="2973" t="s">
        <v>3796</v>
      </c>
    </row>
    <row r="1519" spans="1:7" hidden="1">
      <c r="A1519" s="2973">
        <v>1518</v>
      </c>
      <c r="B1519" s="2974" t="s">
        <v>3914</v>
      </c>
      <c r="C1519" s="2974">
        <v>-1</v>
      </c>
      <c r="D1519" s="2976" t="s">
        <v>4411</v>
      </c>
      <c r="E1519" s="2976">
        <v>12.84</v>
      </c>
      <c r="F1519" s="2974" t="s">
        <v>3913</v>
      </c>
      <c r="G1519" s="2973" t="s">
        <v>3796</v>
      </c>
    </row>
    <row r="1520" spans="1:7" hidden="1">
      <c r="A1520" s="2973">
        <v>1519</v>
      </c>
      <c r="B1520" s="2974" t="s">
        <v>3914</v>
      </c>
      <c r="C1520" s="2974">
        <v>-1</v>
      </c>
      <c r="D1520" s="2976" t="s">
        <v>4412</v>
      </c>
      <c r="E1520" s="2976">
        <v>12.84</v>
      </c>
      <c r="F1520" s="2974" t="s">
        <v>4413</v>
      </c>
      <c r="G1520" s="2973" t="s">
        <v>4414</v>
      </c>
    </row>
    <row r="1521" spans="1:7" hidden="1">
      <c r="A1521" s="2973">
        <v>1520</v>
      </c>
      <c r="B1521" s="2974" t="s">
        <v>4415</v>
      </c>
      <c r="C1521" s="2974">
        <v>-1</v>
      </c>
      <c r="D1521" s="2976" t="s">
        <v>4416</v>
      </c>
      <c r="E1521" s="2976">
        <v>12.84</v>
      </c>
      <c r="F1521" s="2974" t="s">
        <v>4413</v>
      </c>
      <c r="G1521" s="2973" t="s">
        <v>4414</v>
      </c>
    </row>
    <row r="1522" spans="1:7" hidden="1">
      <c r="A1522" s="2973">
        <v>1521</v>
      </c>
      <c r="B1522" s="2974" t="s">
        <v>4415</v>
      </c>
      <c r="C1522" s="2974">
        <v>-1</v>
      </c>
      <c r="D1522" s="2976" t="s">
        <v>4417</v>
      </c>
      <c r="E1522" s="2976">
        <v>12.84</v>
      </c>
      <c r="F1522" s="2974" t="s">
        <v>4413</v>
      </c>
      <c r="G1522" s="2973" t="s">
        <v>4414</v>
      </c>
    </row>
    <row r="1523" spans="1:7" hidden="1">
      <c r="A1523" s="2973">
        <v>1522</v>
      </c>
      <c r="B1523" s="2974" t="s">
        <v>4415</v>
      </c>
      <c r="C1523" s="2974">
        <v>-1</v>
      </c>
      <c r="D1523" s="2976" t="s">
        <v>4418</v>
      </c>
      <c r="E1523" s="2976">
        <v>12.84</v>
      </c>
      <c r="F1523" s="2974" t="s">
        <v>4413</v>
      </c>
      <c r="G1523" s="2973" t="s">
        <v>4414</v>
      </c>
    </row>
    <row r="1524" spans="1:7" hidden="1">
      <c r="A1524" s="2973">
        <v>1523</v>
      </c>
      <c r="B1524" s="2974" t="s">
        <v>4415</v>
      </c>
      <c r="C1524" s="2974">
        <v>-1</v>
      </c>
      <c r="D1524" s="2976" t="s">
        <v>4419</v>
      </c>
      <c r="E1524" s="2976">
        <v>12.84</v>
      </c>
      <c r="F1524" s="2974" t="s">
        <v>4413</v>
      </c>
      <c r="G1524" s="2973" t="s">
        <v>4414</v>
      </c>
    </row>
    <row r="1525" spans="1:7" hidden="1">
      <c r="A1525" s="2973">
        <v>1524</v>
      </c>
      <c r="B1525" s="2974" t="s">
        <v>4415</v>
      </c>
      <c r="C1525" s="2974">
        <v>-1</v>
      </c>
      <c r="D1525" s="2976" t="s">
        <v>4420</v>
      </c>
      <c r="E1525" s="2976">
        <v>12.84</v>
      </c>
      <c r="F1525" s="2974" t="s">
        <v>4413</v>
      </c>
      <c r="G1525" s="2973" t="s">
        <v>4414</v>
      </c>
    </row>
    <row r="1526" spans="1:7" hidden="1">
      <c r="A1526" s="2973">
        <v>1525</v>
      </c>
      <c r="B1526" s="2974" t="s">
        <v>4415</v>
      </c>
      <c r="C1526" s="2974">
        <v>-1</v>
      </c>
      <c r="D1526" s="2976" t="s">
        <v>4421</v>
      </c>
      <c r="E1526" s="2976">
        <v>12.84</v>
      </c>
      <c r="F1526" s="2974" t="s">
        <v>4413</v>
      </c>
      <c r="G1526" s="2973" t="s">
        <v>4414</v>
      </c>
    </row>
    <row r="1527" spans="1:7" hidden="1">
      <c r="A1527" s="2973">
        <v>1526</v>
      </c>
      <c r="B1527" s="2974" t="s">
        <v>4415</v>
      </c>
      <c r="C1527" s="2974">
        <v>-1</v>
      </c>
      <c r="D1527" s="2976" t="s">
        <v>4422</v>
      </c>
      <c r="E1527" s="2976">
        <v>12.84</v>
      </c>
      <c r="F1527" s="2974" t="s">
        <v>4413</v>
      </c>
      <c r="G1527" s="2973" t="s">
        <v>4414</v>
      </c>
    </row>
    <row r="1528" spans="1:7" hidden="1">
      <c r="A1528" s="2973">
        <v>1527</v>
      </c>
      <c r="B1528" s="2974" t="s">
        <v>4415</v>
      </c>
      <c r="C1528" s="2974">
        <v>-1</v>
      </c>
      <c r="D1528" s="2976" t="s">
        <v>4423</v>
      </c>
      <c r="E1528" s="2976">
        <v>12.84</v>
      </c>
      <c r="F1528" s="2974" t="s">
        <v>3991</v>
      </c>
      <c r="G1528" s="2973" t="s">
        <v>3620</v>
      </c>
    </row>
    <row r="1529" spans="1:7" hidden="1">
      <c r="A1529" s="2973">
        <v>1528</v>
      </c>
      <c r="B1529" s="2974" t="s">
        <v>3992</v>
      </c>
      <c r="C1529" s="2974">
        <v>-1</v>
      </c>
      <c r="D1529" s="2976" t="s">
        <v>4424</v>
      </c>
      <c r="E1529" s="2976">
        <v>12.84</v>
      </c>
      <c r="F1529" s="2974" t="s">
        <v>3991</v>
      </c>
      <c r="G1529" s="2973" t="s">
        <v>3620</v>
      </c>
    </row>
    <row r="1530" spans="1:7" hidden="1">
      <c r="A1530" s="2973">
        <v>1529</v>
      </c>
      <c r="B1530" s="2974" t="s">
        <v>3992</v>
      </c>
      <c r="C1530" s="2974">
        <v>-1</v>
      </c>
      <c r="D1530" s="2976" t="s">
        <v>4425</v>
      </c>
      <c r="E1530" s="2976">
        <v>12.84</v>
      </c>
      <c r="F1530" s="2974" t="s">
        <v>3991</v>
      </c>
      <c r="G1530" s="2973" t="s">
        <v>3620</v>
      </c>
    </row>
    <row r="1531" spans="1:7" hidden="1">
      <c r="A1531" s="2973">
        <v>1530</v>
      </c>
      <c r="B1531" s="2974" t="s">
        <v>3992</v>
      </c>
      <c r="C1531" s="2974">
        <v>-1</v>
      </c>
      <c r="D1531" s="2976" t="s">
        <v>4426</v>
      </c>
      <c r="E1531" s="2976">
        <v>12.84</v>
      </c>
      <c r="F1531" s="2974" t="s">
        <v>3991</v>
      </c>
      <c r="G1531" s="2973" t="s">
        <v>3620</v>
      </c>
    </row>
    <row r="1532" spans="1:7" hidden="1">
      <c r="A1532" s="2973">
        <v>1531</v>
      </c>
      <c r="B1532" s="2974" t="s">
        <v>3992</v>
      </c>
      <c r="C1532" s="2974">
        <v>-1</v>
      </c>
      <c r="D1532" s="2976" t="s">
        <v>4427</v>
      </c>
      <c r="E1532" s="2976">
        <v>12.84</v>
      </c>
      <c r="F1532" s="2974" t="s">
        <v>3991</v>
      </c>
      <c r="G1532" s="2973" t="s">
        <v>3620</v>
      </c>
    </row>
    <row r="1533" spans="1:7" hidden="1">
      <c r="A1533" s="2973">
        <v>1532</v>
      </c>
      <c r="B1533" s="2974" t="s">
        <v>3992</v>
      </c>
      <c r="C1533" s="2974">
        <v>-1</v>
      </c>
      <c r="D1533" s="2976" t="s">
        <v>4428</v>
      </c>
      <c r="E1533" s="2976">
        <v>12.84</v>
      </c>
      <c r="F1533" s="2974" t="s">
        <v>3991</v>
      </c>
      <c r="G1533" s="2973" t="s">
        <v>3620</v>
      </c>
    </row>
    <row r="1534" spans="1:7" hidden="1">
      <c r="A1534" s="2973">
        <v>1533</v>
      </c>
      <c r="B1534" s="2974" t="s">
        <v>3992</v>
      </c>
      <c r="C1534" s="2974">
        <v>-1</v>
      </c>
      <c r="D1534" s="2976" t="s">
        <v>4429</v>
      </c>
      <c r="E1534" s="2976">
        <v>12.84</v>
      </c>
      <c r="F1534" s="2974" t="s">
        <v>3991</v>
      </c>
      <c r="G1534" s="2973" t="s">
        <v>3620</v>
      </c>
    </row>
    <row r="1535" spans="1:7" hidden="1">
      <c r="A1535" s="2973">
        <v>1534</v>
      </c>
      <c r="B1535" s="2974" t="s">
        <v>3992</v>
      </c>
      <c r="C1535" s="2974">
        <v>-1</v>
      </c>
      <c r="D1535" s="2976" t="s">
        <v>4430</v>
      </c>
      <c r="E1535" s="2976">
        <v>12.84</v>
      </c>
      <c r="F1535" s="2974" t="s">
        <v>3991</v>
      </c>
      <c r="G1535" s="2973" t="s">
        <v>3620</v>
      </c>
    </row>
    <row r="1536" spans="1:7" hidden="1">
      <c r="A1536" s="2973">
        <v>1535</v>
      </c>
      <c r="B1536" s="2974" t="s">
        <v>3992</v>
      </c>
      <c r="C1536" s="2974">
        <v>-1</v>
      </c>
      <c r="D1536" s="2976" t="s">
        <v>4431</v>
      </c>
      <c r="E1536" s="2976">
        <v>12.84</v>
      </c>
      <c r="F1536" s="2974" t="s">
        <v>3991</v>
      </c>
      <c r="G1536" s="2973" t="s">
        <v>3620</v>
      </c>
    </row>
    <row r="1537" spans="1:7" hidden="1">
      <c r="A1537" s="2973">
        <v>1536</v>
      </c>
      <c r="B1537" s="2974" t="s">
        <v>3992</v>
      </c>
      <c r="C1537" s="2974">
        <v>-1</v>
      </c>
      <c r="D1537" s="2976" t="s">
        <v>4432</v>
      </c>
      <c r="E1537" s="2976">
        <v>12.84</v>
      </c>
      <c r="F1537" s="2974" t="s">
        <v>3991</v>
      </c>
      <c r="G1537" s="2973" t="s">
        <v>3620</v>
      </c>
    </row>
    <row r="1538" spans="1:7" hidden="1">
      <c r="A1538" s="2973">
        <v>1537</v>
      </c>
      <c r="B1538" s="2974" t="s">
        <v>3992</v>
      </c>
      <c r="C1538" s="2974">
        <v>-1</v>
      </c>
      <c r="D1538" s="2976" t="s">
        <v>4433</v>
      </c>
      <c r="E1538" s="2976">
        <v>12.84</v>
      </c>
      <c r="F1538" s="2974" t="s">
        <v>3991</v>
      </c>
      <c r="G1538" s="2973" t="s">
        <v>3620</v>
      </c>
    </row>
    <row r="1539" spans="1:7" hidden="1">
      <c r="A1539" s="2973">
        <v>1538</v>
      </c>
      <c r="B1539" s="2974" t="s">
        <v>3992</v>
      </c>
      <c r="C1539" s="2974">
        <v>-1</v>
      </c>
      <c r="D1539" s="2976" t="s">
        <v>4434</v>
      </c>
      <c r="E1539" s="2976">
        <v>12.84</v>
      </c>
      <c r="F1539" s="2974" t="s">
        <v>3991</v>
      </c>
      <c r="G1539" s="2973" t="s">
        <v>3620</v>
      </c>
    </row>
    <row r="1540" spans="1:7" hidden="1">
      <c r="A1540" s="2973">
        <v>1539</v>
      </c>
      <c r="B1540" s="2974" t="s">
        <v>3992</v>
      </c>
      <c r="C1540" s="2974">
        <v>-1</v>
      </c>
      <c r="D1540" s="2976" t="s">
        <v>4435</v>
      </c>
      <c r="E1540" s="2976">
        <v>12.84</v>
      </c>
      <c r="F1540" s="2974" t="s">
        <v>3991</v>
      </c>
      <c r="G1540" s="2973" t="s">
        <v>3620</v>
      </c>
    </row>
    <row r="1541" spans="1:7" hidden="1">
      <c r="A1541" s="2973">
        <v>1540</v>
      </c>
      <c r="B1541" s="2974" t="s">
        <v>3992</v>
      </c>
      <c r="C1541" s="2974">
        <v>-1</v>
      </c>
      <c r="D1541" s="2976" t="s">
        <v>4436</v>
      </c>
      <c r="E1541" s="2976">
        <v>12.84</v>
      </c>
      <c r="F1541" s="2974" t="s">
        <v>3991</v>
      </c>
      <c r="G1541" s="2973" t="s">
        <v>3620</v>
      </c>
    </row>
    <row r="1542" spans="1:7" hidden="1">
      <c r="A1542" s="2973">
        <v>1541</v>
      </c>
      <c r="B1542" s="2974" t="s">
        <v>3992</v>
      </c>
      <c r="C1542" s="2974">
        <v>-1</v>
      </c>
      <c r="D1542" s="2976" t="s">
        <v>4437</v>
      </c>
      <c r="E1542" s="2976">
        <v>12.84</v>
      </c>
      <c r="F1542" s="2974" t="s">
        <v>3991</v>
      </c>
      <c r="G1542" s="2973" t="s">
        <v>3620</v>
      </c>
    </row>
    <row r="1543" spans="1:7" hidden="1">
      <c r="A1543" s="2973">
        <v>1542</v>
      </c>
      <c r="B1543" s="2974" t="s">
        <v>3992</v>
      </c>
      <c r="C1543" s="2974">
        <v>-1</v>
      </c>
      <c r="D1543" s="2976" t="s">
        <v>4438</v>
      </c>
      <c r="E1543" s="2976">
        <v>12.84</v>
      </c>
      <c r="F1543" s="2974" t="s">
        <v>3991</v>
      </c>
      <c r="G1543" s="2973" t="s">
        <v>3620</v>
      </c>
    </row>
    <row r="1544" spans="1:7" hidden="1">
      <c r="A1544" s="2973">
        <v>1543</v>
      </c>
      <c r="B1544" s="2974" t="s">
        <v>3992</v>
      </c>
      <c r="C1544" s="2974">
        <v>-1</v>
      </c>
      <c r="D1544" s="2976" t="s">
        <v>4439</v>
      </c>
      <c r="E1544" s="2976">
        <v>12.84</v>
      </c>
      <c r="F1544" s="2974" t="s">
        <v>3991</v>
      </c>
      <c r="G1544" s="2973" t="s">
        <v>3620</v>
      </c>
    </row>
    <row r="1545" spans="1:7" hidden="1">
      <c r="A1545" s="2973">
        <v>1544</v>
      </c>
      <c r="B1545" s="2974" t="s">
        <v>3992</v>
      </c>
      <c r="C1545" s="2974">
        <v>-1</v>
      </c>
      <c r="D1545" s="2976" t="s">
        <v>4440</v>
      </c>
      <c r="E1545" s="2976">
        <v>12.84</v>
      </c>
      <c r="F1545" s="2974" t="s">
        <v>3991</v>
      </c>
      <c r="G1545" s="2973" t="s">
        <v>3620</v>
      </c>
    </row>
    <row r="1546" spans="1:7" hidden="1">
      <c r="A1546" s="2973">
        <v>1545</v>
      </c>
      <c r="B1546" s="2974" t="s">
        <v>3992</v>
      </c>
      <c r="C1546" s="2974">
        <v>-1</v>
      </c>
      <c r="D1546" s="2976" t="s">
        <v>4441</v>
      </c>
      <c r="E1546" s="2976">
        <v>12.84</v>
      </c>
      <c r="F1546" s="2974" t="s">
        <v>3991</v>
      </c>
      <c r="G1546" s="2973" t="s">
        <v>3620</v>
      </c>
    </row>
    <row r="1547" spans="1:7" hidden="1">
      <c r="A1547" s="2973">
        <v>1546</v>
      </c>
      <c r="B1547" s="2974" t="s">
        <v>3992</v>
      </c>
      <c r="C1547" s="2974">
        <v>-1</v>
      </c>
      <c r="D1547" s="2976" t="s">
        <v>4442</v>
      </c>
      <c r="E1547" s="2976">
        <v>12.84</v>
      </c>
      <c r="F1547" s="2974" t="s">
        <v>3991</v>
      </c>
      <c r="G1547" s="2973" t="s">
        <v>3620</v>
      </c>
    </row>
    <row r="1548" spans="1:7" hidden="1">
      <c r="A1548" s="2973">
        <v>1547</v>
      </c>
      <c r="B1548" s="2974" t="s">
        <v>3992</v>
      </c>
      <c r="C1548" s="2974">
        <v>-1</v>
      </c>
      <c r="D1548" s="2976" t="s">
        <v>4443</v>
      </c>
      <c r="E1548" s="2976">
        <v>12.84</v>
      </c>
      <c r="F1548" s="2974" t="s">
        <v>3991</v>
      </c>
      <c r="G1548" s="2973" t="s">
        <v>3620</v>
      </c>
    </row>
    <row r="1549" spans="1:7" hidden="1">
      <c r="A1549" s="2973">
        <v>1548</v>
      </c>
      <c r="B1549" s="2974" t="s">
        <v>3992</v>
      </c>
      <c r="C1549" s="2974">
        <v>-1</v>
      </c>
      <c r="D1549" s="2976" t="s">
        <v>4444</v>
      </c>
      <c r="E1549" s="2976">
        <v>12.84</v>
      </c>
      <c r="F1549" s="2974" t="s">
        <v>3991</v>
      </c>
      <c r="G1549" s="2973" t="s">
        <v>3620</v>
      </c>
    </row>
    <row r="1550" spans="1:7" hidden="1">
      <c r="A1550" s="2973">
        <v>1549</v>
      </c>
      <c r="B1550" s="2974" t="s">
        <v>3992</v>
      </c>
      <c r="C1550" s="2974">
        <v>-1</v>
      </c>
      <c r="D1550" s="2976" t="s">
        <v>4445</v>
      </c>
      <c r="E1550" s="2976">
        <v>12.84</v>
      </c>
      <c r="F1550" s="2974" t="s">
        <v>3991</v>
      </c>
      <c r="G1550" s="2973" t="s">
        <v>3620</v>
      </c>
    </row>
    <row r="1551" spans="1:7" hidden="1">
      <c r="A1551" s="2973">
        <v>1550</v>
      </c>
      <c r="B1551" s="2974" t="s">
        <v>3992</v>
      </c>
      <c r="C1551" s="2974">
        <v>-1</v>
      </c>
      <c r="D1551" s="2976" t="s">
        <v>4446</v>
      </c>
      <c r="E1551" s="2976">
        <v>12.84</v>
      </c>
      <c r="F1551" s="2974" t="s">
        <v>3991</v>
      </c>
      <c r="G1551" s="2973" t="s">
        <v>3620</v>
      </c>
    </row>
    <row r="1552" spans="1:7" hidden="1">
      <c r="A1552" s="2973">
        <v>1551</v>
      </c>
      <c r="B1552" s="2974" t="s">
        <v>3992</v>
      </c>
      <c r="C1552" s="2974">
        <v>-1</v>
      </c>
      <c r="D1552" s="2976" t="s">
        <v>4447</v>
      </c>
      <c r="E1552" s="2976">
        <v>12.84</v>
      </c>
      <c r="F1552" s="2974" t="s">
        <v>3973</v>
      </c>
      <c r="G1552" s="2973" t="s">
        <v>3649</v>
      </c>
    </row>
    <row r="1553" spans="1:7" hidden="1">
      <c r="A1553" s="2973">
        <v>1552</v>
      </c>
      <c r="B1553" s="2974" t="s">
        <v>3974</v>
      </c>
      <c r="C1553" s="2974">
        <v>-1</v>
      </c>
      <c r="D1553" s="2976" t="s">
        <v>4448</v>
      </c>
      <c r="E1553" s="2976">
        <v>12.84</v>
      </c>
      <c r="F1553" s="2974" t="s">
        <v>3973</v>
      </c>
      <c r="G1553" s="2973" t="s">
        <v>3649</v>
      </c>
    </row>
    <row r="1554" spans="1:7" hidden="1">
      <c r="A1554" s="2973">
        <v>1553</v>
      </c>
      <c r="B1554" s="2974" t="s">
        <v>3974</v>
      </c>
      <c r="C1554" s="2974">
        <v>-1</v>
      </c>
      <c r="D1554" s="2976" t="s">
        <v>4449</v>
      </c>
      <c r="E1554" s="2976">
        <v>12.84</v>
      </c>
      <c r="F1554" s="2974" t="s">
        <v>3973</v>
      </c>
      <c r="G1554" s="2973" t="s">
        <v>3649</v>
      </c>
    </row>
    <row r="1555" spans="1:7" hidden="1">
      <c r="A1555" s="2973">
        <v>1554</v>
      </c>
      <c r="B1555" s="2974" t="s">
        <v>3974</v>
      </c>
      <c r="C1555" s="2974">
        <v>-1</v>
      </c>
      <c r="D1555" s="2976" t="s">
        <v>4450</v>
      </c>
      <c r="E1555" s="2976">
        <v>12.84</v>
      </c>
      <c r="F1555" s="2974" t="s">
        <v>3973</v>
      </c>
      <c r="G1555" s="2973" t="s">
        <v>3649</v>
      </c>
    </row>
    <row r="1556" spans="1:7" hidden="1">
      <c r="A1556" s="2973">
        <v>1555</v>
      </c>
      <c r="B1556" s="2974" t="s">
        <v>3974</v>
      </c>
      <c r="C1556" s="2974">
        <v>-1</v>
      </c>
      <c r="D1556" s="2976" t="s">
        <v>4451</v>
      </c>
      <c r="E1556" s="2976">
        <v>12.84</v>
      </c>
      <c r="F1556" s="2974" t="s">
        <v>3973</v>
      </c>
      <c r="G1556" s="2973" t="s">
        <v>3649</v>
      </c>
    </row>
    <row r="1557" spans="1:7" hidden="1">
      <c r="A1557" s="2973">
        <v>1556</v>
      </c>
      <c r="B1557" s="2974" t="s">
        <v>3974</v>
      </c>
      <c r="C1557" s="2974">
        <v>-1</v>
      </c>
      <c r="D1557" s="2976" t="s">
        <v>4452</v>
      </c>
      <c r="E1557" s="2976">
        <v>12.84</v>
      </c>
      <c r="F1557" s="2974" t="s">
        <v>3973</v>
      </c>
      <c r="G1557" s="2973" t="s">
        <v>3649</v>
      </c>
    </row>
    <row r="1558" spans="1:7" hidden="1">
      <c r="A1558" s="2973">
        <v>1557</v>
      </c>
      <c r="B1558" s="2974" t="s">
        <v>3974</v>
      </c>
      <c r="C1558" s="2974">
        <v>-1</v>
      </c>
      <c r="D1558" s="2976" t="s">
        <v>4453</v>
      </c>
      <c r="E1558" s="2976">
        <v>12.84</v>
      </c>
      <c r="F1558" s="2974" t="s">
        <v>3868</v>
      </c>
      <c r="G1558" s="2973" t="s">
        <v>3857</v>
      </c>
    </row>
    <row r="1559" spans="1:7" hidden="1">
      <c r="A1559" s="2973">
        <v>1558</v>
      </c>
      <c r="B1559" s="2974" t="s">
        <v>3866</v>
      </c>
      <c r="C1559" s="2974">
        <v>-1</v>
      </c>
      <c r="D1559" s="2976" t="s">
        <v>4454</v>
      </c>
      <c r="E1559" s="2976">
        <v>12.84</v>
      </c>
      <c r="F1559" s="2974" t="s">
        <v>3868</v>
      </c>
      <c r="G1559" s="2973" t="s">
        <v>3857</v>
      </c>
    </row>
    <row r="1560" spans="1:7" hidden="1">
      <c r="A1560" s="2973">
        <v>1559</v>
      </c>
      <c r="B1560" s="2974" t="s">
        <v>3866</v>
      </c>
      <c r="C1560" s="2974">
        <v>-1</v>
      </c>
      <c r="D1560" s="2976" t="s">
        <v>4455</v>
      </c>
      <c r="E1560" s="2976">
        <v>12.84</v>
      </c>
      <c r="F1560" s="2974" t="s">
        <v>3868</v>
      </c>
      <c r="G1560" s="2973" t="s">
        <v>3857</v>
      </c>
    </row>
    <row r="1561" spans="1:7" hidden="1">
      <c r="A1561" s="2973">
        <v>1560</v>
      </c>
      <c r="B1561" s="2974" t="s">
        <v>3866</v>
      </c>
      <c r="C1561" s="2974">
        <v>-1</v>
      </c>
      <c r="D1561" s="2976" t="s">
        <v>4456</v>
      </c>
      <c r="E1561" s="2976">
        <v>12.84</v>
      </c>
      <c r="F1561" s="2974" t="s">
        <v>4180</v>
      </c>
      <c r="G1561" s="2973" t="s">
        <v>4181</v>
      </c>
    </row>
    <row r="1562" spans="1:7" hidden="1">
      <c r="A1562" s="2973">
        <v>1561</v>
      </c>
      <c r="B1562" s="2974" t="s">
        <v>4182</v>
      </c>
      <c r="C1562" s="2974">
        <v>-1</v>
      </c>
      <c r="D1562" s="2976" t="s">
        <v>4457</v>
      </c>
      <c r="E1562" s="2976">
        <v>12.84</v>
      </c>
      <c r="F1562" s="2974" t="s">
        <v>4413</v>
      </c>
      <c r="G1562" s="2973" t="s">
        <v>4414</v>
      </c>
    </row>
    <row r="1563" spans="1:7" hidden="1">
      <c r="A1563" s="2973">
        <v>1562</v>
      </c>
      <c r="B1563" s="2974" t="s">
        <v>4415</v>
      </c>
      <c r="C1563" s="2974">
        <v>-1</v>
      </c>
      <c r="D1563" s="2976" t="s">
        <v>4458</v>
      </c>
      <c r="E1563" s="2976">
        <v>12.84</v>
      </c>
      <c r="F1563" s="2974" t="s">
        <v>4413</v>
      </c>
      <c r="G1563" s="2973" t="s">
        <v>4414</v>
      </c>
    </row>
    <row r="1564" spans="1:7" hidden="1">
      <c r="A1564" s="2973">
        <v>1563</v>
      </c>
      <c r="B1564" s="2974" t="s">
        <v>4415</v>
      </c>
      <c r="C1564" s="2974">
        <v>-1</v>
      </c>
      <c r="D1564" s="2976" t="s">
        <v>4459</v>
      </c>
      <c r="E1564" s="2976">
        <v>12.84</v>
      </c>
      <c r="F1564" s="2974" t="s">
        <v>3991</v>
      </c>
      <c r="G1564" s="2973" t="s">
        <v>3620</v>
      </c>
    </row>
    <row r="1565" spans="1:7" hidden="1">
      <c r="A1565" s="2973">
        <v>1564</v>
      </c>
      <c r="B1565" s="2974" t="s">
        <v>3992</v>
      </c>
      <c r="C1565" s="2974">
        <v>-1</v>
      </c>
      <c r="D1565" s="2976" t="s">
        <v>4460</v>
      </c>
      <c r="E1565" s="2976">
        <v>12.84</v>
      </c>
      <c r="F1565" s="2974" t="s">
        <v>3991</v>
      </c>
      <c r="G1565" s="2973" t="s">
        <v>3620</v>
      </c>
    </row>
    <row r="1566" spans="1:7" hidden="1">
      <c r="A1566" s="2973">
        <v>1565</v>
      </c>
      <c r="B1566" s="2974" t="s">
        <v>3992</v>
      </c>
      <c r="C1566" s="2974">
        <v>-1</v>
      </c>
      <c r="D1566" s="2976" t="s">
        <v>4461</v>
      </c>
      <c r="E1566" s="2976">
        <v>12.84</v>
      </c>
      <c r="F1566" s="2974" t="s">
        <v>3991</v>
      </c>
      <c r="G1566" s="2973" t="s">
        <v>3620</v>
      </c>
    </row>
    <row r="1567" spans="1:7" hidden="1">
      <c r="A1567" s="2973">
        <v>1566</v>
      </c>
      <c r="B1567" s="2974" t="s">
        <v>3992</v>
      </c>
      <c r="C1567" s="2974">
        <v>-1</v>
      </c>
      <c r="D1567" s="2976" t="s">
        <v>4462</v>
      </c>
      <c r="E1567" s="2976">
        <v>12.84</v>
      </c>
      <c r="F1567" s="2974" t="s">
        <v>3991</v>
      </c>
      <c r="G1567" s="2973" t="s">
        <v>3620</v>
      </c>
    </row>
    <row r="1568" spans="1:7" hidden="1">
      <c r="A1568" s="2973">
        <v>1567</v>
      </c>
      <c r="B1568" s="2974" t="s">
        <v>3992</v>
      </c>
      <c r="C1568" s="2974">
        <v>-1</v>
      </c>
      <c r="D1568" s="2976" t="s">
        <v>4463</v>
      </c>
      <c r="E1568" s="2976">
        <v>12.84</v>
      </c>
      <c r="F1568" s="2974" t="s">
        <v>3991</v>
      </c>
      <c r="G1568" s="2973" t="s">
        <v>3620</v>
      </c>
    </row>
    <row r="1569" spans="1:7" hidden="1">
      <c r="A1569" s="2973">
        <v>1568</v>
      </c>
      <c r="B1569" s="2974" t="s">
        <v>3992</v>
      </c>
      <c r="C1569" s="2974">
        <v>-1</v>
      </c>
      <c r="D1569" s="2976" t="s">
        <v>4464</v>
      </c>
      <c r="E1569" s="2976">
        <v>12.84</v>
      </c>
      <c r="F1569" s="2974" t="s">
        <v>3991</v>
      </c>
      <c r="G1569" s="2973" t="s">
        <v>3620</v>
      </c>
    </row>
    <row r="1570" spans="1:7" hidden="1">
      <c r="A1570" s="2973">
        <v>1569</v>
      </c>
      <c r="B1570" s="2974" t="s">
        <v>3992</v>
      </c>
      <c r="C1570" s="2974">
        <v>-1</v>
      </c>
      <c r="D1570" s="2976" t="s">
        <v>4465</v>
      </c>
      <c r="E1570" s="2976">
        <v>12.84</v>
      </c>
      <c r="F1570" s="2974" t="s">
        <v>3991</v>
      </c>
      <c r="G1570" s="2973" t="s">
        <v>3620</v>
      </c>
    </row>
    <row r="1571" spans="1:7" hidden="1">
      <c r="A1571" s="2973">
        <v>1570</v>
      </c>
      <c r="B1571" s="2974" t="s">
        <v>3992</v>
      </c>
      <c r="C1571" s="2974">
        <v>-1</v>
      </c>
      <c r="D1571" s="2976" t="s">
        <v>4466</v>
      </c>
      <c r="E1571" s="2976">
        <v>12.84</v>
      </c>
      <c r="F1571" s="2974" t="s">
        <v>3868</v>
      </c>
      <c r="G1571" s="2973" t="s">
        <v>3857</v>
      </c>
    </row>
    <row r="1572" spans="1:7" hidden="1">
      <c r="A1572" s="2973">
        <v>1571</v>
      </c>
      <c r="B1572" s="2974" t="s">
        <v>3866</v>
      </c>
      <c r="C1572" s="2974">
        <v>-1</v>
      </c>
      <c r="D1572" s="2976" t="s">
        <v>4467</v>
      </c>
      <c r="E1572" s="2976">
        <v>12.84</v>
      </c>
      <c r="F1572" s="2974" t="s">
        <v>3868</v>
      </c>
      <c r="G1572" s="2973" t="s">
        <v>3857</v>
      </c>
    </row>
    <row r="1573" spans="1:7" hidden="1">
      <c r="A1573" s="2973">
        <v>1572</v>
      </c>
      <c r="B1573" s="2974" t="s">
        <v>3866</v>
      </c>
      <c r="C1573" s="2974">
        <v>-1</v>
      </c>
      <c r="D1573" s="2976" t="s">
        <v>4468</v>
      </c>
      <c r="E1573" s="2976">
        <v>12.84</v>
      </c>
      <c r="F1573" s="2974" t="s">
        <v>3868</v>
      </c>
      <c r="G1573" s="2973" t="s">
        <v>3857</v>
      </c>
    </row>
    <row r="1574" spans="1:7" hidden="1">
      <c r="A1574" s="2973">
        <v>1573</v>
      </c>
      <c r="B1574" s="2974" t="s">
        <v>3866</v>
      </c>
      <c r="C1574" s="2974">
        <v>-1</v>
      </c>
      <c r="D1574" s="2976" t="s">
        <v>4469</v>
      </c>
      <c r="E1574" s="2976">
        <v>12.84</v>
      </c>
      <c r="F1574" s="2974" t="s">
        <v>3868</v>
      </c>
      <c r="G1574" s="2973" t="s">
        <v>3857</v>
      </c>
    </row>
    <row r="1575" spans="1:7" hidden="1">
      <c r="A1575" s="2973">
        <v>1574</v>
      </c>
      <c r="B1575" s="2974" t="s">
        <v>3866</v>
      </c>
      <c r="C1575" s="2974">
        <v>-1</v>
      </c>
      <c r="D1575" s="2976" t="s">
        <v>4470</v>
      </c>
      <c r="E1575" s="2976">
        <v>12.84</v>
      </c>
      <c r="F1575" s="2974" t="s">
        <v>3868</v>
      </c>
      <c r="G1575" s="2973" t="s">
        <v>3857</v>
      </c>
    </row>
    <row r="1576" spans="1:7" hidden="1">
      <c r="A1576" s="2973">
        <v>1575</v>
      </c>
      <c r="B1576" s="2974" t="s">
        <v>3866</v>
      </c>
      <c r="C1576" s="2974">
        <v>-1</v>
      </c>
      <c r="D1576" s="2976" t="s">
        <v>4471</v>
      </c>
      <c r="E1576" s="2976">
        <v>12.84</v>
      </c>
      <c r="F1576" s="2974" t="s">
        <v>3868</v>
      </c>
      <c r="G1576" s="2973" t="s">
        <v>3857</v>
      </c>
    </row>
    <row r="1577" spans="1:7" hidden="1">
      <c r="A1577" s="2973">
        <v>1576</v>
      </c>
      <c r="B1577" s="2974" t="s">
        <v>3866</v>
      </c>
      <c r="C1577" s="2974">
        <v>-1</v>
      </c>
      <c r="D1577" s="2976" t="s">
        <v>4472</v>
      </c>
      <c r="E1577" s="2976">
        <v>12.84</v>
      </c>
      <c r="F1577" s="2974" t="s">
        <v>3868</v>
      </c>
      <c r="G1577" s="2973" t="s">
        <v>3857</v>
      </c>
    </row>
    <row r="1578" spans="1:7" hidden="1">
      <c r="A1578" s="2973">
        <v>1577</v>
      </c>
      <c r="B1578" s="2974" t="s">
        <v>3866</v>
      </c>
      <c r="C1578" s="2974">
        <v>-1</v>
      </c>
      <c r="D1578" s="2976" t="s">
        <v>4473</v>
      </c>
      <c r="E1578" s="2976">
        <v>12.84</v>
      </c>
      <c r="F1578" s="2974" t="s">
        <v>3868</v>
      </c>
      <c r="G1578" s="2973" t="s">
        <v>3857</v>
      </c>
    </row>
    <row r="1579" spans="1:7" hidden="1">
      <c r="A1579" s="2973">
        <v>1578</v>
      </c>
      <c r="B1579" s="2974" t="s">
        <v>3866</v>
      </c>
      <c r="C1579" s="2974">
        <v>-1</v>
      </c>
      <c r="D1579" s="2976" t="s">
        <v>4474</v>
      </c>
      <c r="E1579" s="2976">
        <v>12.84</v>
      </c>
      <c r="F1579" s="2974" t="s">
        <v>3868</v>
      </c>
      <c r="G1579" s="2973" t="s">
        <v>3857</v>
      </c>
    </row>
    <row r="1580" spans="1:7" hidden="1">
      <c r="A1580" s="2973">
        <v>1579</v>
      </c>
      <c r="B1580" s="2974" t="s">
        <v>3866</v>
      </c>
      <c r="C1580" s="2974">
        <v>-1</v>
      </c>
      <c r="D1580" s="2976" t="s">
        <v>4475</v>
      </c>
      <c r="E1580" s="2976">
        <v>12.84</v>
      </c>
      <c r="F1580" s="2974" t="s">
        <v>3868</v>
      </c>
      <c r="G1580" s="2973" t="s">
        <v>3857</v>
      </c>
    </row>
    <row r="1581" spans="1:7" hidden="1">
      <c r="A1581" s="2973">
        <v>1580</v>
      </c>
      <c r="B1581" s="2974" t="s">
        <v>3866</v>
      </c>
      <c r="C1581" s="2974">
        <v>-1</v>
      </c>
      <c r="D1581" s="2976" t="s">
        <v>4476</v>
      </c>
      <c r="E1581" s="2976">
        <v>12.84</v>
      </c>
      <c r="F1581" s="2974" t="s">
        <v>3868</v>
      </c>
      <c r="G1581" s="2973" t="s">
        <v>3857</v>
      </c>
    </row>
    <row r="1582" spans="1:7" hidden="1">
      <c r="A1582" s="2973">
        <v>1581</v>
      </c>
      <c r="B1582" s="2974" t="s">
        <v>3866</v>
      </c>
      <c r="C1582" s="2974">
        <v>-1</v>
      </c>
      <c r="D1582" s="2976" t="s">
        <v>4477</v>
      </c>
      <c r="E1582" s="2976">
        <v>12.84</v>
      </c>
      <c r="F1582" s="2974" t="s">
        <v>4180</v>
      </c>
      <c r="G1582" s="2973" t="s">
        <v>4181</v>
      </c>
    </row>
    <row r="1583" spans="1:7" hidden="1">
      <c r="A1583" s="2973">
        <v>1582</v>
      </c>
      <c r="B1583" s="2974" t="s">
        <v>4182</v>
      </c>
      <c r="C1583" s="2974">
        <v>-1</v>
      </c>
      <c r="D1583" s="2976" t="s">
        <v>4478</v>
      </c>
      <c r="E1583" s="2976">
        <v>12.84</v>
      </c>
      <c r="F1583" s="2974" t="s">
        <v>4180</v>
      </c>
      <c r="G1583" s="2973" t="s">
        <v>4181</v>
      </c>
    </row>
    <row r="1584" spans="1:7" hidden="1">
      <c r="A1584" s="2973">
        <v>1583</v>
      </c>
      <c r="B1584" s="2974" t="s">
        <v>4182</v>
      </c>
      <c r="C1584" s="2974">
        <v>-1</v>
      </c>
      <c r="D1584" s="2976" t="s">
        <v>4479</v>
      </c>
      <c r="E1584" s="2976">
        <v>12.84</v>
      </c>
      <c r="F1584" s="2974" t="s">
        <v>4180</v>
      </c>
      <c r="G1584" s="2973" t="s">
        <v>4181</v>
      </c>
    </row>
    <row r="1585" spans="1:7" hidden="1">
      <c r="A1585" s="2973">
        <v>1584</v>
      </c>
      <c r="B1585" s="2974" t="s">
        <v>4182</v>
      </c>
      <c r="C1585" s="2974">
        <v>-1</v>
      </c>
      <c r="D1585" s="2976" t="s">
        <v>4480</v>
      </c>
      <c r="E1585" s="2976">
        <v>12.84</v>
      </c>
      <c r="F1585" s="2974" t="s">
        <v>4180</v>
      </c>
      <c r="G1585" s="2973" t="s">
        <v>4181</v>
      </c>
    </row>
    <row r="1586" spans="1:7" hidden="1">
      <c r="A1586" s="2973">
        <v>1585</v>
      </c>
      <c r="B1586" s="2974" t="s">
        <v>4182</v>
      </c>
      <c r="C1586" s="2974">
        <v>-1</v>
      </c>
      <c r="D1586" s="2976" t="s">
        <v>4481</v>
      </c>
      <c r="E1586" s="2976">
        <v>12.84</v>
      </c>
      <c r="F1586" s="2974" t="s">
        <v>4180</v>
      </c>
      <c r="G1586" s="2973" t="s">
        <v>4181</v>
      </c>
    </row>
    <row r="1587" spans="1:7" hidden="1">
      <c r="A1587" s="2973">
        <v>1586</v>
      </c>
      <c r="B1587" s="2974" t="s">
        <v>4182</v>
      </c>
      <c r="C1587" s="2974">
        <v>-1</v>
      </c>
      <c r="D1587" s="2976" t="s">
        <v>4482</v>
      </c>
      <c r="E1587" s="2976">
        <v>12.84</v>
      </c>
      <c r="F1587" s="2974" t="s">
        <v>4180</v>
      </c>
      <c r="G1587" s="2973" t="s">
        <v>4181</v>
      </c>
    </row>
    <row r="1588" spans="1:7" hidden="1">
      <c r="A1588" s="2973">
        <v>1587</v>
      </c>
      <c r="B1588" s="2974" t="s">
        <v>4182</v>
      </c>
      <c r="C1588" s="2974">
        <v>-1</v>
      </c>
      <c r="D1588" s="2976" t="s">
        <v>4483</v>
      </c>
      <c r="E1588" s="2976">
        <v>12.84</v>
      </c>
      <c r="F1588" s="2974" t="s">
        <v>4180</v>
      </c>
      <c r="G1588" s="2973" t="s">
        <v>4181</v>
      </c>
    </row>
    <row r="1589" spans="1:7" hidden="1">
      <c r="A1589" s="2973">
        <v>1588</v>
      </c>
      <c r="B1589" s="2974" t="s">
        <v>4182</v>
      </c>
      <c r="C1589" s="2974">
        <v>-1</v>
      </c>
      <c r="D1589" s="2976" t="s">
        <v>4484</v>
      </c>
      <c r="E1589" s="2976">
        <v>12.84</v>
      </c>
      <c r="F1589" s="2974" t="s">
        <v>4180</v>
      </c>
      <c r="G1589" s="2973" t="s">
        <v>4181</v>
      </c>
    </row>
    <row r="1590" spans="1:7" hidden="1">
      <c r="A1590" s="2973">
        <v>1589</v>
      </c>
      <c r="B1590" s="2974" t="s">
        <v>4182</v>
      </c>
      <c r="C1590" s="2974">
        <v>-1</v>
      </c>
      <c r="D1590" s="2976" t="s">
        <v>4485</v>
      </c>
      <c r="E1590" s="2976">
        <v>12.84</v>
      </c>
      <c r="F1590" s="2974" t="s">
        <v>4180</v>
      </c>
      <c r="G1590" s="2973" t="s">
        <v>4181</v>
      </c>
    </row>
    <row r="1591" spans="1:7" hidden="1">
      <c r="A1591" s="2973">
        <v>1590</v>
      </c>
      <c r="B1591" s="2974" t="s">
        <v>4182</v>
      </c>
      <c r="C1591" s="2974">
        <v>-1</v>
      </c>
      <c r="D1591" s="2976" t="s">
        <v>4486</v>
      </c>
      <c r="E1591" s="2976">
        <v>12.84</v>
      </c>
      <c r="F1591" s="2974" t="s">
        <v>4180</v>
      </c>
      <c r="G1591" s="2973" t="s">
        <v>4181</v>
      </c>
    </row>
    <row r="1592" spans="1:7" hidden="1">
      <c r="A1592" s="2973">
        <v>1591</v>
      </c>
      <c r="B1592" s="2974" t="s">
        <v>4182</v>
      </c>
      <c r="C1592" s="2974">
        <v>-1</v>
      </c>
      <c r="D1592" s="2976" t="s">
        <v>4487</v>
      </c>
      <c r="E1592" s="2976">
        <v>12.84</v>
      </c>
      <c r="F1592" s="2974" t="s">
        <v>4180</v>
      </c>
      <c r="G1592" s="2973" t="s">
        <v>4181</v>
      </c>
    </row>
    <row r="1593" spans="1:7" hidden="1">
      <c r="A1593" s="2973">
        <v>1592</v>
      </c>
      <c r="B1593" s="2974" t="s">
        <v>4182</v>
      </c>
      <c r="C1593" s="2974">
        <v>-1</v>
      </c>
      <c r="D1593" s="2976" t="s">
        <v>4488</v>
      </c>
      <c r="E1593" s="2976">
        <v>12.84</v>
      </c>
      <c r="F1593" s="2974" t="s">
        <v>4180</v>
      </c>
      <c r="G1593" s="2973" t="s">
        <v>4181</v>
      </c>
    </row>
    <row r="1594" spans="1:7" hidden="1">
      <c r="A1594" s="2973">
        <v>1593</v>
      </c>
      <c r="B1594" s="2974" t="s">
        <v>4182</v>
      </c>
      <c r="C1594" s="2974">
        <v>-1</v>
      </c>
      <c r="D1594" s="2976" t="s">
        <v>4489</v>
      </c>
      <c r="E1594" s="2976">
        <v>12.84</v>
      </c>
      <c r="F1594" s="2974" t="s">
        <v>4180</v>
      </c>
      <c r="G1594" s="2973" t="s">
        <v>4181</v>
      </c>
    </row>
    <row r="1595" spans="1:7" hidden="1">
      <c r="A1595" s="2973">
        <v>1594</v>
      </c>
      <c r="B1595" s="2974" t="s">
        <v>4182</v>
      </c>
      <c r="C1595" s="2974">
        <v>-1</v>
      </c>
      <c r="D1595" s="2976" t="s">
        <v>4490</v>
      </c>
      <c r="E1595" s="2976">
        <v>12.84</v>
      </c>
      <c r="F1595" s="2974" t="s">
        <v>4180</v>
      </c>
      <c r="G1595" s="2973" t="s">
        <v>4181</v>
      </c>
    </row>
    <row r="1596" spans="1:7" hidden="1">
      <c r="A1596" s="2973">
        <v>1595</v>
      </c>
      <c r="B1596" s="2974" t="s">
        <v>4182</v>
      </c>
      <c r="C1596" s="2974">
        <v>-1</v>
      </c>
      <c r="D1596" s="2976" t="s">
        <v>4491</v>
      </c>
      <c r="E1596" s="2976">
        <v>9.89</v>
      </c>
      <c r="F1596" s="2974" t="s">
        <v>4180</v>
      </c>
      <c r="G1596" s="2973" t="s">
        <v>4181</v>
      </c>
    </row>
    <row r="1597" spans="1:7" hidden="1">
      <c r="A1597" s="2973">
        <v>1596</v>
      </c>
      <c r="B1597" s="2974" t="s">
        <v>4182</v>
      </c>
      <c r="C1597" s="2974">
        <v>-1</v>
      </c>
      <c r="D1597" s="2976" t="s">
        <v>4492</v>
      </c>
      <c r="E1597" s="2976">
        <v>9.89</v>
      </c>
      <c r="F1597" s="2974" t="s">
        <v>4180</v>
      </c>
      <c r="G1597" s="2973" t="s">
        <v>4181</v>
      </c>
    </row>
    <row r="1598" spans="1:7" hidden="1">
      <c r="A1598" s="2973">
        <v>1597</v>
      </c>
      <c r="B1598" s="2974" t="s">
        <v>4182</v>
      </c>
      <c r="C1598" s="2974">
        <v>-1</v>
      </c>
      <c r="D1598" s="2976" t="s">
        <v>4493</v>
      </c>
      <c r="E1598" s="2976">
        <v>9.89</v>
      </c>
      <c r="F1598" s="2974" t="s">
        <v>4180</v>
      </c>
      <c r="G1598" s="2973" t="s">
        <v>4181</v>
      </c>
    </row>
    <row r="1599" spans="1:7" hidden="1">
      <c r="A1599" s="2973">
        <v>1598</v>
      </c>
      <c r="B1599" s="2974" t="s">
        <v>4182</v>
      </c>
      <c r="C1599" s="2974">
        <v>-1</v>
      </c>
      <c r="D1599" s="2976" t="s">
        <v>4494</v>
      </c>
      <c r="E1599" s="2976">
        <v>9.89</v>
      </c>
      <c r="F1599" s="2974" t="s">
        <v>4180</v>
      </c>
      <c r="G1599" s="2973" t="s">
        <v>4181</v>
      </c>
    </row>
    <row r="1600" spans="1:7" hidden="1">
      <c r="A1600" s="2973">
        <v>1599</v>
      </c>
      <c r="B1600" s="2974" t="s">
        <v>4182</v>
      </c>
      <c r="C1600" s="2974">
        <v>-1</v>
      </c>
      <c r="D1600" s="2976" t="s">
        <v>4495</v>
      </c>
      <c r="E1600" s="2976">
        <v>9.89</v>
      </c>
      <c r="F1600" s="2974" t="s">
        <v>4180</v>
      </c>
      <c r="G1600" s="2973" t="s">
        <v>4181</v>
      </c>
    </row>
    <row r="1601" spans="1:7" hidden="1">
      <c r="A1601" s="2973">
        <v>1600</v>
      </c>
      <c r="B1601" s="2974" t="s">
        <v>4182</v>
      </c>
      <c r="C1601" s="2974">
        <v>-1</v>
      </c>
      <c r="D1601" s="2976" t="s">
        <v>4496</v>
      </c>
      <c r="E1601" s="2976">
        <v>9.89</v>
      </c>
      <c r="F1601" s="2974" t="s">
        <v>4180</v>
      </c>
      <c r="G1601" s="2973" t="s">
        <v>4181</v>
      </c>
    </row>
    <row r="1602" spans="1:7" hidden="1">
      <c r="A1602" s="2973">
        <v>1601</v>
      </c>
      <c r="B1602" s="2974" t="s">
        <v>4182</v>
      </c>
      <c r="C1602" s="2974">
        <v>-1</v>
      </c>
      <c r="D1602" s="2976" t="s">
        <v>4497</v>
      </c>
      <c r="E1602" s="2976">
        <v>9.89</v>
      </c>
      <c r="F1602" s="2974" t="s">
        <v>4180</v>
      </c>
      <c r="G1602" s="2973" t="s">
        <v>4181</v>
      </c>
    </row>
    <row r="1603" spans="1:7" hidden="1">
      <c r="A1603" s="2973">
        <v>1602</v>
      </c>
      <c r="B1603" s="2974" t="s">
        <v>4182</v>
      </c>
      <c r="C1603" s="2974">
        <v>-1</v>
      </c>
      <c r="D1603" s="2976" t="s">
        <v>4498</v>
      </c>
      <c r="E1603" s="2976">
        <v>9.89</v>
      </c>
      <c r="F1603" s="2974" t="s">
        <v>4180</v>
      </c>
      <c r="G1603" s="2973" t="s">
        <v>4181</v>
      </c>
    </row>
    <row r="1604" spans="1:7" hidden="1">
      <c r="A1604" s="2973">
        <v>1603</v>
      </c>
      <c r="B1604" s="2974" t="s">
        <v>4182</v>
      </c>
      <c r="C1604" s="2974">
        <v>-1</v>
      </c>
      <c r="D1604" s="2976" t="s">
        <v>4499</v>
      </c>
      <c r="E1604" s="2976">
        <v>9.89</v>
      </c>
      <c r="F1604" s="2974" t="s">
        <v>4180</v>
      </c>
      <c r="G1604" s="2973" t="s">
        <v>4181</v>
      </c>
    </row>
    <row r="1605" spans="1:7" hidden="1">
      <c r="A1605" s="2973">
        <v>1604</v>
      </c>
      <c r="B1605" s="2974" t="s">
        <v>4182</v>
      </c>
      <c r="C1605" s="2974">
        <v>-1</v>
      </c>
      <c r="D1605" s="2976" t="s">
        <v>4500</v>
      </c>
      <c r="E1605" s="2976">
        <v>9.89</v>
      </c>
      <c r="F1605" s="2974" t="s">
        <v>4180</v>
      </c>
      <c r="G1605" s="2973" t="s">
        <v>4181</v>
      </c>
    </row>
    <row r="1606" spans="1:7" hidden="1">
      <c r="A1606" s="2973">
        <v>1605</v>
      </c>
      <c r="B1606" s="2974" t="s">
        <v>4182</v>
      </c>
      <c r="C1606" s="2974">
        <v>-1</v>
      </c>
      <c r="D1606" s="2976" t="s">
        <v>4501</v>
      </c>
      <c r="E1606" s="2976">
        <v>9.89</v>
      </c>
      <c r="F1606" s="2974" t="s">
        <v>4180</v>
      </c>
      <c r="G1606" s="2973" t="s">
        <v>4181</v>
      </c>
    </row>
    <row r="1607" spans="1:7" hidden="1">
      <c r="A1607" s="2973">
        <v>1606</v>
      </c>
      <c r="B1607" s="2974" t="s">
        <v>4182</v>
      </c>
      <c r="C1607" s="2974">
        <v>-1</v>
      </c>
      <c r="D1607" s="2976" t="s">
        <v>4502</v>
      </c>
      <c r="E1607" s="2976">
        <v>9.89</v>
      </c>
      <c r="F1607" s="2974" t="s">
        <v>4180</v>
      </c>
      <c r="G1607" s="2973" t="s">
        <v>4181</v>
      </c>
    </row>
    <row r="1608" spans="1:7" hidden="1">
      <c r="A1608" s="2973">
        <v>1607</v>
      </c>
      <c r="B1608" s="2974" t="s">
        <v>4182</v>
      </c>
      <c r="C1608" s="2974">
        <v>-1</v>
      </c>
      <c r="D1608" s="2976" t="s">
        <v>4503</v>
      </c>
      <c r="E1608" s="2976">
        <v>9.89</v>
      </c>
      <c r="F1608" s="2974" t="s">
        <v>4180</v>
      </c>
      <c r="G1608" s="2973" t="s">
        <v>4181</v>
      </c>
    </row>
    <row r="1609" spans="1:7" hidden="1">
      <c r="A1609" s="2973">
        <v>1608</v>
      </c>
      <c r="B1609" s="2974" t="s">
        <v>4182</v>
      </c>
      <c r="C1609" s="2974">
        <v>-1</v>
      </c>
      <c r="D1609" s="2976" t="s">
        <v>4504</v>
      </c>
      <c r="E1609" s="2976">
        <v>9.89</v>
      </c>
      <c r="F1609" s="2974" t="s">
        <v>4180</v>
      </c>
      <c r="G1609" s="2973" t="s">
        <v>4181</v>
      </c>
    </row>
    <row r="1610" spans="1:7" hidden="1">
      <c r="A1610" s="2973">
        <v>1609</v>
      </c>
      <c r="B1610" s="2974" t="s">
        <v>4182</v>
      </c>
      <c r="C1610" s="2974">
        <v>-1</v>
      </c>
      <c r="D1610" s="2976" t="s">
        <v>4505</v>
      </c>
      <c r="E1610" s="2976">
        <v>9.89</v>
      </c>
      <c r="F1610" s="2974" t="s">
        <v>4180</v>
      </c>
      <c r="G1610" s="2973" t="s">
        <v>4181</v>
      </c>
    </row>
    <row r="1611" spans="1:7" hidden="1">
      <c r="A1611" s="2973">
        <v>1610</v>
      </c>
      <c r="B1611" s="2974" t="s">
        <v>4182</v>
      </c>
      <c r="C1611" s="2974">
        <v>-1</v>
      </c>
      <c r="D1611" s="2976" t="s">
        <v>4506</v>
      </c>
      <c r="E1611" s="2976">
        <v>9.89</v>
      </c>
      <c r="F1611" s="2974" t="s">
        <v>4180</v>
      </c>
      <c r="G1611" s="2973" t="s">
        <v>4181</v>
      </c>
    </row>
    <row r="1612" spans="1:7" hidden="1">
      <c r="A1612" s="2973">
        <v>1611</v>
      </c>
      <c r="B1612" s="2974" t="s">
        <v>4182</v>
      </c>
      <c r="C1612" s="2974">
        <v>-1</v>
      </c>
      <c r="D1612" s="2976" t="s">
        <v>4507</v>
      </c>
      <c r="E1612" s="2976">
        <v>9.89</v>
      </c>
      <c r="F1612" s="2974" t="s">
        <v>4180</v>
      </c>
      <c r="G1612" s="2973" t="s">
        <v>4181</v>
      </c>
    </row>
    <row r="1613" spans="1:7" hidden="1">
      <c r="A1613" s="2973">
        <v>1612</v>
      </c>
      <c r="B1613" s="2974" t="s">
        <v>4182</v>
      </c>
      <c r="C1613" s="2974">
        <v>-1</v>
      </c>
      <c r="D1613" s="2976" t="s">
        <v>4508</v>
      </c>
      <c r="E1613" s="2976">
        <v>9.89</v>
      </c>
      <c r="F1613" s="2974" t="s">
        <v>4180</v>
      </c>
      <c r="G1613" s="2973" t="s">
        <v>4181</v>
      </c>
    </row>
    <row r="1614" spans="1:7" hidden="1">
      <c r="A1614" s="2973">
        <v>1613</v>
      </c>
      <c r="B1614" s="2974" t="s">
        <v>4182</v>
      </c>
      <c r="C1614" s="2974">
        <v>-1</v>
      </c>
      <c r="D1614" s="2976" t="s">
        <v>4509</v>
      </c>
      <c r="E1614" s="2976">
        <v>9.89</v>
      </c>
      <c r="F1614" s="2974" t="s">
        <v>4180</v>
      </c>
      <c r="G1614" s="2973" t="s">
        <v>4181</v>
      </c>
    </row>
    <row r="1615" spans="1:7" hidden="1">
      <c r="A1615" s="2973">
        <v>1614</v>
      </c>
      <c r="B1615" s="2974" t="s">
        <v>4182</v>
      </c>
      <c r="C1615" s="2974">
        <v>-1</v>
      </c>
      <c r="D1615" s="2976" t="s">
        <v>4510</v>
      </c>
      <c r="E1615" s="2976">
        <v>9.89</v>
      </c>
      <c r="F1615" s="2974" t="s">
        <v>4180</v>
      </c>
      <c r="G1615" s="2973" t="s">
        <v>4181</v>
      </c>
    </row>
    <row r="1616" spans="1:7" hidden="1">
      <c r="A1616" s="2973">
        <v>1615</v>
      </c>
      <c r="B1616" s="2974" t="s">
        <v>4182</v>
      </c>
      <c r="C1616" s="2974">
        <v>-1</v>
      </c>
      <c r="D1616" s="2976" t="s">
        <v>4511</v>
      </c>
      <c r="E1616" s="2976">
        <v>9.89</v>
      </c>
      <c r="F1616" s="2974" t="s">
        <v>4180</v>
      </c>
      <c r="G1616" s="2973" t="s">
        <v>4181</v>
      </c>
    </row>
    <row r="1617" spans="1:10" hidden="1">
      <c r="A1617" s="3055" t="s">
        <v>4512</v>
      </c>
      <c r="B1617" s="3055"/>
      <c r="C1617" s="3055"/>
      <c r="D1617" s="3055"/>
      <c r="E1617" s="2976">
        <f>SUM(E446:E517)+SUM(E689:E986)</f>
        <v>39517.880000000085</v>
      </c>
      <c r="F1617" s="2973" t="s">
        <v>3857</v>
      </c>
      <c r="G1617" s="2973" t="s">
        <v>3857</v>
      </c>
    </row>
    <row r="1618" spans="1:10" hidden="1">
      <c r="A1618" s="3055" t="s">
        <v>4513</v>
      </c>
      <c r="B1618" s="3055"/>
      <c r="C1618" s="3055"/>
      <c r="D1618" s="3055"/>
      <c r="E1618" s="2976">
        <f>SUM(E69:E104)+SUM(E134:E168)+SUM(E301:E336)+SUM(E365:E397)+SUM(E541:E576)+SUM(E612:E638)+SUM(E665:E688)</f>
        <v>26245.119999999999</v>
      </c>
      <c r="F1618" s="2973" t="s">
        <v>4181</v>
      </c>
      <c r="G1618" s="2973" t="s">
        <v>4181</v>
      </c>
    </row>
    <row r="1619" spans="1:10" hidden="1">
      <c r="A1619" s="3055" t="s">
        <v>4514</v>
      </c>
      <c r="B1619" s="3055"/>
      <c r="C1619" s="3055"/>
      <c r="D1619" s="3055"/>
      <c r="E1619" s="2973">
        <f>SUM(E8:E25)+SUM(E32:E49)+SUM(E175:E192)+SUM(E199:E216)+SUM(E223:E240)+SUM(E246:E260)+SUM(E404:E421)+SUM(E428:E445)</f>
        <v>7836.8900000000012</v>
      </c>
      <c r="F1619" s="2973" t="s">
        <v>4181</v>
      </c>
      <c r="G1619" s="2973" t="s">
        <v>4181</v>
      </c>
    </row>
    <row r="1620" spans="1:10" hidden="1">
      <c r="A1620" s="3055" t="s">
        <v>4515</v>
      </c>
      <c r="B1620" s="3055"/>
      <c r="C1620" s="3055"/>
      <c r="D1620" s="3055"/>
      <c r="E1620" s="2973">
        <f>SUM(E123:E133)+SUM(E363:E364)+SUM(E657:E664)</f>
        <v>1000.2400000000001</v>
      </c>
      <c r="F1620" s="2973" t="s">
        <v>4181</v>
      </c>
      <c r="G1620" s="2973" t="s">
        <v>4181</v>
      </c>
    </row>
    <row r="1621" spans="1:10" hidden="1">
      <c r="A1621" s="3055" t="s">
        <v>4516</v>
      </c>
      <c r="B1621" s="3055"/>
      <c r="C1621" s="3055"/>
      <c r="D1621" s="3055"/>
      <c r="E1621" s="2973">
        <f>SUM(E2:E7)+SUM(E26:E31)+SUM(E50:E68)+SUM(E105:E122)+SUM(E169:E174)+SUM(E193:E198)+SUM(E217:E222)+SUM(E241:E245)+SUM(E261:E300)+SUM(E337:E362)+SUM(E398:E403)+SUM(E422:E427)+SUM(E518:E540)+SUM(E577:E611)+SUM(E639:E656)</f>
        <v>4126.1399999999994</v>
      </c>
      <c r="F1621" s="2973" t="s">
        <v>4181</v>
      </c>
      <c r="G1621" s="2973" t="s">
        <v>4181</v>
      </c>
    </row>
    <row r="1622" spans="1:10" hidden="1">
      <c r="A1622" s="3055" t="s">
        <v>4517</v>
      </c>
      <c r="B1622" s="3055"/>
      <c r="C1622" s="3055"/>
      <c r="D1622" s="3055"/>
      <c r="E1622" s="2973">
        <f>SUM(E987:E1616)</f>
        <v>8027.2500000000664</v>
      </c>
      <c r="F1622" s="2973" t="s">
        <v>4181</v>
      </c>
      <c r="G1622" s="2973" t="s">
        <v>4181</v>
      </c>
    </row>
    <row r="1623" spans="1:10" hidden="1">
      <c r="A1623" s="3055" t="s">
        <v>4518</v>
      </c>
      <c r="B1623" s="3055"/>
      <c r="C1623" s="3055"/>
      <c r="D1623" s="3055"/>
      <c r="E1623" s="2973">
        <f>SUM(E1617:E1622)</f>
        <v>86753.520000000164</v>
      </c>
      <c r="F1623" s="2973" t="s">
        <v>4181</v>
      </c>
      <c r="G1623" s="2973" t="s">
        <v>4181</v>
      </c>
    </row>
    <row r="1625" spans="1:10" ht="15" thickBot="1"/>
    <row r="1626" spans="1:10" ht="15" thickBot="1">
      <c r="A1626" t="s">
        <v>4521</v>
      </c>
      <c r="B1626" t="s">
        <v>4537</v>
      </c>
      <c r="C1626" t="s">
        <v>4538</v>
      </c>
      <c r="F1626" s="3313" t="s">
        <v>4539</v>
      </c>
      <c r="G1626" s="3314" t="s">
        <v>4540</v>
      </c>
      <c r="H1626" s="3314" t="s">
        <v>4541</v>
      </c>
      <c r="I1626" s="3314" t="s">
        <v>4525</v>
      </c>
      <c r="J1626" s="3314" t="s">
        <v>4542</v>
      </c>
    </row>
    <row r="1627" spans="1:10" ht="15" thickBot="1">
      <c r="A1627" t="s">
        <v>4522</v>
      </c>
      <c r="B1627" s="3311">
        <v>7528.369999999999</v>
      </c>
      <c r="C1627" s="3312">
        <v>0.32</v>
      </c>
      <c r="F1627" s="3315" t="s">
        <v>4543</v>
      </c>
      <c r="G1627" s="3316">
        <v>3</v>
      </c>
      <c r="H1627" s="3316">
        <v>3</v>
      </c>
      <c r="I1627" s="3317" t="s">
        <v>4544</v>
      </c>
      <c r="J1627" s="3317" t="s">
        <v>3086</v>
      </c>
    </row>
    <row r="1628" spans="1:10" ht="15" thickBot="1">
      <c r="A1628" t="s">
        <v>4523</v>
      </c>
      <c r="B1628">
        <v>8356.9699999999993</v>
      </c>
      <c r="C1628" s="3312">
        <v>0.5</v>
      </c>
      <c r="F1628" s="3315" t="s">
        <v>4545</v>
      </c>
      <c r="G1628" s="3316">
        <v>3</v>
      </c>
      <c r="H1628" s="3316">
        <v>3</v>
      </c>
      <c r="I1628" s="3317" t="s">
        <v>4544</v>
      </c>
      <c r="J1628" s="3317" t="s">
        <v>3086</v>
      </c>
    </row>
    <row r="1629" spans="1:10" ht="15" thickBot="1">
      <c r="A1629" t="s">
        <v>4524</v>
      </c>
      <c r="B1629">
        <v>8473.7800000000025</v>
      </c>
      <c r="C1629" s="3312">
        <v>0.48</v>
      </c>
      <c r="F1629" s="3315" t="s">
        <v>4546</v>
      </c>
      <c r="G1629" s="3316">
        <v>9</v>
      </c>
      <c r="H1629" s="3316">
        <v>9</v>
      </c>
      <c r="I1629" s="3317" t="s">
        <v>4547</v>
      </c>
      <c r="J1629" s="3317" t="s">
        <v>3080</v>
      </c>
    </row>
    <row r="1630" spans="1:10" ht="15" thickBot="1">
      <c r="A1630" t="s">
        <v>4526</v>
      </c>
      <c r="B1630">
        <v>8159.8700000000008</v>
      </c>
      <c r="C1630" s="3312">
        <v>0.48</v>
      </c>
      <c r="F1630" s="3315" t="s">
        <v>4548</v>
      </c>
      <c r="G1630" s="3316">
        <v>9</v>
      </c>
      <c r="H1630" s="3316">
        <v>4</v>
      </c>
      <c r="I1630" s="3316" t="s">
        <v>4549</v>
      </c>
      <c r="J1630" s="3317" t="s">
        <v>3080</v>
      </c>
    </row>
    <row r="1631" spans="1:10" ht="15" thickBot="1">
      <c r="A1631" t="s">
        <v>4527</v>
      </c>
      <c r="B1631">
        <v>6998.8900000000031</v>
      </c>
      <c r="C1631" s="3312">
        <v>0.48</v>
      </c>
      <c r="F1631" s="3315" t="s">
        <v>4550</v>
      </c>
      <c r="G1631" s="3316">
        <v>3</v>
      </c>
      <c r="H1631" s="3316">
        <v>3</v>
      </c>
      <c r="I1631" s="3317" t="s">
        <v>4544</v>
      </c>
      <c r="J1631" s="3317" t="s">
        <v>3086</v>
      </c>
    </row>
    <row r="1632" spans="1:10" ht="15" thickBot="1">
      <c r="A1632" t="s">
        <v>4528</v>
      </c>
      <c r="B1632" s="3311">
        <v>39517.880000000005</v>
      </c>
      <c r="C1632" s="3312">
        <v>0.45</v>
      </c>
      <c r="F1632" s="3315" t="s">
        <v>4551</v>
      </c>
      <c r="G1632" s="3316">
        <v>3</v>
      </c>
      <c r="H1632" s="3316">
        <v>3</v>
      </c>
      <c r="I1632" s="3317" t="s">
        <v>4544</v>
      </c>
      <c r="J1632" s="3317" t="s">
        <v>3086</v>
      </c>
    </row>
    <row r="1633" spans="1:10" ht="15" thickBot="1">
      <c r="F1633" s="3315" t="s">
        <v>4552</v>
      </c>
      <c r="G1633" s="3316">
        <v>3</v>
      </c>
      <c r="H1633" s="3316">
        <v>3</v>
      </c>
      <c r="I1633" s="3317" t="s">
        <v>4544</v>
      </c>
      <c r="J1633" s="3317" t="s">
        <v>3086</v>
      </c>
    </row>
    <row r="1634" spans="1:10" ht="15" thickBot="1">
      <c r="A1634" t="s">
        <v>4529</v>
      </c>
      <c r="B1634" t="s">
        <v>4537</v>
      </c>
      <c r="C1634" t="s">
        <v>4538</v>
      </c>
      <c r="F1634" s="3315" t="s">
        <v>4553</v>
      </c>
      <c r="G1634" s="3316">
        <v>3</v>
      </c>
      <c r="H1634" s="3316">
        <v>3</v>
      </c>
      <c r="I1634" s="3317" t="s">
        <v>4544</v>
      </c>
      <c r="J1634" s="3317" t="s">
        <v>3086</v>
      </c>
    </row>
    <row r="1635" spans="1:10" ht="15" thickBot="1">
      <c r="A1635" t="s">
        <v>4530</v>
      </c>
      <c r="B1635">
        <v>4143.7799999999988</v>
      </c>
      <c r="C1635" s="3312">
        <v>0.5</v>
      </c>
      <c r="F1635" s="3315" t="s">
        <v>4554</v>
      </c>
      <c r="G1635" s="3316">
        <v>9</v>
      </c>
      <c r="H1635" s="3316">
        <v>9</v>
      </c>
      <c r="I1635" s="3317" t="s">
        <v>4547</v>
      </c>
      <c r="J1635" s="3317" t="s">
        <v>3080</v>
      </c>
    </row>
    <row r="1636" spans="1:10" ht="15" thickBot="1">
      <c r="A1636" t="s">
        <v>4531</v>
      </c>
      <c r="B1636">
        <v>3890.1799999999989</v>
      </c>
      <c r="C1636" s="3312">
        <v>0.33</v>
      </c>
      <c r="F1636" s="3315" t="s">
        <v>4555</v>
      </c>
      <c r="G1636" s="3316">
        <v>9</v>
      </c>
      <c r="H1636" s="3316">
        <v>9</v>
      </c>
      <c r="I1636" s="3317" t="s">
        <v>4547</v>
      </c>
      <c r="J1636" s="3317" t="s">
        <v>3080</v>
      </c>
    </row>
    <row r="1637" spans="1:10" ht="15" thickBot="1">
      <c r="A1637" t="s">
        <v>4532</v>
      </c>
      <c r="B1637">
        <v>4462.4000000000005</v>
      </c>
      <c r="C1637" s="3312">
        <v>0.5</v>
      </c>
      <c r="F1637" s="3315" t="s">
        <v>4556</v>
      </c>
      <c r="G1637" s="3316">
        <v>3</v>
      </c>
      <c r="H1637" s="3316">
        <v>3</v>
      </c>
      <c r="I1637" s="3317" t="s">
        <v>4544</v>
      </c>
      <c r="J1637" s="3317" t="s">
        <v>3086</v>
      </c>
    </row>
    <row r="1638" spans="1:10" ht="15" thickBot="1">
      <c r="A1638" t="s">
        <v>4533</v>
      </c>
      <c r="B1638">
        <v>3694.8000000000006</v>
      </c>
      <c r="C1638" s="3312">
        <v>0.5</v>
      </c>
      <c r="F1638" s="3315" t="s">
        <v>4557</v>
      </c>
      <c r="G1638" s="3316">
        <v>3</v>
      </c>
      <c r="H1638" s="3316">
        <v>3</v>
      </c>
      <c r="I1638" s="3317" t="s">
        <v>4544</v>
      </c>
      <c r="J1638" s="3317" t="s">
        <v>3086</v>
      </c>
    </row>
    <row r="1639" spans="1:10" ht="15" thickBot="1">
      <c r="A1639" t="s">
        <v>4534</v>
      </c>
      <c r="B1639" s="3311">
        <v>3907.599999999999</v>
      </c>
      <c r="C1639" s="3312">
        <v>0.33</v>
      </c>
      <c r="F1639" s="3315" t="s">
        <v>4558</v>
      </c>
      <c r="G1639" s="3316">
        <v>18</v>
      </c>
      <c r="H1639" s="3316">
        <v>7</v>
      </c>
      <c r="I1639" s="3316" t="s">
        <v>4559</v>
      </c>
      <c r="J1639" s="3317" t="s">
        <v>3089</v>
      </c>
    </row>
    <row r="1640" spans="1:10" ht="15" thickBot="1">
      <c r="A1640" t="s">
        <v>4535</v>
      </c>
      <c r="B1640">
        <v>3374.9799999999996</v>
      </c>
      <c r="C1640" s="3312">
        <v>0.5</v>
      </c>
      <c r="F1640" s="3315" t="s">
        <v>4560</v>
      </c>
      <c r="G1640" s="3316">
        <v>9</v>
      </c>
      <c r="H1640" s="3316">
        <v>4</v>
      </c>
      <c r="I1640" s="3316" t="s">
        <v>4549</v>
      </c>
      <c r="J1640" s="3317" t="s">
        <v>3080</v>
      </c>
    </row>
    <row r="1641" spans="1:10" ht="15" thickBot="1">
      <c r="A1641" t="s">
        <v>4536</v>
      </c>
      <c r="B1641">
        <v>2771.3799999999997</v>
      </c>
      <c r="C1641" s="3312">
        <v>0.5</v>
      </c>
      <c r="F1641" s="3315" t="s">
        <v>4561</v>
      </c>
      <c r="G1641" s="3316">
        <v>9</v>
      </c>
      <c r="H1641" s="3316">
        <v>9</v>
      </c>
      <c r="I1641" s="3317" t="s">
        <v>4547</v>
      </c>
      <c r="J1641" s="3317" t="s">
        <v>3080</v>
      </c>
    </row>
    <row r="1642" spans="1:10" ht="15" thickBot="1">
      <c r="A1642" t="s">
        <v>4528</v>
      </c>
      <c r="B1642" s="3311">
        <v>26245.119999999999</v>
      </c>
      <c r="C1642" s="3312">
        <v>0.45</v>
      </c>
      <c r="F1642" s="3315" t="s">
        <v>4562</v>
      </c>
      <c r="G1642" s="3316">
        <v>9</v>
      </c>
      <c r="H1642" s="3316">
        <v>9</v>
      </c>
      <c r="I1642" s="3317" t="s">
        <v>4547</v>
      </c>
      <c r="J1642" s="3317" t="s">
        <v>3080</v>
      </c>
    </row>
    <row r="1643" spans="1:10" ht="15" thickBot="1">
      <c r="F1643" s="3315" t="s">
        <v>4563</v>
      </c>
      <c r="G1643" s="3316">
        <v>20</v>
      </c>
      <c r="H1643" s="3316">
        <v>20</v>
      </c>
      <c r="I1643" s="3317" t="s">
        <v>4547</v>
      </c>
      <c r="J1643" s="3317" t="s">
        <v>3089</v>
      </c>
    </row>
    <row r="1644" spans="1:10" ht="15" thickBot="1">
      <c r="F1644" s="3315" t="s">
        <v>4564</v>
      </c>
      <c r="G1644" s="3316">
        <v>20</v>
      </c>
      <c r="H1644" s="3316">
        <v>19</v>
      </c>
      <c r="I1644" s="3316" t="s">
        <v>4565</v>
      </c>
      <c r="J1644" s="3317" t="s">
        <v>3089</v>
      </c>
    </row>
    <row r="1645" spans="1:10" ht="15" thickBot="1">
      <c r="F1645" s="3315" t="s">
        <v>4566</v>
      </c>
      <c r="G1645" s="3316">
        <v>20</v>
      </c>
      <c r="H1645" s="3316">
        <v>19</v>
      </c>
      <c r="I1645" s="3316" t="s">
        <v>4565</v>
      </c>
      <c r="J1645" s="3317" t="s">
        <v>3089</v>
      </c>
    </row>
    <row r="1646" spans="1:10" ht="15" thickBot="1">
      <c r="F1646" s="3315" t="s">
        <v>4567</v>
      </c>
      <c r="G1646" s="3316">
        <v>20</v>
      </c>
      <c r="H1646" s="3316">
        <v>19</v>
      </c>
      <c r="I1646" s="3316" t="s">
        <v>4565</v>
      </c>
      <c r="J1646" s="3317" t="s">
        <v>3089</v>
      </c>
    </row>
  </sheetData>
  <autoFilter ref="B1:G1623">
    <filterColumn colId="5">
      <filters>
        <filter val="联排"/>
      </filters>
    </filterColumn>
  </autoFilter>
  <mergeCells count="7">
    <mergeCell ref="A1622:D1622"/>
    <mergeCell ref="A1623:D1623"/>
    <mergeCell ref="A1617:D1617"/>
    <mergeCell ref="A1618:D1618"/>
    <mergeCell ref="A1619:D1619"/>
    <mergeCell ref="A1620:D1620"/>
    <mergeCell ref="A1621:D1621"/>
  </mergeCells>
  <phoneticPr fontId="255" type="noConversion"/>
  <pageMargins left="0.7" right="0.7" top="0.75" bottom="0.75" header="0.3" footer="0.3"/>
  <ignoredErrors>
    <ignoredError sqref="E1622" formulaRange="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0" sqref="L20"/>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1" width="10.88671875" style="2155" bestFit="1" customWidth="1"/>
    <col min="52"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86753.520000000164</v>
      </c>
      <c r="C3" s="2164" t="s">
        <v>3060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f>ROUND((I13+K13+M13+O13)/C16*B14,2)</f>
        <v>41386.629999999997</v>
      </c>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1873</v>
      </c>
      <c r="B5" s="1803"/>
      <c r="C5" s="1803"/>
      <c r="D5" s="1806"/>
      <c r="E5" s="16" t="s">
        <v>1</v>
      </c>
      <c r="F5" s="16">
        <f>SUM(F13:F587)</f>
        <v>0</v>
      </c>
      <c r="G5" s="16">
        <f>SUM(G13:G587)</f>
        <v>86753.520000000164</v>
      </c>
      <c r="H5" s="16">
        <f t="shared" ref="H5:AT5" si="0">SUM(H13:H656)</f>
        <v>86753.520000000164</v>
      </c>
      <c r="I5" s="16">
        <f t="shared" si="0"/>
        <v>39517.880000000085</v>
      </c>
      <c r="J5" s="16">
        <f t="shared" si="0"/>
        <v>0</v>
      </c>
      <c r="K5" s="16">
        <f t="shared" si="0"/>
        <v>26245.119999999999</v>
      </c>
      <c r="L5" s="16">
        <f t="shared" si="0"/>
        <v>0</v>
      </c>
      <c r="M5" s="16">
        <f t="shared" si="0"/>
        <v>7836.8900000000012</v>
      </c>
      <c r="N5" s="16">
        <f t="shared" si="0"/>
        <v>0</v>
      </c>
      <c r="O5" s="16">
        <f t="shared" si="0"/>
        <v>967.0200000000001</v>
      </c>
      <c r="P5" s="16">
        <f t="shared" si="0"/>
        <v>0</v>
      </c>
      <c r="Q5" s="16">
        <f t="shared" si="0"/>
        <v>33.22</v>
      </c>
      <c r="R5" s="16">
        <f t="shared" si="0"/>
        <v>0</v>
      </c>
      <c r="S5" s="16">
        <f t="shared" si="0"/>
        <v>4126.1399999999994</v>
      </c>
      <c r="T5" s="16">
        <f t="shared" si="0"/>
        <v>0</v>
      </c>
      <c r="U5" s="16">
        <f t="shared" si="0"/>
        <v>8027.2500000000664</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86753.520000000164</v>
      </c>
      <c r="BA5" s="18">
        <f t="shared" si="1"/>
        <v>86753.520000000164</v>
      </c>
      <c r="BB5" s="18">
        <f t="shared" si="1"/>
        <v>39517.880000000085</v>
      </c>
      <c r="BC5" s="18">
        <f t="shared" si="1"/>
        <v>26245.119999999999</v>
      </c>
      <c r="BD5" s="18">
        <f t="shared" si="1"/>
        <v>7836.8900000000012</v>
      </c>
      <c r="BE5" s="18">
        <f t="shared" si="1"/>
        <v>967.0200000000001</v>
      </c>
      <c r="BF5" s="18">
        <f t="shared" si="1"/>
        <v>33.22</v>
      </c>
      <c r="BG5" s="18">
        <f t="shared" si="1"/>
        <v>4126.1399999999994</v>
      </c>
      <c r="BH5" s="18">
        <f t="shared" si="1"/>
        <v>8027.2500000000664</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1874</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41386.629999999997</v>
      </c>
      <c r="AZ6" s="16" t="s">
        <v>3</v>
      </c>
      <c r="BA6" s="16">
        <f>ROUND($AY$6*BA5/$AZ$5,2)</f>
        <v>41386.629999999997</v>
      </c>
      <c r="BB6" s="16">
        <f>ROUND($AY$6*BB5/$AZ$5,2)</f>
        <v>18852.400000000001</v>
      </c>
      <c r="BC6" s="16">
        <f t="shared" ref="BC6:BH6" si="4">ROUND($AY$6*BC5/$AZ$5,2)</f>
        <v>12520.5</v>
      </c>
      <c r="BD6" s="16">
        <f t="shared" si="4"/>
        <v>3738.67</v>
      </c>
      <c r="BE6" s="16">
        <f t="shared" si="4"/>
        <v>461.33</v>
      </c>
      <c r="BF6" s="16">
        <f t="shared" si="4"/>
        <v>15.85</v>
      </c>
      <c r="BG6" s="16">
        <f t="shared" si="4"/>
        <v>1968.42</v>
      </c>
      <c r="BH6" s="16">
        <f t="shared" si="4"/>
        <v>3829.48</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6" t="s">
        <v>1875</v>
      </c>
      <c r="B7" s="2106" t="s">
        <v>1876</v>
      </c>
      <c r="C7" s="2106" t="s">
        <v>1877</v>
      </c>
      <c r="D7" s="2106" t="s">
        <v>1878</v>
      </c>
      <c r="E7" s="2106" t="s">
        <v>1879</v>
      </c>
      <c r="F7" s="2106"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1893</v>
      </c>
      <c r="I9" s="2187" t="s">
        <v>3078</v>
      </c>
      <c r="J9" s="981"/>
      <c r="K9" s="2187" t="s">
        <v>3078</v>
      </c>
      <c r="L9" s="981"/>
      <c r="M9" s="2187" t="s">
        <v>3078</v>
      </c>
      <c r="N9" s="981"/>
      <c r="O9" s="2187" t="s">
        <v>3078</v>
      </c>
      <c r="P9" s="981"/>
      <c r="Q9" s="2187" t="s">
        <v>3083</v>
      </c>
      <c r="R9" s="981"/>
      <c r="S9" s="2187" t="s">
        <v>3083</v>
      </c>
      <c r="T9" s="981"/>
      <c r="U9" s="2187" t="s">
        <v>3083</v>
      </c>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3.2">
      <c r="A10" s="2178"/>
      <c r="B10" s="2178"/>
      <c r="C10" s="2178"/>
      <c r="D10" s="2178"/>
      <c r="E10" s="2178"/>
      <c r="F10" s="2178"/>
      <c r="G10" s="1292"/>
      <c r="H10" s="28"/>
      <c r="I10" s="2187" t="s">
        <v>3057</v>
      </c>
      <c r="J10" s="981"/>
      <c r="K10" s="2193" t="s">
        <v>3057</v>
      </c>
      <c r="L10" s="981"/>
      <c r="M10" s="2193" t="s">
        <v>3057</v>
      </c>
      <c r="N10" s="981"/>
      <c r="O10" s="2193" t="s">
        <v>1377</v>
      </c>
      <c r="P10" s="981"/>
      <c r="Q10" s="2193" t="s">
        <v>1377</v>
      </c>
      <c r="R10" s="981"/>
      <c r="S10" s="2193" t="s">
        <v>3084</v>
      </c>
      <c r="T10" s="981"/>
      <c r="U10" s="2193" t="s">
        <v>3076</v>
      </c>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地上</v>
      </c>
      <c r="BD10" s="29" t="str">
        <f>M9</f>
        <v>地上</v>
      </c>
      <c r="BE10" s="29" t="str">
        <f>O9</f>
        <v>地上</v>
      </c>
      <c r="BF10" s="29" t="str">
        <f>Q9</f>
        <v>地下</v>
      </c>
      <c r="BG10" s="29" t="str">
        <f>S9</f>
        <v>地下</v>
      </c>
      <c r="BH10" s="29" t="str">
        <f>U9</f>
        <v>地下</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3079</v>
      </c>
      <c r="J11" s="2199"/>
      <c r="K11" s="2198" t="s">
        <v>3080</v>
      </c>
      <c r="L11" s="2199"/>
      <c r="M11" s="2198" t="s">
        <v>3081</v>
      </c>
      <c r="N11" s="2199"/>
      <c r="O11" s="2198" t="s">
        <v>3082</v>
      </c>
      <c r="P11" s="2199"/>
      <c r="Q11" s="2198" t="s">
        <v>3082</v>
      </c>
      <c r="R11" s="2199"/>
      <c r="S11" s="2198" t="s">
        <v>3085</v>
      </c>
      <c r="T11" s="2199"/>
      <c r="U11" s="2198" t="s">
        <v>3076</v>
      </c>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住宅</v>
      </c>
      <c r="BC11" s="2183" t="str">
        <f>K10</f>
        <v>住宅</v>
      </c>
      <c r="BD11" s="2183" t="str">
        <f>M10</f>
        <v>住宅</v>
      </c>
      <c r="BE11" s="2183" t="str">
        <f>O10</f>
        <v>商业</v>
      </c>
      <c r="BF11" s="2183" t="str">
        <f>Q10</f>
        <v>商业</v>
      </c>
      <c r="BG11" s="2183" t="str">
        <f>S10</f>
        <v>仓储</v>
      </c>
      <c r="BH11" s="2183" t="str">
        <f>U10</f>
        <v>车库</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普通住宅</v>
      </c>
      <c r="BC12" s="2208" t="str">
        <f>K11</f>
        <v>洋房</v>
      </c>
      <c r="BD12" s="2208" t="str">
        <f>M11</f>
        <v>联排</v>
      </c>
      <c r="BE12" s="2183" t="str">
        <f>O11</f>
        <v>底商</v>
      </c>
      <c r="BF12" s="2183" t="str">
        <f>Q11</f>
        <v>底商</v>
      </c>
      <c r="BG12" s="2183" t="str">
        <f>S11</f>
        <v>戊类库房</v>
      </c>
      <c r="BH12" s="2183" t="str">
        <f>U11</f>
        <v>车库</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3.2">
      <c r="A13" s="2979"/>
      <c r="B13" s="2979" t="s">
        <v>3074</v>
      </c>
      <c r="C13" s="2979" t="s">
        <v>3075</v>
      </c>
      <c r="D13" s="2209" t="s">
        <v>3060</v>
      </c>
      <c r="E13" s="16">
        <f>IF($C$3="是",ROUND($A$3*G13/$B$3,2),ROUND($A$3*(G13-AT13)/$B$3,2))</f>
        <v>0</v>
      </c>
      <c r="F13" s="32"/>
      <c r="G13" s="33">
        <f>H13+AC13+AT13</f>
        <v>86753.520000000164</v>
      </c>
      <c r="H13" s="20">
        <f>SUMIF(I$12:AB$12,"总值",I13:AB13)</f>
        <v>86753.520000000164</v>
      </c>
      <c r="I13" s="2210">
        <f>抵押物清单!E1617</f>
        <v>39517.880000000085</v>
      </c>
      <c r="J13" s="2210"/>
      <c r="K13" s="2210">
        <f>抵押物清单!E1618</f>
        <v>26245.119999999999</v>
      </c>
      <c r="L13" s="2210"/>
      <c r="M13" s="2210">
        <f>抵押物清单!E1619</f>
        <v>7836.8900000000012</v>
      </c>
      <c r="N13" s="2210"/>
      <c r="O13" s="2210">
        <f>抵押物清单!E1620-Q13</f>
        <v>967.0200000000001</v>
      </c>
      <c r="P13" s="2210"/>
      <c r="Q13" s="2210">
        <f>抵押物清单!E133</f>
        <v>33.22</v>
      </c>
      <c r="R13" s="2210"/>
      <c r="S13" s="2210">
        <f>抵押物清单!E1621</f>
        <v>4126.1399999999994</v>
      </c>
      <c r="T13" s="2210"/>
      <c r="U13" s="2210">
        <f>抵押物清单!E1622</f>
        <v>8027.2500000000664</v>
      </c>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土地面积</v>
      </c>
      <c r="AX13" s="11" t="str">
        <f t="shared" si="6"/>
        <v>建筑面积</v>
      </c>
      <c r="AY13" s="1806">
        <f>ROUND($AY$6*AZ13/$AZ$5,2)</f>
        <v>41386.629999999997</v>
      </c>
      <c r="AZ13" s="16">
        <f>BA13+BL13</f>
        <v>86753.520000000164</v>
      </c>
      <c r="BA13" s="16">
        <f>SUM(BB13:BK13)</f>
        <v>86753.520000000164</v>
      </c>
      <c r="BB13" s="16">
        <f>IF($D13="是",I13-J13,0)</f>
        <v>39517.880000000085</v>
      </c>
      <c r="BC13" s="16">
        <f>IF($D13="是",K13-L13,0)</f>
        <v>26245.119999999999</v>
      </c>
      <c r="BD13" s="16">
        <f>IF($D13="是",M13-N13,0)</f>
        <v>7836.8900000000012</v>
      </c>
      <c r="BE13" s="16">
        <f>IF($D13="是",O13-P13,0)</f>
        <v>967.0200000000001</v>
      </c>
      <c r="BF13" s="16">
        <f>IF($D13="是",Q13-R13,0)</f>
        <v>33.22</v>
      </c>
      <c r="BG13" s="16">
        <f>IF($D13="是",S13-T13,0)</f>
        <v>4126.1399999999994</v>
      </c>
      <c r="BH13" s="16">
        <f>IF($D13="是",U13-V13,0)</f>
        <v>8027.2500000000664</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2979" t="s">
        <v>3077</v>
      </c>
      <c r="B14" s="2979">
        <v>45476</v>
      </c>
      <c r="C14" s="2979">
        <v>116624.16</v>
      </c>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总的</v>
      </c>
      <c r="AW14" s="11">
        <f t="shared" si="6"/>
        <v>45476</v>
      </c>
      <c r="AX14" s="11">
        <f t="shared" si="6"/>
        <v>116624.16</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6.4">
      <c r="A15" s="1272"/>
      <c r="B15" s="1272"/>
      <c r="C15" s="2980" t="s">
        <v>3461</v>
      </c>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地上建筑面积</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979">
        <v>81934.78</v>
      </c>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81934.78</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46.8">
      <c r="A3" s="3056"/>
      <c r="B3" s="3056"/>
      <c r="C3" s="3056"/>
      <c r="D3" s="3057"/>
      <c r="E3" s="30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1932</v>
      </c>
      <c r="B1" s="1392"/>
      <c r="C1" s="1392"/>
      <c r="D1" s="1392"/>
      <c r="E1" s="1392"/>
      <c r="F1" s="1392"/>
      <c r="G1" s="1392"/>
      <c r="H1" s="1392"/>
      <c r="I1" s="1392"/>
      <c r="J1" s="1392"/>
      <c r="K1" s="1392"/>
      <c r="L1" s="1392"/>
      <c r="M1" s="1392"/>
      <c r="N1" s="1392"/>
      <c r="O1" s="1392"/>
      <c r="P1" s="1392"/>
    </row>
    <row r="2" spans="1:16" ht="14.4">
      <c r="A2" s="3067" t="s">
        <v>1933</v>
      </c>
      <c r="B2" s="3067"/>
      <c r="C2" s="3067"/>
      <c r="D2" s="967" t="s">
        <v>1909</v>
      </c>
      <c r="E2" s="2223" t="s">
        <v>1910</v>
      </c>
      <c r="F2" s="1392"/>
      <c r="G2" s="2224"/>
      <c r="H2" s="2225"/>
      <c r="I2" s="2226" t="s">
        <v>1934</v>
      </c>
      <c r="J2" s="1392"/>
      <c r="K2" s="1392"/>
      <c r="L2" s="1392"/>
      <c r="M2" s="1392"/>
      <c r="N2" s="1427"/>
      <c r="O2" s="1392"/>
      <c r="P2" s="1392"/>
    </row>
    <row r="3" spans="1:16" ht="15" thickBot="1">
      <c r="A3" s="3068" t="s">
        <v>1907</v>
      </c>
      <c r="B3" s="3068"/>
      <c r="C3" s="3068"/>
      <c r="D3" s="46">
        <f>'数据-基础表'!AY6</f>
        <v>41386.629999999997</v>
      </c>
      <c r="E3" s="46">
        <f>'数据-基础表'!AZ5</f>
        <v>86753.520000000164</v>
      </c>
      <c r="F3" s="1392"/>
      <c r="G3" s="1399"/>
      <c r="H3" s="1247" t="s">
        <v>1908</v>
      </c>
      <c r="I3" s="55" t="e">
        <f>ROUND('数据-基础表'!B3/'数据-基础表'!A3,2)</f>
        <v>#DIV/0!</v>
      </c>
      <c r="J3" s="1392"/>
      <c r="K3" s="1392"/>
      <c r="L3" s="1392"/>
      <c r="M3" s="1392"/>
      <c r="N3" s="1427"/>
      <c r="O3" s="1392"/>
      <c r="P3" s="1392"/>
    </row>
    <row r="4" spans="1:16" ht="14.4">
      <c r="A4" s="3069"/>
      <c r="B4" s="3070"/>
      <c r="C4" s="3071"/>
      <c r="D4" s="2227" t="s">
        <v>1909</v>
      </c>
      <c r="E4" s="2228" t="s">
        <v>1910</v>
      </c>
      <c r="F4" s="1392"/>
      <c r="G4" s="2229" t="s">
        <v>1935</v>
      </c>
      <c r="H4" s="1247" t="s">
        <v>1915</v>
      </c>
      <c r="I4" s="55" t="e">
        <f>ROUND(SUMIF('数据-基础表'!I9:AS9,"地上",'数据-基础表'!I5:AS5)/'数据-基础表'!A3,2)</f>
        <v>#DIV/0!</v>
      </c>
      <c r="J4" s="1392"/>
      <c r="K4" s="1392"/>
      <c r="L4" s="1392"/>
      <c r="M4" s="1392"/>
      <c r="N4" s="1427"/>
      <c r="O4" s="1392"/>
      <c r="P4" s="1392"/>
    </row>
    <row r="5" spans="1:16" ht="14.4">
      <c r="A5" s="47" t="s">
        <v>1911</v>
      </c>
      <c r="B5" s="3072" t="s">
        <v>1912</v>
      </c>
      <c r="C5" s="3072"/>
      <c r="D5" s="48">
        <f>ROUND($D$3*E5/$E$3,2)</f>
        <v>35111.56</v>
      </c>
      <c r="E5" s="49">
        <f>SUMIF('数据-基础表'!$11:$11,"住宅",'数据-基础表'!$5:$5)</f>
        <v>73599.890000000087</v>
      </c>
      <c r="F5" s="1392"/>
      <c r="G5" s="1399"/>
      <c r="H5" s="1247" t="s">
        <v>1908</v>
      </c>
      <c r="I5" s="55">
        <f>ROUND(E31/D31,2)</f>
        <v>2.1</v>
      </c>
      <c r="J5" s="1392"/>
      <c r="K5" s="1392"/>
      <c r="L5" s="1392"/>
      <c r="M5" s="1392"/>
      <c r="N5" s="1392"/>
      <c r="O5" s="1392"/>
      <c r="P5" s="1392"/>
    </row>
    <row r="6" spans="1:16" ht="15" thickBot="1">
      <c r="A6" s="2230"/>
      <c r="B6" s="3072" t="s">
        <v>1913</v>
      </c>
      <c r="C6" s="3072"/>
      <c r="D6" s="48">
        <f>ROUND($D$3*E6/$E$3,2)</f>
        <v>6275.07</v>
      </c>
      <c r="E6" s="49">
        <f>E3-E5</f>
        <v>13153.630000000077</v>
      </c>
      <c r="F6" s="1392"/>
      <c r="G6" s="2231" t="s">
        <v>1914</v>
      </c>
      <c r="H6" s="1399" t="s">
        <v>1915</v>
      </c>
      <c r="I6" s="939">
        <f>ROUND(F31/D31,2)</f>
        <v>1.8</v>
      </c>
      <c r="J6" s="1392"/>
      <c r="K6" s="1392"/>
      <c r="L6" s="1392"/>
      <c r="M6" s="1392"/>
      <c r="N6" s="1392"/>
      <c r="O6" s="1392"/>
      <c r="P6" s="1392"/>
    </row>
    <row r="7" spans="1:16" ht="14.4">
      <c r="A7" s="3064"/>
      <c r="B7" s="3065"/>
      <c r="C7" s="3066"/>
      <c r="D7" s="2227" t="s">
        <v>1909</v>
      </c>
      <c r="E7" s="2232" t="s">
        <v>1916</v>
      </c>
      <c r="F7" s="1392"/>
      <c r="G7" s="2224" t="s">
        <v>1917</v>
      </c>
      <c r="H7" s="64"/>
      <c r="I7" s="420">
        <v>1.8</v>
      </c>
      <c r="J7" s="1392"/>
      <c r="K7" s="1392"/>
      <c r="L7" s="1392"/>
      <c r="M7" s="1392"/>
      <c r="N7" s="1392"/>
      <c r="O7" s="1392"/>
      <c r="P7" s="1392"/>
    </row>
    <row r="8" spans="1:16" ht="14.4">
      <c r="A8" s="47" t="s">
        <v>1918</v>
      </c>
      <c r="B8" s="50" t="s">
        <v>1919</v>
      </c>
      <c r="C8" s="48" t="s">
        <v>1920</v>
      </c>
      <c r="D8" s="48">
        <f t="shared" ref="D8:D15" si="0">ROUND($D$3*E8/$E$3,2)</f>
        <v>35572.89</v>
      </c>
      <c r="E8" s="51">
        <f>SUMIF('数据-基础表'!BB10:BK10,"地上",'数据-基础表'!BB5:BK5)</f>
        <v>74566.910000000091</v>
      </c>
      <c r="F8" s="1392"/>
      <c r="G8" s="2233"/>
      <c r="H8" s="2233"/>
      <c r="I8" s="1392"/>
      <c r="J8" s="1392"/>
      <c r="K8" s="1392"/>
      <c r="L8" s="1392"/>
      <c r="M8" s="1392"/>
      <c r="N8" s="1392"/>
      <c r="O8" s="1392"/>
      <c r="P8" s="1392"/>
    </row>
    <row r="9" spans="1:16" ht="14.4">
      <c r="A9" s="2234"/>
      <c r="B9" s="2235"/>
      <c r="C9" s="48" t="s">
        <v>1921</v>
      </c>
      <c r="D9" s="48">
        <f t="shared" si="0"/>
        <v>0</v>
      </c>
      <c r="E9" s="52">
        <v>0</v>
      </c>
      <c r="F9" s="1392"/>
      <c r="G9" s="2233"/>
      <c r="H9" s="2233"/>
      <c r="I9" s="1392"/>
      <c r="J9" s="1392"/>
      <c r="K9" s="1392"/>
      <c r="L9" s="1392"/>
      <c r="M9" s="1392"/>
      <c r="N9" s="1392"/>
      <c r="O9" s="1392"/>
      <c r="P9" s="1392"/>
    </row>
    <row r="10" spans="1:16" ht="14.4">
      <c r="A10" s="2234"/>
      <c r="B10" s="2235"/>
      <c r="C10" s="48" t="s">
        <v>1930</v>
      </c>
      <c r="D10" s="48">
        <f t="shared" si="0"/>
        <v>15.85</v>
      </c>
      <c r="E10" s="51">
        <f>SUMPRODUCT(('数据-基础表'!BB10:BK10="地下")*('数据-基础表'!BB11:BK11="商业")*('数据-基础表'!BB5:BK5))</f>
        <v>33.22</v>
      </c>
      <c r="F10" s="1392"/>
      <c r="G10" s="2233"/>
      <c r="H10" s="2233"/>
      <c r="I10" s="1392"/>
      <c r="J10" s="1392"/>
      <c r="K10" s="1392"/>
      <c r="L10" s="1392"/>
      <c r="M10" s="1392"/>
      <c r="N10" s="1392"/>
      <c r="O10" s="1392"/>
      <c r="P10" s="1392"/>
    </row>
    <row r="11" spans="1:16" ht="14.4">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1923</v>
      </c>
      <c r="D12" s="48">
        <f t="shared" si="0"/>
        <v>1968.42</v>
      </c>
      <c r="E12" s="51">
        <f>SUMPRODUCT(('数据-基础表'!BB10:BK10="地下")*('数据-基础表'!BB11:BK11="仓储")*('数据-基础表'!BB5:BK5))</f>
        <v>4126.1399999999994</v>
      </c>
      <c r="F12" s="1392"/>
      <c r="G12" s="2233"/>
      <c r="H12" s="2233"/>
      <c r="I12" s="1392"/>
      <c r="J12" s="1392"/>
      <c r="K12" s="1392"/>
      <c r="L12" s="1392"/>
      <c r="M12" s="1392"/>
      <c r="N12" s="1392"/>
      <c r="O12" s="1392"/>
      <c r="P12" s="1392"/>
    </row>
    <row r="13" spans="1:16" ht="14.4">
      <c r="A13" s="2234"/>
      <c r="B13" s="2235"/>
      <c r="C13" s="48" t="s">
        <v>1924</v>
      </c>
      <c r="D13" s="48">
        <f t="shared" si="0"/>
        <v>3829.48</v>
      </c>
      <c r="E13" s="51">
        <f>SUMPRODUCT(('数据-基础表'!BB10:BK10="地下")*('数据-基础表'!BB11:BK11="车库")*('数据-基础表'!BB5:BK5))</f>
        <v>8027.2500000000664</v>
      </c>
      <c r="F13" s="1392"/>
      <c r="G13" s="2233"/>
      <c r="H13" s="2233"/>
      <c r="I13" s="1392"/>
      <c r="J13" s="1392"/>
      <c r="K13" s="1392"/>
      <c r="L13" s="1392"/>
      <c r="M13" s="1392"/>
      <c r="N13" s="1392"/>
      <c r="O13" s="1392"/>
      <c r="P13" s="1392"/>
    </row>
    <row r="14" spans="1:16" ht="14.4">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1925</v>
      </c>
      <c r="D16" s="50">
        <f>SUM(D8:D15)</f>
        <v>41386.639999999999</v>
      </c>
      <c r="E16" s="53">
        <f>SUM(E8:E15)</f>
        <v>86753.520000000164</v>
      </c>
      <c r="F16" s="1392"/>
      <c r="G16" s="2233"/>
      <c r="H16" s="2236" t="s">
        <v>1937</v>
      </c>
      <c r="I16" s="2237"/>
      <c r="J16" s="1392"/>
      <c r="K16" s="3061" t="s">
        <v>1937</v>
      </c>
      <c r="L16" s="3062"/>
      <c r="M16" s="3062"/>
      <c r="N16" s="3062"/>
      <c r="O16" s="3062"/>
      <c r="P16" s="3063"/>
    </row>
    <row r="17" spans="1:19" ht="14.4">
      <c r="A17" s="2238" t="s">
        <v>1938</v>
      </c>
      <c r="B17" s="2239" t="s">
        <v>1939</v>
      </c>
      <c r="C17" s="2240" t="s">
        <v>1940</v>
      </c>
      <c r="D17" s="2241" t="s">
        <v>1928</v>
      </c>
      <c r="E17" s="2242" t="s">
        <v>1929</v>
      </c>
      <c r="F17" s="2243"/>
      <c r="G17" s="2244"/>
      <c r="H17" s="2245" t="s">
        <v>1941</v>
      </c>
      <c r="I17" s="2246" t="s">
        <v>1926</v>
      </c>
      <c r="J17" s="1392"/>
      <c r="K17" s="3058" t="s">
        <v>1942</v>
      </c>
      <c r="L17" s="3059"/>
      <c r="M17" s="3060"/>
      <c r="N17" s="3058" t="s">
        <v>1943</v>
      </c>
      <c r="O17" s="3059"/>
      <c r="P17" s="3060"/>
      <c r="R17" s="2224" t="s">
        <v>1944</v>
      </c>
      <c r="S17" s="64"/>
    </row>
    <row r="18" spans="1:19" ht="14.4">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ht="14.4">
      <c r="A19" s="2255"/>
      <c r="B19" s="50" t="s">
        <v>1927</v>
      </c>
      <c r="C19" s="2943" t="s">
        <v>3087</v>
      </c>
      <c r="D19" s="48">
        <f>ROUND($D$3*E19/$E$3,2)</f>
        <v>3738.67</v>
      </c>
      <c r="E19" s="56">
        <f t="shared" ref="E19:E26" si="1">SUM(F19:G19)</f>
        <v>7836.8900000000012</v>
      </c>
      <c r="F19" s="57">
        <f>'数据-基础表'!M5</f>
        <v>7836.8900000000012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3738.67</v>
      </c>
      <c r="S19" s="1248">
        <f t="shared" si="5"/>
        <v>7836.8900000000012</v>
      </c>
    </row>
    <row r="20" spans="1:19" ht="14.4">
      <c r="A20" s="2258"/>
      <c r="B20" s="50" t="s">
        <v>1955</v>
      </c>
      <c r="C20" s="2943" t="s">
        <v>3088</v>
      </c>
      <c r="D20" s="48">
        <f t="shared" ref="D20:D26" si="6">ROUND($D$3*E20/$E$3,2)</f>
        <v>12520.5</v>
      </c>
      <c r="E20" s="56">
        <f t="shared" si="1"/>
        <v>26245.119999999999</v>
      </c>
      <c r="F20" s="57">
        <f>'数据-基础表'!K5</f>
        <v>26245.119999999999</v>
      </c>
      <c r="G20" s="57"/>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12520.5</v>
      </c>
      <c r="S20" s="1248">
        <f t="shared" si="5"/>
        <v>26245.119999999999</v>
      </c>
    </row>
    <row r="21" spans="1:19" ht="14.4">
      <c r="A21" s="2258"/>
      <c r="B21" s="50" t="s">
        <v>1955</v>
      </c>
      <c r="C21" s="2943" t="s">
        <v>3090</v>
      </c>
      <c r="D21" s="48">
        <f t="shared" si="6"/>
        <v>18852.400000000001</v>
      </c>
      <c r="E21" s="56">
        <f t="shared" si="1"/>
        <v>39517.880000000085</v>
      </c>
      <c r="F21" s="57">
        <f>'数据-基础表'!I5</f>
        <v>39517.880000000085</v>
      </c>
      <c r="G21" s="57"/>
      <c r="H21" s="723">
        <f t="shared" si="7"/>
        <v>0</v>
      </c>
      <c r="I21" s="51">
        <f t="shared" si="2"/>
        <v>0</v>
      </c>
      <c r="J21" s="1392"/>
      <c r="K21" s="1391">
        <f t="shared" si="3"/>
        <v>0</v>
      </c>
      <c r="L21" s="1247">
        <f t="shared" si="4"/>
        <v>0</v>
      </c>
      <c r="M21" s="1403">
        <f t="shared" si="8"/>
        <v>0</v>
      </c>
      <c r="N21" s="2256"/>
      <c r="O21" s="2257"/>
      <c r="P21" s="1403">
        <f t="shared" si="9"/>
        <v>0</v>
      </c>
      <c r="R21" s="1247">
        <f t="shared" si="5"/>
        <v>18852.400000000001</v>
      </c>
      <c r="S21" s="1248">
        <f t="shared" si="5"/>
        <v>39517.880000000085</v>
      </c>
    </row>
    <row r="22" spans="1:19" ht="14.4">
      <c r="A22" s="2258"/>
      <c r="B22" s="50" t="s">
        <v>1955</v>
      </c>
      <c r="C22" s="2944" t="s">
        <v>3091</v>
      </c>
      <c r="D22" s="48">
        <f t="shared" si="6"/>
        <v>477.17</v>
      </c>
      <c r="E22" s="56">
        <f t="shared" si="1"/>
        <v>1000.2400000000001</v>
      </c>
      <c r="F22" s="57">
        <f>'数据-基础表'!O5</f>
        <v>967.0200000000001</v>
      </c>
      <c r="G22" s="57">
        <f>'数据-基础表'!Q5</f>
        <v>33.22</v>
      </c>
      <c r="H22" s="723">
        <f t="shared" si="7"/>
        <v>0</v>
      </c>
      <c r="I22" s="51">
        <f t="shared" si="2"/>
        <v>0</v>
      </c>
      <c r="J22" s="1392"/>
      <c r="K22" s="1391">
        <f t="shared" si="3"/>
        <v>0</v>
      </c>
      <c r="L22" s="1247">
        <f t="shared" si="4"/>
        <v>0</v>
      </c>
      <c r="M22" s="1403">
        <f t="shared" si="8"/>
        <v>0</v>
      </c>
      <c r="N22" s="2256"/>
      <c r="O22" s="2257"/>
      <c r="P22" s="1403">
        <f t="shared" si="9"/>
        <v>0</v>
      </c>
      <c r="R22" s="1247">
        <f t="shared" si="5"/>
        <v>477.17</v>
      </c>
      <c r="S22" s="1248">
        <f t="shared" si="5"/>
        <v>1000.2400000000001</v>
      </c>
    </row>
    <row r="23" spans="1:19" ht="14.4">
      <c r="A23" s="2258"/>
      <c r="B23" s="50" t="s">
        <v>1955</v>
      </c>
      <c r="C23" s="2944" t="s">
        <v>3092</v>
      </c>
      <c r="D23" s="48">
        <f>ROUND($D$3*E23/$E$3,2)</f>
        <v>1968.42</v>
      </c>
      <c r="E23" s="56">
        <f>SUM(F23:G23)</f>
        <v>4126.1399999999994</v>
      </c>
      <c r="F23" s="57"/>
      <c r="G23" s="57">
        <f>'数据-基础表'!S5</f>
        <v>4126.1399999999994</v>
      </c>
      <c r="H23" s="723">
        <f>ROUND($D$3*I23/$E$3,2)</f>
        <v>0</v>
      </c>
      <c r="I23" s="51">
        <f t="shared" si="2"/>
        <v>0</v>
      </c>
      <c r="J23" s="1392"/>
      <c r="K23" s="1391">
        <f t="shared" si="3"/>
        <v>0</v>
      </c>
      <c r="L23" s="1247">
        <f t="shared" si="4"/>
        <v>0</v>
      </c>
      <c r="M23" s="1403">
        <f t="shared" si="8"/>
        <v>0</v>
      </c>
      <c r="N23" s="2256"/>
      <c r="O23" s="2257"/>
      <c r="P23" s="1403">
        <f t="shared" si="9"/>
        <v>0</v>
      </c>
      <c r="R23" s="1247">
        <f t="shared" si="5"/>
        <v>1968.42</v>
      </c>
      <c r="S23" s="1248">
        <f t="shared" si="5"/>
        <v>4126.1399999999994</v>
      </c>
    </row>
    <row r="24" spans="1:19" ht="14.4">
      <c r="A24" s="2258"/>
      <c r="B24" s="50" t="s">
        <v>1955</v>
      </c>
      <c r="C24" s="2944" t="s">
        <v>3093</v>
      </c>
      <c r="D24" s="48">
        <f>ROUND($D$3*E24/$E$3,2)</f>
        <v>3829.48</v>
      </c>
      <c r="E24" s="56">
        <f>SUM(F24:G24)</f>
        <v>8027.2500000000664</v>
      </c>
      <c r="F24" s="57"/>
      <c r="G24" s="57">
        <f>'数据-基础表'!U5</f>
        <v>8027.2500000000664</v>
      </c>
      <c r="H24" s="723">
        <f>ROUND($D$3*I24/$E$3,2)</f>
        <v>0</v>
      </c>
      <c r="I24" s="51">
        <f t="shared" si="2"/>
        <v>0</v>
      </c>
      <c r="J24" s="1392"/>
      <c r="K24" s="1391">
        <f t="shared" si="3"/>
        <v>0</v>
      </c>
      <c r="L24" s="1247">
        <f t="shared" si="4"/>
        <v>0</v>
      </c>
      <c r="M24" s="1403">
        <f t="shared" si="8"/>
        <v>0</v>
      </c>
      <c r="N24" s="2256"/>
      <c r="O24" s="2257"/>
      <c r="P24" s="1403">
        <f t="shared" si="9"/>
        <v>0</v>
      </c>
      <c r="R24" s="1247">
        <f t="shared" si="5"/>
        <v>3829.48</v>
      </c>
      <c r="S24" s="1248">
        <f t="shared" si="5"/>
        <v>8027.2500000000664</v>
      </c>
    </row>
    <row r="25" spans="1:19" ht="14.4">
      <c r="A25" s="2258"/>
      <c r="B25" s="50" t="s">
        <v>1955</v>
      </c>
      <c r="C25" s="60"/>
      <c r="D25" s="48">
        <f t="shared" si="6"/>
        <v>0</v>
      </c>
      <c r="E25" s="56">
        <f t="shared" si="1"/>
        <v>0</v>
      </c>
      <c r="F25" s="57"/>
      <c r="G25" s="57"/>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ht="14.4">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28.2" thickBot="1">
      <c r="A27" s="2258"/>
      <c r="B27" s="48"/>
      <c r="C27" s="2261" t="s">
        <v>1956</v>
      </c>
      <c r="D27" s="1393">
        <f>SUM(D19:D26)</f>
        <v>41386.639999999999</v>
      </c>
      <c r="E27" s="1394">
        <f>IF(SUM(E19:E26)='数据-基础表'!BA5,SUM(E19:E26),IF(F27="地上面积有误","面积有误","地下面积有误"))</f>
        <v>86753.520000000164</v>
      </c>
      <c r="F27" s="1393">
        <f>IF(SUM(F19:F26)=E8,SUM(F19:F26),"地上面积有误")</f>
        <v>74566.910000000091</v>
      </c>
      <c r="G27" s="1395">
        <f>SUM(G19:G26)</f>
        <v>12186.610000000066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41386.64误差0.01</v>
      </c>
      <c r="S27" s="1247">
        <f>IF(SUM(S19:S26)=$E$3,SUM(S19:S26),SUM(S19:S26)&amp;"误差"&amp;ROUND(SUM(S19:S26)-E3,2))</f>
        <v>86753.520000000164</v>
      </c>
    </row>
    <row r="28" spans="1:19" ht="14.4">
      <c r="A28" s="225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8"/>
      <c r="B30" s="50"/>
      <c r="C30" s="226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4"/>
      <c r="B31" s="2265"/>
      <c r="C31" s="1007" t="s">
        <v>1960</v>
      </c>
      <c r="D31" s="729">
        <f>D27+D30</f>
        <v>41386.639999999999</v>
      </c>
      <c r="E31" s="729">
        <f>E27+E30</f>
        <v>86753.520000000164</v>
      </c>
      <c r="F31" s="730">
        <f>F27+F30</f>
        <v>74566.910000000091</v>
      </c>
      <c r="G31" s="731">
        <f>G27+G30</f>
        <v>12186.610000000066</v>
      </c>
      <c r="H31" s="1392"/>
      <c r="I31" s="1392"/>
      <c r="J31" s="1392"/>
      <c r="K31" s="1392"/>
      <c r="L31" s="1392"/>
      <c r="M31" s="1392"/>
      <c r="N31" s="1392"/>
      <c r="O31" s="1392"/>
      <c r="P31" s="1392"/>
    </row>
    <row r="32" spans="1:19" ht="14.4">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13" sqref="Q13"/>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5"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24" width="6.77734375" style="2270" customWidth="1"/>
    <col min="25" max="25" width="8.77734375" style="2270" customWidth="1"/>
    <col min="26"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1962</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1" t="s">
        <v>1963</v>
      </c>
      <c r="B2" s="1266">
        <f>项目基本情况!D3</f>
        <v>43356</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4.4"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40" t="s">
        <v>1968</v>
      </c>
      <c r="AA4" s="2240"/>
      <c r="AB4" s="2240"/>
      <c r="AC4" s="2240"/>
      <c r="AD4" s="2240"/>
      <c r="AE4" s="2238" t="s">
        <v>1969</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57.6">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1983</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72" t="s">
        <v>2004</v>
      </c>
      <c r="AP5" s="1249"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3.8">
      <c r="A6" s="2301" t="str">
        <f>'数据-汇总表'!C19</f>
        <v>排屋</v>
      </c>
      <c r="B6" s="2302" t="str">
        <f>IF(A6=0,"","经营性")</f>
        <v>经营性</v>
      </c>
      <c r="C6" s="2303" t="s">
        <v>3057</v>
      </c>
      <c r="D6" s="1051">
        <f>SUMIF(项目基本情况!D$12:I$12,C6,项目基本情况!D$14:I$14)</f>
        <v>70</v>
      </c>
      <c r="E6" s="1048">
        <f>IF(B6="","",SUMIF(项目基本情况!D$12:I$12,C6,项目基本情况!D$13:I$13))</f>
        <v>68612</v>
      </c>
      <c r="F6" s="72">
        <f>SUMIF(项目基本情况!D$12:I$12,C6,项目基本情况!D$15:I$15)</f>
        <v>69.19</v>
      </c>
      <c r="G6" s="73">
        <f>IF(ISERROR(ROUND(POWER(1+H6,D6-F6)*(POWER(1+H6,F6)-1)/(POWER(1+H6,D6)-1),3)),0,ROUND(POWER(1+H6,D6-F6)*(POWER(1+H6,F6)-1)/(POWER(1+H6,D6)-1),3))</f>
        <v>0.998</v>
      </c>
      <c r="H6" s="802">
        <v>0.04</v>
      </c>
      <c r="I6" s="802">
        <v>4.4999999999999998E-2</v>
      </c>
      <c r="J6" s="74">
        <v>8.5000000000000006E-2</v>
      </c>
      <c r="K6" s="1251">
        <f>SUMIF('数据-汇总表'!C$19:C$33,A6,'数据-汇总表'!E$19:E$33)</f>
        <v>7836.8900000000012</v>
      </c>
      <c r="L6" s="803">
        <v>2200</v>
      </c>
      <c r="M6" s="75">
        <f t="shared" ref="M6:M14" si="0">ROUND(K6*L6/10000,0)</f>
        <v>1724</v>
      </c>
      <c r="N6" s="801">
        <v>0.6</v>
      </c>
      <c r="O6" s="75">
        <f>IF($N$5="成新度","——",ROUND(M6*N6,0))</f>
        <v>1034</v>
      </c>
      <c r="P6" s="76">
        <f>IF($N$5="成新度","——",M6-O6)</f>
        <v>690</v>
      </c>
      <c r="Q6" s="804">
        <v>0.2</v>
      </c>
      <c r="R6" s="77">
        <f ca="1">SUMIF('数据-汇总表'!C$19:C$33,A6,'数据-汇总表'!R$19:R$27)</f>
        <v>3738.67</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v>1.4999999999999999E-2</v>
      </c>
      <c r="AL6" s="88">
        <v>1.5E-3</v>
      </c>
      <c r="AM6" s="89">
        <v>0.01</v>
      </c>
      <c r="AN6" s="2304"/>
      <c r="AO6" s="55" t="e">
        <f ca="1">SUMIF(INDIRECT("'"&amp;AN6&amp;"'"&amp;"!A:A"),"总价",INDIRECT("'"&amp;AN6&amp;"'"&amp;"!B:B"))</f>
        <v>#REF!</v>
      </c>
      <c r="AP6" s="2305">
        <f>IF(C6="住宅",K6*L6,0)</f>
        <v>17241158.000000004</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3.8">
      <c r="A7" s="2301" t="str">
        <f>'数据-汇总表'!C20</f>
        <v>洋房</v>
      </c>
      <c r="B7" s="2302" t="str">
        <f t="shared" ref="B7:B13" si="1">IF(A7=0,"","经营性")</f>
        <v>经营性</v>
      </c>
      <c r="C7" s="2303" t="s">
        <v>3057</v>
      </c>
      <c r="D7" s="1051">
        <f>SUMIF(项目基本情况!D$12:I$12,C7,项目基本情况!D$14:I$14)</f>
        <v>70</v>
      </c>
      <c r="E7" s="1048">
        <f>IF(B7="","",SUMIF(项目基本情况!D$12:I$12,C7,项目基本情况!D$13:I$13))</f>
        <v>68612</v>
      </c>
      <c r="F7" s="72">
        <f>SUMIF(项目基本情况!D$12:I$12,C7,项目基本情况!D$15:I$15)</f>
        <v>69.19</v>
      </c>
      <c r="G7" s="73">
        <f t="shared" ref="G7:G11" si="2">IF(ISERROR(ROUND(POWER(1+H7,D7-F7)*(POWER(1+H7,F7)-1)/(POWER(1+H7,D7)-1),3)),0,ROUND(POWER(1+H7,D7-F7)*(POWER(1+H7,F7)-1)/(POWER(1+H7,D7)-1),3))</f>
        <v>0.998</v>
      </c>
      <c r="H7" s="802">
        <v>0.04</v>
      </c>
      <c r="I7" s="802">
        <v>4.4999999999999998E-2</v>
      </c>
      <c r="J7" s="74">
        <v>8.5000000000000006E-2</v>
      </c>
      <c r="K7" s="1251">
        <f>SUMIF('数据-汇总表'!C$19:C$33,A7,'数据-汇总表'!E$19:E$33)</f>
        <v>26245.119999999999</v>
      </c>
      <c r="L7" s="803">
        <v>3000</v>
      </c>
      <c r="M7" s="75">
        <f t="shared" si="0"/>
        <v>7874</v>
      </c>
      <c r="N7" s="2970">
        <v>0.45</v>
      </c>
      <c r="O7" s="75">
        <f t="shared" ref="O7:O14" si="3">IF($N$5="成新度","——",ROUND(M7*N7,0))</f>
        <v>3543</v>
      </c>
      <c r="P7" s="76">
        <f t="shared" ref="P7:P14" si="4">IF($N$5="成新度","——",M7-O7)</f>
        <v>4331</v>
      </c>
      <c r="Q7" s="804">
        <v>0.18</v>
      </c>
      <c r="R7" s="77">
        <f ca="1">SUMIF('数据-汇总表'!C$19:C$33,A7,'数据-汇总表'!R$19:R$27)</f>
        <v>12520.5</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v>1.4999999999999999E-2</v>
      </c>
      <c r="AL7" s="88">
        <v>1.5E-3</v>
      </c>
      <c r="AM7" s="89">
        <v>0.01</v>
      </c>
      <c r="AN7" s="2304"/>
      <c r="AO7" s="55" t="e">
        <f t="shared" ref="AO7:AO13" ca="1" si="8">SUMIF(INDIRECT("'"&amp;AN7&amp;"'"&amp;"!A:A"),"总价",INDIRECT("'"&amp;AN7&amp;"'"&amp;"!B:B"))</f>
        <v>#REF!</v>
      </c>
      <c r="AP7" s="2305">
        <f t="shared" ref="AP7:AP13" si="9">IF(C7="住宅",K7*L7,0)</f>
        <v>78735360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3.8">
      <c r="A8" s="2301" t="str">
        <f>'数据-汇总表'!C21</f>
        <v>高层</v>
      </c>
      <c r="B8" s="2302" t="str">
        <f t="shared" si="1"/>
        <v>经营性</v>
      </c>
      <c r="C8" s="2303" t="s">
        <v>3057</v>
      </c>
      <c r="D8" s="1051">
        <f>SUMIF(项目基本情况!D$12:I$12,C8,项目基本情况!D$14:I$14)</f>
        <v>70</v>
      </c>
      <c r="E8" s="1048">
        <f>IF(B8="","",SUMIF(项目基本情况!D$12:I$12,C8,项目基本情况!D$13:I$13))</f>
        <v>68612</v>
      </c>
      <c r="F8" s="72">
        <f>SUMIF(项目基本情况!D$12:I$12,C8,项目基本情况!D$15:I$15)</f>
        <v>69.19</v>
      </c>
      <c r="G8" s="73">
        <f t="shared" si="2"/>
        <v>0.998</v>
      </c>
      <c r="H8" s="802">
        <v>0.04</v>
      </c>
      <c r="I8" s="802">
        <v>4.4999999999999998E-2</v>
      </c>
      <c r="J8" s="74">
        <v>8.5000000000000006E-2</v>
      </c>
      <c r="K8" s="1251">
        <f>SUMIF('数据-汇总表'!C$19:C$33,A8,'数据-汇总表'!E$19:E$33)</f>
        <v>39517.880000000085</v>
      </c>
      <c r="L8" s="803">
        <v>3200</v>
      </c>
      <c r="M8" s="75">
        <f>ROUND(K8*L8/10000,0)</f>
        <v>12646</v>
      </c>
      <c r="N8" s="2970">
        <v>0.45</v>
      </c>
      <c r="O8" s="75">
        <f t="shared" si="3"/>
        <v>5691</v>
      </c>
      <c r="P8" s="76">
        <f t="shared" si="4"/>
        <v>6955</v>
      </c>
      <c r="Q8" s="804">
        <v>0.15</v>
      </c>
      <c r="R8" s="77">
        <f ca="1">SUMIF('数据-汇总表'!C$19:C$33,A8,'数据-汇总表'!R$19:R$27)</f>
        <v>18852.400000000001</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7">
        <v>1.4999999999999999E-2</v>
      </c>
      <c r="AL8" s="88">
        <v>1.5E-3</v>
      </c>
      <c r="AM8" s="89">
        <v>0.01</v>
      </c>
      <c r="AN8" s="2304"/>
      <c r="AO8" s="55" t="e">
        <f t="shared" ca="1" si="8"/>
        <v>#REF!</v>
      </c>
      <c r="AP8" s="2305">
        <f t="shared" si="9"/>
        <v>126457216.00000027</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3.8">
      <c r="A9" s="2301" t="str">
        <f>'数据-汇总表'!C22</f>
        <v>底商</v>
      </c>
      <c r="B9" s="2302" t="str">
        <f t="shared" si="1"/>
        <v>经营性</v>
      </c>
      <c r="C9" s="2303" t="s">
        <v>1377</v>
      </c>
      <c r="D9" s="1051">
        <f>SUMIF(项目基本情况!D$12:I$12,C9,项目基本情况!D$14:I$14)</f>
        <v>40</v>
      </c>
      <c r="E9" s="1048">
        <f>IF(B9="","",SUMIF(项目基本情况!D$12:I$12,C9,项目基本情况!D$13:I$13))</f>
        <v>57655</v>
      </c>
      <c r="F9" s="72">
        <f>SUMIF(项目基本情况!D$12:I$12,C9,项目基本情况!D$15:I$15)</f>
        <v>39.17</v>
      </c>
      <c r="G9" s="73">
        <f t="shared" si="2"/>
        <v>0.99399999999999999</v>
      </c>
      <c r="H9" s="74">
        <v>5.5E-2</v>
      </c>
      <c r="I9" s="74">
        <v>0.06</v>
      </c>
      <c r="J9" s="74">
        <v>8.5000000000000006E-2</v>
      </c>
      <c r="K9" s="1251">
        <f>SUMIF('数据-汇总表'!C$19:C$33,A9,'数据-汇总表'!E$19:E$33)</f>
        <v>1000.2400000000001</v>
      </c>
      <c r="L9" s="803">
        <f>L6</f>
        <v>2200</v>
      </c>
      <c r="M9" s="75">
        <f t="shared" si="0"/>
        <v>220</v>
      </c>
      <c r="N9" s="801">
        <v>0.6</v>
      </c>
      <c r="O9" s="75">
        <f t="shared" si="3"/>
        <v>132</v>
      </c>
      <c r="P9" s="76">
        <f t="shared" si="4"/>
        <v>88</v>
      </c>
      <c r="Q9" s="90">
        <v>0.25</v>
      </c>
      <c r="R9" s="77">
        <f ca="1">SUMIF('数据-汇总表'!C$19:C$33,A9,'数据-汇总表'!R$19:R$27)</f>
        <v>477.17</v>
      </c>
      <c r="S9" s="54">
        <f>IF('数据-汇总表'!$I$17="按面积比例",SUMIF('数据-汇总表'!C$19:C$33,A9,'数据-汇总表'!K$19:K$33),SUMIF('数据-汇总表'!C$19:C$33,A9,'数据-汇总表'!N$19:N$33))</f>
        <v>0</v>
      </c>
      <c r="T9" s="1443">
        <f t="shared" si="5"/>
        <v>0</v>
      </c>
      <c r="U9" s="78">
        <v>4</v>
      </c>
      <c r="V9" s="79">
        <v>0.03</v>
      </c>
      <c r="W9" s="79">
        <v>0.1</v>
      </c>
      <c r="X9" s="1261"/>
      <c r="Y9" s="80">
        <v>1</v>
      </c>
      <c r="Z9" s="81"/>
      <c r="AA9" s="74"/>
      <c r="AB9" s="74"/>
      <c r="AC9" s="1261"/>
      <c r="AD9" s="82"/>
      <c r="AE9" s="1262">
        <f t="shared" ca="1" si="6"/>
        <v>37.67</v>
      </c>
      <c r="AF9" s="1804"/>
      <c r="AG9" s="147">
        <f t="shared" si="7"/>
        <v>0</v>
      </c>
      <c r="AH9" s="83"/>
      <c r="AI9" s="85">
        <v>365</v>
      </c>
      <c r="AJ9" s="86"/>
      <c r="AK9" s="87">
        <v>1.4999999999999999E-2</v>
      </c>
      <c r="AL9" s="88">
        <v>1.5E-3</v>
      </c>
      <c r="AM9" s="89">
        <v>0.01</v>
      </c>
      <c r="AN9" s="2304" t="s">
        <v>3513</v>
      </c>
      <c r="AO9" s="55">
        <f t="shared" ca="1" si="8"/>
        <v>2225</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3.8">
      <c r="A10" s="2301" t="str">
        <f>'数据-汇总表'!C23</f>
        <v>仓储</v>
      </c>
      <c r="B10" s="2302" t="str">
        <f t="shared" si="1"/>
        <v>经营性</v>
      </c>
      <c r="C10" s="2303" t="s">
        <v>3084</v>
      </c>
      <c r="D10" s="1051">
        <f>SUMIF(项目基本情况!D$12:I$12,C10,项目基本情况!D$14:I$14)</f>
        <v>50</v>
      </c>
      <c r="E10" s="1048">
        <f>IF(B10="","",SUMIF(项目基本情况!D$12:I$12,C10,项目基本情况!D$13:I$13))</f>
        <v>61307</v>
      </c>
      <c r="F10" s="72">
        <f>SUMIF(项目基本情况!D$12:I$12,C10,项目基本情况!D$15:I$15)</f>
        <v>49.18</v>
      </c>
      <c r="G10" s="73">
        <f t="shared" si="2"/>
        <v>0.995</v>
      </c>
      <c r="H10" s="74">
        <v>4.4999999999999998E-2</v>
      </c>
      <c r="I10" s="74">
        <v>0.05</v>
      </c>
      <c r="J10" s="74">
        <v>8.5000000000000006E-2</v>
      </c>
      <c r="K10" s="1251">
        <f>SUMIF('数据-汇总表'!C$19:C$33,A10,'数据-汇总表'!E$19:E$33)</f>
        <v>4126.1399999999994</v>
      </c>
      <c r="L10" s="803">
        <f>L6</f>
        <v>2200</v>
      </c>
      <c r="M10" s="75">
        <f t="shared" si="0"/>
        <v>908</v>
      </c>
      <c r="N10" s="801">
        <v>0.7</v>
      </c>
      <c r="O10" s="75">
        <f t="shared" si="3"/>
        <v>636</v>
      </c>
      <c r="P10" s="76">
        <f t="shared" si="4"/>
        <v>272</v>
      </c>
      <c r="Q10" s="90">
        <v>0.05</v>
      </c>
      <c r="R10" s="77">
        <f ca="1">SUMIF('数据-汇总表'!C$19:C$33,A10,'数据-汇总表'!R$19:R$27)</f>
        <v>1968.42</v>
      </c>
      <c r="S10" s="54">
        <f>IF('数据-汇总表'!$I$17="按面积比例",SUMIF('数据-汇总表'!C$19:C$33,A10,'数据-汇总表'!K$19:K$33),SUMIF('数据-汇总表'!C$19:C$33,A10,'数据-汇总表'!N$19:N$33))</f>
        <v>0</v>
      </c>
      <c r="T10" s="1443">
        <f t="shared" si="5"/>
        <v>0</v>
      </c>
      <c r="U10" s="78">
        <v>0.5</v>
      </c>
      <c r="V10" s="79">
        <v>0.02</v>
      </c>
      <c r="W10" s="79">
        <v>0.1</v>
      </c>
      <c r="X10" s="1261"/>
      <c r="Y10" s="80">
        <v>1</v>
      </c>
      <c r="Z10" s="81"/>
      <c r="AA10" s="74"/>
      <c r="AB10" s="74"/>
      <c r="AC10" s="1261"/>
      <c r="AD10" s="82"/>
      <c r="AE10" s="1262">
        <f t="shared" ca="1" si="6"/>
        <v>47.68</v>
      </c>
      <c r="AF10" s="1804"/>
      <c r="AG10" s="147">
        <f t="shared" si="7"/>
        <v>0</v>
      </c>
      <c r="AH10" s="83"/>
      <c r="AI10" s="85">
        <v>365</v>
      </c>
      <c r="AJ10" s="86"/>
      <c r="AK10" s="87">
        <v>1.4999999999999999E-2</v>
      </c>
      <c r="AL10" s="88">
        <v>1.5E-3</v>
      </c>
      <c r="AM10" s="89">
        <v>0.01</v>
      </c>
      <c r="AN10" s="2304" t="s">
        <v>3511</v>
      </c>
      <c r="AO10" s="55">
        <f t="shared" ca="1" si="8"/>
        <v>824</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3.8">
      <c r="A11" s="2301" t="str">
        <f>'数据-汇总表'!C24</f>
        <v>地下车库</v>
      </c>
      <c r="B11" s="2302" t="str">
        <f t="shared" si="1"/>
        <v>经营性</v>
      </c>
      <c r="C11" s="2303" t="s">
        <v>3076</v>
      </c>
      <c r="D11" s="1051">
        <f>SUMIF(项目基本情况!D$12:I$12,C11,项目基本情况!D$14:I$14)</f>
        <v>50</v>
      </c>
      <c r="E11" s="1048">
        <f>IF(B11="","",SUMIF(项目基本情况!D$12:I$12,C11,项目基本情况!D$13:I$13))</f>
        <v>61307</v>
      </c>
      <c r="F11" s="72">
        <f>SUMIF(项目基本情况!D$12:I$12,C11,项目基本情况!D$15:I$15)</f>
        <v>49.18</v>
      </c>
      <c r="G11" s="73">
        <f t="shared" si="2"/>
        <v>0.995</v>
      </c>
      <c r="H11" s="74">
        <v>4.4999999999999998E-2</v>
      </c>
      <c r="I11" s="74">
        <v>0.05</v>
      </c>
      <c r="J11" s="74">
        <v>8.5000000000000006E-2</v>
      </c>
      <c r="K11" s="1251">
        <f>SUMIF('数据-汇总表'!C$19:C$33,A11,'数据-汇总表'!E$19:E$33)</f>
        <v>8027.2500000000664</v>
      </c>
      <c r="L11" s="803">
        <f>L6</f>
        <v>2200</v>
      </c>
      <c r="M11" s="75">
        <f t="shared" si="0"/>
        <v>1766</v>
      </c>
      <c r="N11" s="801">
        <v>0.7</v>
      </c>
      <c r="O11" s="75">
        <f t="shared" si="3"/>
        <v>1236</v>
      </c>
      <c r="P11" s="76">
        <f t="shared" si="4"/>
        <v>530</v>
      </c>
      <c r="Q11" s="90">
        <v>0.05</v>
      </c>
      <c r="R11" s="77">
        <f ca="1">SUMIF('数据-汇总表'!C$19:C$33,A11,'数据-汇总表'!R$19:R$27)</f>
        <v>3829.48</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v>630</v>
      </c>
      <c r="AI11" s="85"/>
      <c r="AJ11" s="86"/>
      <c r="AK11" s="87">
        <v>1.4999999999999999E-2</v>
      </c>
      <c r="AL11" s="88">
        <v>1.5E-3</v>
      </c>
      <c r="AM11" s="89">
        <v>0.01</v>
      </c>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3.8">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v>8.5000000000000006E-2</v>
      </c>
      <c r="K12" s="1251">
        <f>SUMIF('数据-汇总表'!C$19:C$33,A12,'数据-汇总表'!E$19:E$33)</f>
        <v>0</v>
      </c>
      <c r="L12" s="91"/>
      <c r="M12" s="75">
        <f>ROUND(K12*L12/10000,0)</f>
        <v>0</v>
      </c>
      <c r="N12" s="80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3.8">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4">
      <c r="A14" s="2306" t="s">
        <v>2008</v>
      </c>
      <c r="B14" s="2302" t="s">
        <v>2009</v>
      </c>
      <c r="C14" s="2307" t="s">
        <v>2008</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8.8">
      <c r="A15" s="2306" t="s">
        <v>2010</v>
      </c>
      <c r="B15" s="2302" t="s">
        <v>2009</v>
      </c>
      <c r="C15" s="230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 thickBot="1">
      <c r="A16" s="2308" t="s">
        <v>2012</v>
      </c>
      <c r="B16" s="97"/>
      <c r="C16" s="1005"/>
      <c r="D16" s="2309"/>
      <c r="E16" s="97"/>
      <c r="F16" s="97"/>
      <c r="G16" s="98">
        <f>ROUND(SUMPRODUCT(G6:G13,K6:K13)/SUMPRODUCT((G6:G13&gt;0)*(K6:K13)),3)</f>
        <v>0.998</v>
      </c>
      <c r="H16" s="99">
        <f>ROUND(SUMPRODUCT(H6:H13,K6:K13)/SUMPRODUCT((H6:H13&gt;0)*(K6:K13)),3)</f>
        <v>4.1000000000000002E-2</v>
      </c>
      <c r="I16" s="100"/>
      <c r="J16" s="100"/>
      <c r="K16" s="101">
        <f>SUM(K6:K15)</f>
        <v>86753.520000000164</v>
      </c>
      <c r="L16" s="102">
        <f>ROUND(M16*10000/SUM(K6:K14),0)</f>
        <v>2898</v>
      </c>
      <c r="M16" s="102">
        <f>SUM(M6:M14)</f>
        <v>25138</v>
      </c>
      <c r="N16" s="103">
        <f>ROUND(SUMPRODUCT(M6:M14,N6:N14)/M16,3)</f>
        <v>0.48799999999999999</v>
      </c>
      <c r="O16" s="102">
        <f>SUM(O6:O14)</f>
        <v>12272</v>
      </c>
      <c r="P16" s="102">
        <f>SUM(P6:P14)</f>
        <v>12866</v>
      </c>
      <c r="Q16" s="104">
        <f>ROUND(SUMPRODUCT(Q6:Q13,K6:K13)/SUMPRODUCT((Q6:Q13&gt;0)*(K6:K13)),2)</f>
        <v>0.15</v>
      </c>
      <c r="R16" s="1255">
        <f ca="1">SUM(R6:R13)</f>
        <v>41386.639999999999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5"/>
      <c r="C18" s="2272"/>
      <c r="D18" s="2273"/>
      <c r="E18" s="2272"/>
      <c r="F18" s="2272"/>
      <c r="G18" s="2272"/>
      <c r="H18" s="2272"/>
      <c r="I18" s="2272"/>
      <c r="J18" s="2272"/>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1" t="s">
        <v>2014</v>
      </c>
      <c r="B19" s="112">
        <v>0</v>
      </c>
      <c r="C19" s="2272" t="s">
        <v>2015</v>
      </c>
      <c r="D19" s="2273"/>
      <c r="E19" s="2272"/>
      <c r="F19" s="2272"/>
      <c r="G19" s="2272"/>
      <c r="H19" s="2272"/>
      <c r="I19" s="2272"/>
      <c r="J19" s="2272"/>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2" t="s">
        <v>2016</v>
      </c>
      <c r="B20" s="113">
        <v>3</v>
      </c>
      <c r="C20" s="2272" t="s">
        <v>2017</v>
      </c>
      <c r="D20" s="2273"/>
      <c r="E20" s="2272"/>
      <c r="F20" s="2272"/>
      <c r="G20" s="2272"/>
      <c r="H20" s="2272"/>
      <c r="I20" s="2272"/>
      <c r="J20" s="2272"/>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3" t="s">
        <v>2018</v>
      </c>
      <c r="B21" s="113">
        <f>ROUND(B20*N16,1)</f>
        <v>1.5</v>
      </c>
      <c r="C21" s="2272"/>
      <c r="D21" s="2273"/>
      <c r="E21" s="2272"/>
      <c r="F21" s="2272"/>
      <c r="G21" s="2272"/>
      <c r="H21" s="2272"/>
      <c r="I21" s="2272"/>
      <c r="J21" s="2272"/>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2" t="s">
        <v>2019</v>
      </c>
      <c r="B22" s="114">
        <f>B19+B20</f>
        <v>3</v>
      </c>
      <c r="C22" s="2272"/>
      <c r="D22" s="2273"/>
      <c r="E22" s="2272"/>
      <c r="F22" s="2272"/>
      <c r="G22" s="2272"/>
      <c r="H22" s="2272"/>
      <c r="I22" s="2272"/>
      <c r="J22" s="2272"/>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3" t="s">
        <v>2020</v>
      </c>
      <c r="B23" s="114">
        <f>B19+B21</f>
        <v>1.5</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2021</v>
      </c>
      <c r="B24" s="115">
        <f>B20-B21</f>
        <v>1.5</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2022</v>
      </c>
      <c r="B26" s="2315" t="s">
        <v>2023</v>
      </c>
      <c r="C26" s="2316" t="s">
        <v>2024</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8.8">
      <c r="A27" s="2317" t="s">
        <v>2025</v>
      </c>
      <c r="B27" s="116">
        <v>60</v>
      </c>
      <c r="C27" s="1764" t="s">
        <v>2026</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8.8">
      <c r="A28" s="2320" t="s">
        <v>2027</v>
      </c>
      <c r="B28" s="119">
        <v>110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9.4" thickBot="1">
      <c r="A29" s="2322" t="s">
        <v>2028</v>
      </c>
      <c r="B29" s="121">
        <f>ROUND(B27*SUM(K6:K8)/10000,0)+ROUND(SUM(K9:K11)*B28/10000,0)</f>
        <v>587</v>
      </c>
      <c r="C29" s="1764" t="s">
        <v>2029</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8.8">
      <c r="A30" s="2323" t="s">
        <v>2030</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8.8">
      <c r="A31" s="2320" t="s">
        <v>2031</v>
      </c>
      <c r="B31" s="120">
        <f>B30-B32</f>
        <v>200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9.4" thickBot="1">
      <c r="A32" s="2324" t="s">
        <v>2032</v>
      </c>
      <c r="B32" s="725">
        <v>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4">
      <c r="A33" s="2317" t="s">
        <v>2033</v>
      </c>
      <c r="B33" s="726">
        <v>0.03</v>
      </c>
      <c r="C33" s="1763" t="s">
        <v>2034</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4">
      <c r="A34" s="2320" t="s">
        <v>2035</v>
      </c>
      <c r="B34" s="122">
        <v>0.02</v>
      </c>
      <c r="C34" s="1763" t="s">
        <v>2036</v>
      </c>
      <c r="D34" s="2273" t="s">
        <v>2037</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4">
      <c r="A35" s="2320" t="s">
        <v>2038</v>
      </c>
      <c r="B35" s="119">
        <v>200</v>
      </c>
      <c r="C35" s="1763" t="s">
        <v>2039</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3" t="s">
        <v>2041</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3" t="s">
        <v>2042</v>
      </c>
      <c r="B37" s="124">
        <v>0.02</v>
      </c>
      <c r="C37" s="1763" t="s">
        <v>2043</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0" t="s">
        <v>2044</v>
      </c>
      <c r="B38" s="122">
        <v>0.02</v>
      </c>
      <c r="C38" s="1763" t="s">
        <v>2043</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4" t="s">
        <v>2045</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2046</v>
      </c>
      <c r="B40" s="1300">
        <f ca="1">存贷款利率!G1</f>
        <v>4.7500000000000001E-2</v>
      </c>
      <c r="C40" s="1763" t="s">
        <v>2047</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7" t="s">
        <v>2048</v>
      </c>
      <c r="B41" s="125">
        <f>B42+B43</f>
        <v>5.6000000000000001E-2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5" t="s">
        <v>2049</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5" t="s">
        <v>2050</v>
      </c>
      <c r="B43" s="127">
        <f>B42*(B44+B45+B46)+B47</f>
        <v>6.000000000000001E-3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7" t="s">
        <v>2051</v>
      </c>
      <c r="B44" s="128">
        <v>7.0000000000000007E-2</v>
      </c>
      <c r="C44" s="1763" t="s">
        <v>2052</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7" t="s">
        <v>2053</v>
      </c>
      <c r="B45" s="126">
        <v>0.03</v>
      </c>
      <c r="C45" s="1764" t="s">
        <v>2054</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7" t="s">
        <v>2055</v>
      </c>
      <c r="B46" s="126">
        <v>0.02</v>
      </c>
      <c r="C46" s="1764" t="s">
        <v>2056</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2057</v>
      </c>
      <c r="B47" s="129"/>
      <c r="C47" s="1764" t="s">
        <v>2058</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29" t="s">
        <v>2059</v>
      </c>
      <c r="B48" s="130">
        <v>0.03</v>
      </c>
      <c r="C48" s="1771" t="s">
        <v>2060</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2061</v>
      </c>
      <c r="B49" s="126">
        <v>5.0000000000000001E-4</v>
      </c>
      <c r="C49" s="1771" t="s">
        <v>2062</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0" t="s">
        <v>2063</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2064</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0" t="s">
        <v>2065</v>
      </c>
      <c r="B52" s="133">
        <f>SUMIF(A54:A63,B53,B54:B63)</f>
        <v>8</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0" t="s">
        <v>2066</v>
      </c>
      <c r="B53" s="2331" t="s">
        <v>442</v>
      </c>
      <c r="C53" s="1427" t="s">
        <v>2067</v>
      </c>
      <c r="D53" s="2332" t="s">
        <v>2068</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3" t="s">
        <v>2069</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3" t="s">
        <v>2070</v>
      </c>
      <c r="B55" s="84"/>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3" t="s">
        <v>2071</v>
      </c>
      <c r="B56" s="84">
        <v>8</v>
      </c>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3" t="s">
        <v>2072</v>
      </c>
      <c r="B57" s="84"/>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3" t="s">
        <v>2073</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3" t="s">
        <v>2074</v>
      </c>
      <c r="B59" s="84"/>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3" t="s">
        <v>2075</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3" t="s">
        <v>2076</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3" t="s">
        <v>2077</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2078</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73" t="s">
        <v>2079</v>
      </c>
      <c r="B1" s="3074"/>
      <c r="C1" s="3074"/>
      <c r="D1" s="3074"/>
      <c r="E1" s="3074"/>
      <c r="F1" s="3074"/>
      <c r="G1" s="307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2080</v>
      </c>
      <c r="D2" s="2361"/>
      <c r="E2" s="2362"/>
      <c r="F2" s="2281"/>
      <c r="G2" s="2360" t="s">
        <v>2081</v>
      </c>
      <c r="H2" s="2363"/>
      <c r="I2" s="2363"/>
      <c r="J2" s="2363"/>
      <c r="K2" s="2363"/>
      <c r="L2" s="2363"/>
      <c r="M2" s="2363"/>
      <c r="N2" s="2363"/>
      <c r="O2" s="2363"/>
      <c r="P2" s="2363"/>
      <c r="Q2" s="2363"/>
      <c r="R2" s="2363"/>
    </row>
    <row r="3" spans="1:29" ht="57.6">
      <c r="A3" s="415" t="s">
        <v>2082</v>
      </c>
      <c r="B3" s="1268" t="s">
        <v>2083</v>
      </c>
      <c r="C3" s="2365" t="s">
        <v>2084</v>
      </c>
      <c r="D3" s="2366"/>
      <c r="E3" s="431" t="s">
        <v>2082</v>
      </c>
      <c r="F3" s="2367" t="s">
        <v>2085</v>
      </c>
      <c r="G3" s="2368" t="s">
        <v>2086</v>
      </c>
      <c r="H3" s="2363"/>
      <c r="I3" s="2363"/>
      <c r="J3" s="2363"/>
      <c r="K3" s="2363"/>
      <c r="L3" s="2363"/>
      <c r="M3" s="2363"/>
      <c r="N3" s="2363"/>
      <c r="O3" s="2363"/>
      <c r="P3" s="2363"/>
      <c r="Q3" s="2363"/>
      <c r="R3" s="2363"/>
    </row>
    <row r="4" spans="1:29" ht="43.2">
      <c r="A4" s="431"/>
      <c r="B4" s="1795" t="s">
        <v>2087</v>
      </c>
      <c r="C4" s="2369" t="s">
        <v>2088</v>
      </c>
      <c r="D4" s="2366"/>
      <c r="E4" s="2370"/>
      <c r="F4" s="42" t="s">
        <v>2089</v>
      </c>
      <c r="G4" s="2371" t="s">
        <v>2090</v>
      </c>
      <c r="H4" s="2363"/>
      <c r="I4" s="2363"/>
      <c r="J4" s="2363"/>
      <c r="K4" s="2363"/>
      <c r="L4" s="2363"/>
      <c r="M4" s="2363"/>
      <c r="N4" s="2363"/>
      <c r="O4" s="2363"/>
      <c r="P4" s="2363"/>
      <c r="Q4" s="2363"/>
      <c r="R4" s="2363"/>
    </row>
    <row r="5" spans="1:29" ht="43.2">
      <c r="A5" s="431"/>
      <c r="B5" s="1795" t="s">
        <v>2091</v>
      </c>
      <c r="C5" s="2369" t="s">
        <v>2092</v>
      </c>
      <c r="D5" s="2366"/>
      <c r="E5" s="2370"/>
      <c r="F5" s="1795" t="s">
        <v>2093</v>
      </c>
      <c r="G5" s="2371" t="s">
        <v>2094</v>
      </c>
      <c r="H5" s="2363"/>
      <c r="I5" s="2363"/>
      <c r="J5" s="2363"/>
      <c r="K5" s="2363"/>
      <c r="L5" s="2363"/>
      <c r="M5" s="2363"/>
      <c r="N5" s="2363"/>
      <c r="O5" s="2363"/>
      <c r="P5" s="2363"/>
      <c r="Q5" s="2363"/>
      <c r="R5" s="2363"/>
    </row>
    <row r="6" spans="1:29" ht="57.6">
      <c r="A6" s="431"/>
      <c r="B6" s="1795" t="s">
        <v>2095</v>
      </c>
      <c r="C6" s="2371" t="s">
        <v>2090</v>
      </c>
      <c r="D6" s="2366"/>
      <c r="E6" s="2370"/>
      <c r="F6" s="1795" t="s">
        <v>2096</v>
      </c>
      <c r="G6" s="2371" t="s">
        <v>2097</v>
      </c>
      <c r="H6" s="2363"/>
      <c r="I6" s="2363"/>
      <c r="J6" s="2363"/>
      <c r="K6" s="2363"/>
      <c r="L6" s="2363"/>
      <c r="M6" s="2363"/>
      <c r="N6" s="2363"/>
      <c r="O6" s="2363"/>
      <c r="P6" s="2363"/>
      <c r="Q6" s="2363"/>
      <c r="R6" s="2363"/>
    </row>
    <row r="7" spans="1:29" ht="43.8" thickBot="1">
      <c r="A7" s="431"/>
      <c r="B7" s="1795" t="s">
        <v>2093</v>
      </c>
      <c r="C7" s="2371" t="s">
        <v>2094</v>
      </c>
      <c r="D7" s="2372"/>
      <c r="E7" s="2373"/>
      <c r="F7" s="2374" t="s">
        <v>2098</v>
      </c>
      <c r="G7" s="2375" t="s">
        <v>2099</v>
      </c>
      <c r="H7" s="2363"/>
      <c r="I7" s="2363"/>
      <c r="J7" s="2363"/>
      <c r="K7" s="2363"/>
      <c r="L7" s="2363"/>
      <c r="M7" s="2363"/>
      <c r="N7" s="2363"/>
      <c r="O7" s="2363"/>
      <c r="P7" s="2363"/>
      <c r="Q7" s="2363"/>
      <c r="R7" s="2363"/>
    </row>
    <row r="8" spans="1:29" ht="28.8">
      <c r="A8" s="431"/>
      <c r="B8" s="1795" t="s">
        <v>2096</v>
      </c>
      <c r="C8" s="2371" t="s">
        <v>2097</v>
      </c>
      <c r="D8" s="2372"/>
      <c r="E8" s="2372"/>
      <c r="F8" s="1133"/>
      <c r="G8" s="1133"/>
      <c r="H8" s="2363"/>
      <c r="I8" s="2363"/>
      <c r="J8" s="2363"/>
      <c r="K8" s="2363"/>
      <c r="L8" s="2363"/>
      <c r="M8" s="2363"/>
      <c r="N8" s="2363"/>
      <c r="O8" s="2363"/>
      <c r="P8" s="2363"/>
      <c r="Q8" s="2363"/>
      <c r="R8" s="2363"/>
    </row>
    <row r="9" spans="1:29" ht="43.2">
      <c r="A9" s="431"/>
      <c r="B9" s="1795" t="s">
        <v>2100</v>
      </c>
      <c r="C9" s="2369" t="s">
        <v>2101</v>
      </c>
      <c r="D9" s="2366"/>
      <c r="E9" s="2372"/>
      <c r="F9" s="1133"/>
      <c r="G9" s="1133"/>
      <c r="H9" s="2363"/>
      <c r="I9" s="2363"/>
      <c r="J9" s="2363"/>
      <c r="K9" s="2363"/>
      <c r="L9" s="2363"/>
      <c r="M9" s="2363"/>
      <c r="N9" s="2363"/>
      <c r="O9" s="2363"/>
      <c r="P9" s="2363"/>
      <c r="Q9" s="2363"/>
      <c r="R9" s="2363"/>
    </row>
    <row r="10" spans="1:29" s="117" customFormat="1" ht="15" thickBot="1">
      <c r="A10" s="2376"/>
      <c r="B10" s="2377" t="s">
        <v>2102</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2103</v>
      </c>
      <c r="B13" s="2383"/>
      <c r="C13" s="2383"/>
      <c r="D13" s="2390"/>
      <c r="E13" s="2383"/>
      <c r="F13" s="2383"/>
      <c r="G13" s="2383"/>
    </row>
    <row r="14" spans="1:29" ht="15" thickBot="1">
      <c r="A14" s="2394"/>
      <c r="B14" s="2395"/>
      <c r="C14" s="2396" t="s">
        <v>2104</v>
      </c>
      <c r="D14" s="2366"/>
      <c r="E14" s="2397"/>
      <c r="F14" s="2397"/>
      <c r="G14" s="2360" t="s">
        <v>2105</v>
      </c>
    </row>
    <row r="15" spans="1:29" ht="55.2">
      <c r="A15" s="68" t="s">
        <v>2106</v>
      </c>
      <c r="B15" s="1267" t="s">
        <v>2083</v>
      </c>
      <c r="C15" s="2398" t="str">
        <f>C3</f>
        <v>估价对象周边居住用地比例、居住小区规模和社区发展完善程度，综合评价居住社区成熟度一般</v>
      </c>
      <c r="D15" s="2366"/>
      <c r="E15" s="2399" t="s">
        <v>2107</v>
      </c>
      <c r="F15" s="1267" t="s">
        <v>2108</v>
      </c>
      <c r="G15" s="135" t="str">
        <f>G3</f>
        <v>估价对象位于XX开发区，园区建设成熟度XX，产业集聚程度XX</v>
      </c>
    </row>
    <row r="16" spans="1:29" ht="41.4">
      <c r="A16" s="645"/>
      <c r="B16" s="2400" t="s">
        <v>2087</v>
      </c>
      <c r="C16" s="2401" t="str">
        <f>C4</f>
        <v>估价对象位于XX商圈，周边商业氛围成熟，人流量大，商业繁华度好</v>
      </c>
      <c r="D16" s="2366"/>
      <c r="E16" s="2402"/>
      <c r="F16" s="2403" t="s">
        <v>2089</v>
      </c>
      <c r="G16" s="136" t="str">
        <f>G4</f>
        <v>估价对象周边道路状况、公共交通通达情况、停车便捷程度，综合评价交通便捷度较好</v>
      </c>
    </row>
    <row r="17" spans="1:18" ht="41.4">
      <c r="A17" s="645"/>
      <c r="B17" s="2400" t="s">
        <v>2091</v>
      </c>
      <c r="C17" s="2401" t="str">
        <f>C5</f>
        <v>估价对象位于XX商圈，周边办公楼项目较多，入驻率高，办公集聚程度较好</v>
      </c>
      <c r="D17" s="2372"/>
      <c r="E17" s="2402"/>
      <c r="F17" s="2403" t="s">
        <v>2109</v>
      </c>
      <c r="G17" s="1569"/>
    </row>
    <row r="18" spans="1:18" ht="55.2">
      <c r="A18" s="645"/>
      <c r="B18" s="2403" t="s">
        <v>2095</v>
      </c>
      <c r="C18" s="136" t="str">
        <f>C6</f>
        <v>估价对象周边道路状况、公共交通通达情况、停车便捷程度，综合评价交通便捷度较好</v>
      </c>
      <c r="D18" s="2372"/>
      <c r="E18" s="2402"/>
      <c r="F18" s="2403" t="s">
        <v>2098</v>
      </c>
      <c r="G18" s="136" t="str">
        <f>G7</f>
        <v>该园区内是否有污染型企业，绿化情况，卫生条件，整体环境状况判断</v>
      </c>
    </row>
    <row r="19" spans="1:18" ht="27.6">
      <c r="A19" s="645"/>
      <c r="B19" s="2403" t="s">
        <v>2110</v>
      </c>
      <c r="C19" s="1569"/>
      <c r="D19" s="2366"/>
      <c r="E19" s="2402"/>
      <c r="F19" s="1795" t="s">
        <v>2093</v>
      </c>
      <c r="G19" s="136" t="str">
        <f>G5</f>
        <v>估价对象所在区域公共配套设施齐备情况</v>
      </c>
    </row>
    <row r="20" spans="1:18" ht="41.4">
      <c r="A20" s="645"/>
      <c r="B20" s="2403" t="s">
        <v>2111</v>
      </c>
      <c r="C20" s="2401" t="str">
        <f>C9</f>
        <v>区域自然环境：；人文环境；综合评价环境状况一般</v>
      </c>
      <c r="D20" s="2372"/>
      <c r="E20" s="2402"/>
      <c r="F20" s="1795" t="s">
        <v>2112</v>
      </c>
      <c r="G20" s="136" t="str">
        <f>G6</f>
        <v>估价对象所在区域基础设施水平</v>
      </c>
    </row>
    <row r="21" spans="1:18" ht="27.6">
      <c r="A21" s="645"/>
      <c r="B21" s="1795" t="s">
        <v>2093</v>
      </c>
      <c r="C21" s="136" t="str">
        <f>C7</f>
        <v>估价对象所在区域公共配套设施齐备情况</v>
      </c>
      <c r="D21" s="2366"/>
      <c r="E21" s="2402"/>
      <c r="F21" s="2403" t="s">
        <v>2113</v>
      </c>
      <c r="G21" s="2404"/>
    </row>
    <row r="22" spans="1:18" ht="13.5" customHeight="1">
      <c r="A22" s="645"/>
      <c r="B22" s="1795" t="s">
        <v>2096</v>
      </c>
      <c r="C22" s="136" t="str">
        <f>C8</f>
        <v>估价对象所在区域基础设施水平</v>
      </c>
      <c r="D22" s="2366"/>
      <c r="E22" s="2402"/>
      <c r="F22" s="2403" t="s">
        <v>2102</v>
      </c>
      <c r="G22" s="1569"/>
    </row>
    <row r="23" spans="1:18" s="2363" customFormat="1" ht="15" thickBot="1">
      <c r="A23" s="645"/>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 thickBot="1">
      <c r="A24" s="2408"/>
      <c r="B24" s="2406" t="s">
        <v>2115</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1365</v>
      </c>
      <c r="B1" s="1743">
        <f>SUM(B14:B23)</f>
        <v>86753.520000000164</v>
      </c>
      <c r="C1" s="1742"/>
      <c r="D1" s="1742"/>
      <c r="E1" s="1742"/>
      <c r="F1" s="1742"/>
      <c r="G1" s="1740"/>
    </row>
    <row r="2" spans="1:10" ht="16.2">
      <c r="A2" s="1743" t="s">
        <v>1353</v>
      </c>
      <c r="B2" s="1743">
        <f>SUM(C14:C23)</f>
        <v>41386.629999999997</v>
      </c>
      <c r="C2" s="1742"/>
      <c r="D2" s="1742"/>
      <c r="E2" s="1742"/>
      <c r="F2" s="1742"/>
      <c r="G2" s="1740"/>
    </row>
    <row r="3" spans="1:10" ht="15.6">
      <c r="A3" s="1743" t="s">
        <v>1362</v>
      </c>
      <c r="B3" s="1744">
        <f>项目基本情况!D3</f>
        <v>43356</v>
      </c>
      <c r="C3" s="1742"/>
      <c r="D3" s="1742"/>
      <c r="E3" s="1742"/>
      <c r="F3" s="1742"/>
      <c r="G3" s="1740"/>
    </row>
    <row r="4" spans="1:10" ht="31.2">
      <c r="A4" s="1743" t="s">
        <v>1361</v>
      </c>
      <c r="B4" s="1743" t="s">
        <v>1360</v>
      </c>
      <c r="C4" s="1743" t="s">
        <v>1359</v>
      </c>
      <c r="D4" s="1743" t="s">
        <v>1358</v>
      </c>
      <c r="E4" s="1742"/>
      <c r="F4" s="1740"/>
      <c r="G4" s="1740"/>
    </row>
    <row r="5" spans="1:10" ht="15.6">
      <c r="A5" s="1743" t="s">
        <v>1357</v>
      </c>
      <c r="B5" s="1743">
        <f ca="1">SUM(D14:D23)</f>
        <v>86460</v>
      </c>
      <c r="C5" s="1743">
        <f ca="1">ROUND(B5*10000/$B$1,0)</f>
        <v>9966</v>
      </c>
      <c r="D5" s="1743">
        <f ca="1">ROUND(B5*10000/$B$2,0)</f>
        <v>20891</v>
      </c>
      <c r="E5" s="1742"/>
      <c r="F5" s="1740"/>
      <c r="G5" s="1740"/>
    </row>
    <row r="6" spans="1:10" ht="15.6">
      <c r="A6" s="1743" t="s">
        <v>1356</v>
      </c>
      <c r="B6" s="1743">
        <f ca="1">SUM(G14:G23)</f>
        <v>56460</v>
      </c>
      <c r="C6" s="1743">
        <f ca="1">ROUND(B6*10000/$B$1,0)</f>
        <v>6508</v>
      </c>
      <c r="D6" s="1743">
        <f ca="1">ROUND(B6*10000/$B$2,0)</f>
        <v>13642</v>
      </c>
      <c r="E6" s="1742"/>
      <c r="F6" s="1740"/>
      <c r="G6" s="1740"/>
    </row>
    <row r="7" spans="1:10" ht="15.6">
      <c r="A7" s="1743" t="s">
        <v>1364</v>
      </c>
      <c r="B7" s="1743">
        <f>SUM(H14:H23)</f>
        <v>0</v>
      </c>
      <c r="C7" s="1743">
        <f>ROUND(B7*10000/$B$1,0)</f>
        <v>0</v>
      </c>
      <c r="D7" s="1743">
        <f>ROUND(B7*10000/$B$2,0)</f>
        <v>0</v>
      </c>
      <c r="E7" s="1742"/>
      <c r="F7" s="1740"/>
      <c r="G7" s="1740"/>
    </row>
    <row r="8" spans="1:10" ht="15.6">
      <c r="A8" s="1743" t="s">
        <v>1285</v>
      </c>
      <c r="B8" s="1743">
        <f ca="1">SUM(I14:I23)</f>
        <v>7480</v>
      </c>
      <c r="C8" s="1743">
        <f ca="1">ROUND(B8*10000/$B$1,0)</f>
        <v>862</v>
      </c>
      <c r="D8" s="1743">
        <f ca="1">ROUND(B8*10000/$B$2,0)</f>
        <v>1807</v>
      </c>
      <c r="E8" s="1742"/>
      <c r="F8" s="1740"/>
      <c r="G8" s="1740"/>
    </row>
    <row r="9" spans="1:10" ht="15.6">
      <c r="A9" s="1743" t="s">
        <v>1355</v>
      </c>
      <c r="B9" s="1745"/>
      <c r="C9" s="1742"/>
      <c r="D9" s="1742"/>
      <c r="E9" s="1742"/>
      <c r="F9" s="1740"/>
      <c r="G9" s="1740"/>
    </row>
    <row r="10" spans="1:10" ht="15.6">
      <c r="A10" s="1743" t="s">
        <v>1354</v>
      </c>
      <c r="B10" s="1745"/>
      <c r="C10" s="1742"/>
      <c r="D10" s="1742"/>
      <c r="E10" s="1742"/>
      <c r="F10" s="1740"/>
      <c r="G10" s="1740"/>
    </row>
    <row r="11" spans="1:10" ht="15.6">
      <c r="A11" s="1743" t="s">
        <v>1370</v>
      </c>
      <c r="B11" s="1745"/>
      <c r="C11" s="1742"/>
      <c r="D11" s="1742"/>
      <c r="E11" s="1742"/>
      <c r="F11" s="1740"/>
      <c r="G11" s="1740"/>
    </row>
    <row r="12" spans="1:10" ht="15.6">
      <c r="A12" s="1742"/>
      <c r="B12" s="1742"/>
      <c r="C12" s="1742"/>
      <c r="D12" s="1742"/>
      <c r="E12" s="1742"/>
      <c r="F12" s="1740"/>
      <c r="G12" s="1740"/>
    </row>
    <row r="13" spans="1:10" ht="31.8">
      <c r="A13" s="1748" t="s">
        <v>1369</v>
      </c>
      <c r="B13" s="1741" t="s">
        <v>1366</v>
      </c>
      <c r="C13" s="1741" t="s">
        <v>1368</v>
      </c>
      <c r="D13" s="1741" t="s">
        <v>1367</v>
      </c>
      <c r="E13" s="1743" t="s">
        <v>1359</v>
      </c>
      <c r="F13" s="1743" t="s">
        <v>1358</v>
      </c>
      <c r="G13" s="1741" t="s">
        <v>1352</v>
      </c>
      <c r="H13" s="1741" t="s">
        <v>1363</v>
      </c>
      <c r="I13" s="1741" t="s">
        <v>1351</v>
      </c>
      <c r="J13" s="1740"/>
    </row>
    <row r="14" spans="1:10" ht="15.6">
      <c r="A14" s="1739" t="s">
        <v>1350</v>
      </c>
      <c r="B14" s="1741">
        <f>结果表!B118</f>
        <v>86753.520000000164</v>
      </c>
      <c r="C14" s="1741">
        <f>结果表!C118</f>
        <v>41386.629999999997</v>
      </c>
      <c r="D14" s="1741">
        <f ca="1">结果表!H118</f>
        <v>86460</v>
      </c>
      <c r="E14" s="1741">
        <f ca="1">ROUND(D14*10000/B14,0)</f>
        <v>9966</v>
      </c>
      <c r="F14" s="1741">
        <f ca="1">ROUND(D14*10000/C14,0)</f>
        <v>20891</v>
      </c>
      <c r="G14" s="1741">
        <f ca="1">结果表!D122</f>
        <v>56460</v>
      </c>
      <c r="H14" s="1741" t="str">
        <f>结果表!D124</f>
        <v>——</v>
      </c>
      <c r="I14" s="1741">
        <f ca="1">结果表!D126</f>
        <v>7480</v>
      </c>
      <c r="J14" s="1740"/>
    </row>
    <row r="15" spans="1:10" ht="15.6">
      <c r="A15" s="1739" t="s">
        <v>1349</v>
      </c>
      <c r="B15" s="1746"/>
      <c r="C15" s="1746"/>
      <c r="D15" s="1746"/>
      <c r="E15" s="1741" t="e">
        <f t="shared" ref="E15:E23" si="0">ROUND(D15*10000/B15,0)</f>
        <v>#DIV/0!</v>
      </c>
      <c r="F15" s="1741" t="e">
        <f t="shared" ref="F15:F23" si="1">ROUND(D15*10000/C15,0)</f>
        <v>#DIV/0!</v>
      </c>
      <c r="G15" s="1747"/>
      <c r="H15" s="1747"/>
      <c r="I15" s="1746"/>
      <c r="J15" s="1740"/>
    </row>
    <row r="16" spans="1:10" ht="15.6">
      <c r="A16" s="1739" t="s">
        <v>1348</v>
      </c>
      <c r="B16" s="1746"/>
      <c r="C16" s="1746"/>
      <c r="D16" s="1746"/>
      <c r="E16" s="1741" t="e">
        <f t="shared" si="0"/>
        <v>#DIV/0!</v>
      </c>
      <c r="F16" s="1741" t="e">
        <f t="shared" si="1"/>
        <v>#DIV/0!</v>
      </c>
      <c r="G16" s="1747"/>
      <c r="H16" s="1747"/>
      <c r="I16" s="1746"/>
    </row>
    <row r="17" spans="1:9" ht="15.6">
      <c r="A17" s="1739" t="s">
        <v>1347</v>
      </c>
      <c r="B17" s="1746"/>
      <c r="C17" s="1746"/>
      <c r="D17" s="1746"/>
      <c r="E17" s="1741" t="e">
        <f t="shared" si="0"/>
        <v>#DIV/0!</v>
      </c>
      <c r="F17" s="1741" t="e">
        <f t="shared" si="1"/>
        <v>#DIV/0!</v>
      </c>
      <c r="G17" s="1747"/>
      <c r="H17" s="1747"/>
      <c r="I17" s="1746"/>
    </row>
    <row r="18" spans="1:9" ht="15.6">
      <c r="A18" s="1739" t="s">
        <v>1346</v>
      </c>
      <c r="B18" s="1746"/>
      <c r="C18" s="1746"/>
      <c r="D18" s="1746"/>
      <c r="E18" s="1741" t="e">
        <f t="shared" si="0"/>
        <v>#DIV/0!</v>
      </c>
      <c r="F18" s="1741" t="e">
        <f t="shared" si="1"/>
        <v>#DIV/0!</v>
      </c>
      <c r="G18" s="1746"/>
      <c r="H18" s="1746"/>
      <c r="I18" s="1746"/>
    </row>
    <row r="19" spans="1:9" ht="15.6">
      <c r="A19" s="1739" t="s">
        <v>1345</v>
      </c>
      <c r="B19" s="1746"/>
      <c r="C19" s="1746"/>
      <c r="D19" s="1746"/>
      <c r="E19" s="1741" t="e">
        <f t="shared" si="0"/>
        <v>#DIV/0!</v>
      </c>
      <c r="F19" s="1741" t="e">
        <f t="shared" si="1"/>
        <v>#DIV/0!</v>
      </c>
      <c r="G19" s="1746"/>
      <c r="H19" s="1746"/>
      <c r="I19" s="1746"/>
    </row>
    <row r="20" spans="1:9" ht="15.6">
      <c r="A20" s="1739" t="s">
        <v>1344</v>
      </c>
      <c r="B20" s="1746"/>
      <c r="C20" s="1746"/>
      <c r="D20" s="1746"/>
      <c r="E20" s="1741" t="e">
        <f t="shared" si="0"/>
        <v>#DIV/0!</v>
      </c>
      <c r="F20" s="1741" t="e">
        <f t="shared" si="1"/>
        <v>#DIV/0!</v>
      </c>
      <c r="G20" s="1746"/>
      <c r="H20" s="1746"/>
      <c r="I20" s="1746"/>
    </row>
    <row r="21" spans="1:9" ht="15.6">
      <c r="A21" s="1739" t="s">
        <v>1343</v>
      </c>
      <c r="B21" s="1746"/>
      <c r="C21" s="1746"/>
      <c r="D21" s="1746"/>
      <c r="E21" s="1741" t="e">
        <f t="shared" si="0"/>
        <v>#DIV/0!</v>
      </c>
      <c r="F21" s="1741" t="e">
        <f t="shared" si="1"/>
        <v>#DIV/0!</v>
      </c>
      <c r="G21" s="1746"/>
      <c r="H21" s="1746"/>
      <c r="I21" s="1746"/>
    </row>
    <row r="22" spans="1:9" ht="15.6">
      <c r="A22" s="1739" t="s">
        <v>1342</v>
      </c>
      <c r="B22" s="1746"/>
      <c r="C22" s="1746"/>
      <c r="D22" s="1746"/>
      <c r="E22" s="1741" t="e">
        <f t="shared" si="0"/>
        <v>#DIV/0!</v>
      </c>
      <c r="F22" s="1741" t="e">
        <f t="shared" si="1"/>
        <v>#DIV/0!</v>
      </c>
      <c r="G22" s="1746"/>
      <c r="H22" s="1746"/>
      <c r="I22" s="1746"/>
    </row>
    <row r="23" spans="1:9" ht="15.6">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9" zoomScaleNormal="100" zoomScaleSheetLayoutView="100" zoomScalePageLayoutView="80" workbookViewId="0">
      <selection activeCell="D124" sqref="D124:I124"/>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2116</v>
      </c>
      <c r="B1" s="2414"/>
      <c r="C1" s="2415"/>
      <c r="D1" s="2414"/>
      <c r="E1" s="2414"/>
      <c r="F1" s="2416" t="s">
        <v>2117</v>
      </c>
      <c r="G1" s="2068" t="s">
        <v>2118</v>
      </c>
      <c r="H1" s="2417" t="str">
        <f>IF(G1="现房","——","估价对象范围")</f>
        <v>估价对象范围</v>
      </c>
      <c r="I1" s="2418"/>
    </row>
    <row r="2" spans="1:12" ht="21.75" customHeight="1" thickBot="1">
      <c r="A2" s="3147" t="str">
        <f>项目基本情况!S2</f>
        <v>浙江省湖州市吴兴区乌山单元02-06D号地块出让国有建设用地使用权及在建建筑物房地产</v>
      </c>
      <c r="B2" s="3148"/>
      <c r="C2" s="3148"/>
      <c r="D2" s="3148"/>
      <c r="E2" s="3148"/>
      <c r="F2" s="3148"/>
      <c r="G2" s="3148"/>
      <c r="H2" s="3148"/>
      <c r="I2" s="3149"/>
    </row>
    <row r="3" spans="1:12" ht="13.2">
      <c r="A3" s="3150" t="s">
        <v>2119</v>
      </c>
      <c r="B3" s="3151"/>
      <c r="C3" s="3151"/>
      <c r="D3" s="3151"/>
      <c r="E3" s="3151"/>
      <c r="F3" s="3151"/>
      <c r="G3" s="3151"/>
      <c r="H3" s="3151"/>
      <c r="I3" s="3151"/>
    </row>
    <row r="4" spans="1:12" ht="14.4">
      <c r="A4" s="2421" t="s">
        <v>2120</v>
      </c>
      <c r="B4" s="2422" t="s">
        <v>2121</v>
      </c>
      <c r="C4" s="2423" t="s">
        <v>3094</v>
      </c>
      <c r="D4" s="2423" t="s">
        <v>3095</v>
      </c>
      <c r="E4" s="3131" t="s">
        <v>2122</v>
      </c>
      <c r="F4" s="3144"/>
      <c r="G4" s="3144"/>
      <c r="H4" s="3144"/>
      <c r="I4" s="313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22" t="s">
        <v>2123</v>
      </c>
      <c r="B5" s="3047">
        <v>25</v>
      </c>
      <c r="C5" s="3152"/>
      <c r="D5" s="3140"/>
      <c r="E5" s="140" t="s">
        <v>2124</v>
      </c>
      <c r="F5" s="2425"/>
      <c r="G5" s="2425"/>
      <c r="H5" s="2425"/>
      <c r="I5" s="1831"/>
    </row>
    <row r="6" spans="1:12" ht="13.2">
      <c r="A6" s="3122"/>
      <c r="B6" s="3047"/>
      <c r="C6" s="3154"/>
      <c r="D6" s="3140"/>
      <c r="E6" s="140" t="s">
        <v>2125</v>
      </c>
      <c r="F6" s="2425"/>
      <c r="G6" s="2425"/>
      <c r="H6" s="2425"/>
      <c r="I6" s="1831"/>
    </row>
    <row r="7" spans="1:12" ht="13.2">
      <c r="A7" s="3122"/>
      <c r="B7" s="3047"/>
      <c r="C7" s="3153"/>
      <c r="D7" s="3140"/>
      <c r="E7" s="140" t="s">
        <v>2126</v>
      </c>
      <c r="F7" s="2425"/>
      <c r="G7" s="2425"/>
      <c r="H7" s="2425"/>
      <c r="I7" s="1831"/>
    </row>
    <row r="8" spans="1:12" ht="13.2">
      <c r="A8" s="3122" t="s">
        <v>2127</v>
      </c>
      <c r="B8" s="3047">
        <v>15</v>
      </c>
      <c r="C8" s="3152"/>
      <c r="D8" s="3140"/>
      <c r="E8" s="140" t="s">
        <v>2128</v>
      </c>
      <c r="F8" s="2425"/>
      <c r="G8" s="2425"/>
      <c r="H8" s="2425"/>
      <c r="I8" s="1831"/>
    </row>
    <row r="9" spans="1:12" ht="13.2">
      <c r="A9" s="3122"/>
      <c r="B9" s="3047"/>
      <c r="C9" s="3153"/>
      <c r="D9" s="3140"/>
      <c r="E9" s="140" t="s">
        <v>2129</v>
      </c>
      <c r="F9" s="2425"/>
      <c r="G9" s="2425"/>
      <c r="H9" s="2425"/>
      <c r="I9" s="1831"/>
    </row>
    <row r="10" spans="1:12" ht="13.2">
      <c r="A10" s="3122" t="s">
        <v>2130</v>
      </c>
      <c r="B10" s="3047">
        <v>15</v>
      </c>
      <c r="C10" s="3152"/>
      <c r="D10" s="3140"/>
      <c r="E10" s="140" t="s">
        <v>2131</v>
      </c>
      <c r="F10" s="2425"/>
      <c r="G10" s="2425"/>
      <c r="H10" s="2425"/>
      <c r="I10" s="1831"/>
    </row>
    <row r="11" spans="1:12" ht="13.2">
      <c r="A11" s="3122"/>
      <c r="B11" s="3047"/>
      <c r="C11" s="3153"/>
      <c r="D11" s="3140"/>
      <c r="E11" s="140" t="s">
        <v>2132</v>
      </c>
      <c r="F11" s="2425"/>
      <c r="G11" s="2425"/>
      <c r="H11" s="2425"/>
      <c r="I11" s="1831"/>
    </row>
    <row r="12" spans="1:12" ht="13.2">
      <c r="A12" s="3122" t="s">
        <v>2133</v>
      </c>
      <c r="B12" s="3047">
        <v>15</v>
      </c>
      <c r="C12" s="3152"/>
      <c r="D12" s="3140"/>
      <c r="E12" s="140" t="s">
        <v>2134</v>
      </c>
      <c r="F12" s="2425"/>
      <c r="G12" s="2425"/>
      <c r="H12" s="2425"/>
      <c r="I12" s="1831"/>
    </row>
    <row r="13" spans="1:12" ht="13.2">
      <c r="A13" s="3122"/>
      <c r="B13" s="3047"/>
      <c r="C13" s="3153"/>
      <c r="D13" s="3140"/>
      <c r="E13" s="140" t="s">
        <v>2135</v>
      </c>
      <c r="F13" s="2425"/>
      <c r="G13" s="2425"/>
      <c r="H13" s="2425"/>
      <c r="I13" s="1831"/>
    </row>
    <row r="14" spans="1:12" ht="13.2">
      <c r="A14" s="3122" t="s">
        <v>2136</v>
      </c>
      <c r="B14" s="3047">
        <v>30</v>
      </c>
      <c r="C14" s="3152">
        <v>5</v>
      </c>
      <c r="D14" s="3140">
        <v>5</v>
      </c>
      <c r="E14" s="140" t="s">
        <v>2137</v>
      </c>
      <c r="F14" s="2425"/>
      <c r="G14" s="2425"/>
      <c r="H14" s="2425"/>
      <c r="I14" s="1831"/>
    </row>
    <row r="15" spans="1:12" ht="13.2">
      <c r="A15" s="3122"/>
      <c r="B15" s="3047"/>
      <c r="C15" s="3154"/>
      <c r="D15" s="3140"/>
      <c r="E15" s="140" t="s">
        <v>2138</v>
      </c>
      <c r="F15" s="2425"/>
      <c r="G15" s="2425"/>
      <c r="H15" s="2425"/>
      <c r="I15" s="1831"/>
    </row>
    <row r="16" spans="1:12" ht="13.2">
      <c r="A16" s="3122"/>
      <c r="B16" s="3047"/>
      <c r="C16" s="3153"/>
      <c r="D16" s="3140"/>
      <c r="E16" s="140" t="s">
        <v>2139</v>
      </c>
      <c r="F16" s="2425"/>
      <c r="G16" s="2425"/>
      <c r="H16" s="2425"/>
      <c r="I16" s="1831"/>
    </row>
    <row r="17" spans="1:35" ht="14.4">
      <c r="A17" s="2426" t="s">
        <v>2140</v>
      </c>
      <c r="B17" s="64"/>
      <c r="C17" s="141">
        <f>SUM(C5:C16)</f>
        <v>5</v>
      </c>
      <c r="D17" s="141">
        <f>SUM(D5:D16)</f>
        <v>5</v>
      </c>
      <c r="E17" s="138"/>
      <c r="F17" s="138"/>
      <c r="G17" s="138"/>
      <c r="H17" s="138"/>
      <c r="I17" s="138"/>
      <c r="K17" s="2424"/>
      <c r="L17" s="2427" t="s">
        <v>2141</v>
      </c>
      <c r="M17" s="2427" t="s">
        <v>2142</v>
      </c>
    </row>
    <row r="18" spans="1:35" ht="15" thickBot="1">
      <c r="A18" s="2428" t="s">
        <v>2143</v>
      </c>
      <c r="B18" s="2429"/>
      <c r="C18" s="142">
        <f>ROUND(C17/SUM(C17:D17),2)</f>
        <v>0.5</v>
      </c>
      <c r="D18" s="142">
        <f>1-C18</f>
        <v>0.5</v>
      </c>
      <c r="E18" s="138"/>
      <c r="F18" s="138"/>
      <c r="G18" s="138"/>
      <c r="H18" s="138"/>
      <c r="I18" s="138"/>
      <c r="K18" s="2424" t="s">
        <v>2144</v>
      </c>
      <c r="L18" s="2424">
        <f>IF(C1="",'数据-汇总表'!E3,SUMIF(项目类型,C1,'数据-汇总表'!E17:E26)+SUMIF(项目类型,C1,'数据-汇总表'!I17:I26))</f>
        <v>86753.520000000164</v>
      </c>
      <c r="M18" s="2424">
        <f>IF(C1="",'数据-汇总表'!E3,SUMIF(项目类型,C1,'数据-汇总表'!E17:E26))</f>
        <v>86753.520000000164</v>
      </c>
    </row>
    <row r="19" spans="1:35" ht="14.4">
      <c r="A19" s="2430" t="s">
        <v>2145</v>
      </c>
      <c r="B19" s="2431" t="s">
        <v>2146</v>
      </c>
      <c r="C19" s="143">
        <f ca="1">SUMIF(INDIRECT("'"&amp;C4&amp;"'"&amp;"!A:A"),结果表!B19,INDIRECT("'"&amp;C4&amp;"'"&amp;"!B:B"))</f>
        <v>84395</v>
      </c>
      <c r="D19" s="144">
        <f ca="1">SUMIF(INDIRECT("'"&amp;D4&amp;"'"&amp;"!A:A"),结果表!B19,INDIRECT("'"&amp;D4&amp;"'"&amp;"!B:B"))</f>
        <v>88524</v>
      </c>
      <c r="E19" s="2430" t="s">
        <v>2147</v>
      </c>
      <c r="F19" s="2431" t="s">
        <v>2146</v>
      </c>
      <c r="G19" s="145">
        <f ca="1">ROUND(C19*$C$18+D19*$D$18,0)</f>
        <v>86460</v>
      </c>
      <c r="H19" s="2432" t="s">
        <v>2148</v>
      </c>
      <c r="I19" s="138"/>
      <c r="K19" s="2424" t="s">
        <v>2149</v>
      </c>
      <c r="L19" s="2424">
        <f>IF(C1="",'数据-汇总表'!D3,SUMIF(项目类型,C1,'数据-汇总表'!D17:D26)+SUMIF(项目类型,C1,'数据-汇总表'!H17:H27))</f>
        <v>41386.629999999997</v>
      </c>
      <c r="M19" s="2424">
        <f>IF(C1="",'数据-汇总表'!D3,SUMIF(项目类型,C1,'数据-汇总表'!D17:D26))</f>
        <v>41386.629999999997</v>
      </c>
    </row>
    <row r="20" spans="1:35" ht="14.4">
      <c r="A20" s="2433"/>
      <c r="B20" s="1247" t="s">
        <v>2150</v>
      </c>
      <c r="C20" s="146">
        <f ca="1">SUMIF(INDIRECT("'"&amp;C4&amp;"'"&amp;"!A:A"),结果表!B20,INDIRECT("'"&amp;C4&amp;"'"&amp;"!B:B"))</f>
        <v>9728</v>
      </c>
      <c r="D20" s="147">
        <f ca="1">SUMIF(INDIRECT("'"&amp;D4&amp;"'"&amp;"!A:A"),结果表!B20,INDIRECT("'"&amp;D4&amp;"'"&amp;"!B:B"))</f>
        <v>10204</v>
      </c>
      <c r="E20" s="2433"/>
      <c r="F20" s="1247" t="s">
        <v>2150</v>
      </c>
      <c r="G20" s="148">
        <f ca="1">ROUND(C20*$C$18+D20*$D$18,0)</f>
        <v>9966</v>
      </c>
      <c r="H20" s="980" t="s">
        <v>2151</v>
      </c>
      <c r="I20" s="138"/>
    </row>
    <row r="21" spans="1:35" ht="15" customHeight="1" thickBot="1">
      <c r="A21" s="1000"/>
      <c r="B21" s="2434" t="s">
        <v>2152</v>
      </c>
      <c r="C21" s="789">
        <f ca="1">ROUND(C19*10000/L19,0)</f>
        <v>20392</v>
      </c>
      <c r="D21" s="790">
        <f ca="1">ROUND(D19*10000/L19,0)</f>
        <v>21390</v>
      </c>
      <c r="E21" s="1000"/>
      <c r="F21" s="2434" t="s">
        <v>2152</v>
      </c>
      <c r="G21" s="149">
        <f ca="1">ROUND(G19*10000/L19,0)</f>
        <v>20891</v>
      </c>
      <c r="H21" s="2435" t="s">
        <v>2151</v>
      </c>
      <c r="I21" s="138"/>
    </row>
    <row r="22" spans="1:35" ht="15" thickBot="1">
      <c r="A22" s="2276" t="s">
        <v>2153</v>
      </c>
      <c r="B22" s="2436"/>
      <c r="C22" s="2437"/>
      <c r="D22" s="791">
        <f ca="1">IF(C19&lt;D19,D19/C19-1,C19/D19-1)</f>
        <v>4.8924699330529009E-2</v>
      </c>
      <c r="E22" s="138"/>
      <c r="F22" s="138"/>
      <c r="G22" s="138"/>
      <c r="H22" s="138"/>
      <c r="I22" s="138"/>
    </row>
    <row r="23" spans="1:35" ht="13.8" thickBot="1">
      <c r="A23" s="2414"/>
      <c r="B23" s="2414"/>
      <c r="C23" s="2414"/>
      <c r="D23" s="2414"/>
      <c r="E23" s="138"/>
      <c r="F23" s="138"/>
      <c r="G23" s="138"/>
      <c r="H23" s="138"/>
      <c r="I23" s="138"/>
    </row>
    <row r="24" spans="1:35" ht="14.4">
      <c r="A24" s="3161" t="s">
        <v>2154</v>
      </c>
      <c r="B24" s="2431" t="s">
        <v>2146</v>
      </c>
      <c r="C24" s="145">
        <f>IF(B30=0,0,D30)</f>
        <v>0</v>
      </c>
      <c r="D24" s="2438"/>
      <c r="E24" s="138"/>
      <c r="F24" s="138"/>
      <c r="G24" s="138"/>
      <c r="H24" s="138"/>
      <c r="I24" s="138"/>
    </row>
    <row r="25" spans="1:35" ht="14.4">
      <c r="A25" s="3162"/>
      <c r="B25" s="1247"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2159</v>
      </c>
      <c r="B30" s="151"/>
      <c r="C30" s="151"/>
      <c r="D30" s="151"/>
      <c r="E30" s="2920" t="s">
        <v>3035</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2160</v>
      </c>
      <c r="B32" s="2444"/>
      <c r="C32" s="153">
        <f ca="1">IF(D32="总价",G19-C24,G20-C25)</f>
        <v>86460</v>
      </c>
      <c r="D32" s="2445" t="s">
        <v>2161</v>
      </c>
      <c r="E32" s="138"/>
      <c r="F32" s="138"/>
      <c r="G32" s="138"/>
      <c r="H32" s="138"/>
      <c r="I32" s="138"/>
    </row>
    <row r="33" spans="1:15" ht="14.4">
      <c r="A33" s="957" t="s">
        <v>2162</v>
      </c>
      <c r="B33" s="2446"/>
      <c r="C33" s="2447" t="s">
        <v>4520</v>
      </c>
      <c r="D33" s="2448" t="s">
        <v>3094</v>
      </c>
      <c r="E33" s="2449" t="s">
        <v>2163</v>
      </c>
      <c r="F33" s="2450" t="str">
        <f>IF(D32="楼面单价","取值（单价）","取值（总价）")</f>
        <v>取值（总价）</v>
      </c>
      <c r="G33" s="138"/>
      <c r="H33" s="138"/>
      <c r="I33" s="138"/>
    </row>
    <row r="34" spans="1:15" ht="14.4">
      <c r="A34" s="2451"/>
      <c r="B34" s="2452" t="s">
        <v>2164</v>
      </c>
      <c r="C34" s="157">
        <f ca="1">IF(C33="自定义",F34,C32-C35)</f>
        <v>67871</v>
      </c>
      <c r="D34" s="1055">
        <f ca="1">IF(C33="自定义",ROUND(C34/C32,3),IF(C33="收益比率",SUMIF(INDIRECT("'"&amp;D33&amp;"'"&amp;"!b:b"),"土地收益比率",INDIRECT("'"&amp;D33&amp;"'"&amp;"!c:c")),SUMIF(INDIRECT("'"&amp;D33&amp;"'"&amp;"!b:b"),"土地成本比率",INDIRECT("'"&amp;D33&amp;"'"&amp;"!c:c"))))</f>
        <v>0.78500000000000003</v>
      </c>
      <c r="E34" s="2453" t="s">
        <v>2165</v>
      </c>
      <c r="F34" s="1736"/>
      <c r="G34" s="138"/>
      <c r="H34" s="138"/>
      <c r="I34" s="138"/>
    </row>
    <row r="35" spans="1:15" ht="15" thickBot="1">
      <c r="A35" s="2454"/>
      <c r="B35" s="2455" t="s">
        <v>2166</v>
      </c>
      <c r="C35" s="1441">
        <f ca="1">IF(C33="自定义",F35,ROUND(C32*D35,0))</f>
        <v>18589</v>
      </c>
      <c r="D35" s="1442">
        <f ca="1">IF(C33="自定义",ROUND(C35/C32,3),IF(C33="收益比率",SUMIF(INDIRECT("'"&amp;D33&amp;"'"&amp;"!b:b"),"建筑物收益比率",INDIRECT("'"&amp;D33&amp;"'"&amp;"!c:c")),SUMIF(INDIRECT("'"&amp;D33&amp;"'"&amp;"!b:b"),"建筑物成本比率",INDIRECT("'"&amp;D33&amp;"'"&amp;"!c:c"))))</f>
        <v>0.215</v>
      </c>
      <c r="E35" s="2456" t="s">
        <v>2167</v>
      </c>
      <c r="F35" s="163"/>
      <c r="G35" s="138"/>
      <c r="H35" s="138"/>
      <c r="I35" s="138"/>
    </row>
    <row r="36" spans="1:15" ht="15" thickBot="1">
      <c r="A36" s="3141" t="s">
        <v>2168</v>
      </c>
      <c r="B36" s="2457" t="s">
        <v>2169</v>
      </c>
      <c r="C36" s="154"/>
      <c r="D36" s="2458"/>
      <c r="E36" s="2459"/>
      <c r="F36" s="2460"/>
      <c r="G36" s="138"/>
      <c r="H36" s="138"/>
      <c r="I36" s="138"/>
    </row>
    <row r="37" spans="1:15" ht="15" thickBot="1">
      <c r="A37" s="3142"/>
      <c r="B37" s="2262" t="s">
        <v>2170</v>
      </c>
      <c r="C37" s="156">
        <v>30000</v>
      </c>
      <c r="D37" s="1392"/>
      <c r="E37" s="1392"/>
      <c r="F37" s="2460"/>
      <c r="G37" s="138"/>
      <c r="H37" s="138"/>
      <c r="I37" s="138"/>
    </row>
    <row r="38" spans="1:15" ht="15" thickBot="1">
      <c r="A38" s="3143"/>
      <c r="B38" s="2461" t="s">
        <v>2171</v>
      </c>
      <c r="C38" s="727"/>
      <c r="D38" s="2462" t="s">
        <v>2172</v>
      </c>
      <c r="E38" s="1392"/>
      <c r="F38" s="2460"/>
      <c r="G38" s="138"/>
      <c r="H38" s="138"/>
      <c r="I38" s="138"/>
    </row>
    <row r="39" spans="1:15" ht="14.4">
      <c r="A39" s="2433" t="s">
        <v>2173</v>
      </c>
      <c r="B39" s="2463" t="s">
        <v>2174</v>
      </c>
      <c r="C39" s="2464" t="s">
        <v>2175</v>
      </c>
      <c r="D39" s="2464" t="s">
        <v>2176</v>
      </c>
      <c r="E39" s="2465" t="s">
        <v>2177</v>
      </c>
      <c r="F39" s="2460"/>
      <c r="G39" s="138"/>
      <c r="H39" s="138"/>
      <c r="I39" s="138"/>
    </row>
    <row r="40" spans="1:15" ht="13.8">
      <c r="A40" s="2466" t="s">
        <v>2178</v>
      </c>
      <c r="B40" s="158"/>
      <c r="C40" s="159"/>
      <c r="D40" s="159"/>
      <c r="E40" s="160"/>
      <c r="F40" s="2460"/>
      <c r="G40" s="138"/>
      <c r="H40" s="138"/>
      <c r="I40" s="138"/>
    </row>
    <row r="41" spans="1:15" ht="13.8">
      <c r="A41" s="2466" t="s">
        <v>2179</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158" t="s">
        <v>2182</v>
      </c>
      <c r="B45" s="3159"/>
      <c r="C45" s="3160"/>
      <c r="D45" s="164">
        <f ca="1">ROUND(H101*F45,0)</f>
        <v>86460</v>
      </c>
      <c r="E45" s="165" t="s">
        <v>2183</v>
      </c>
      <c r="F45" s="166">
        <v>1</v>
      </c>
      <c r="G45" s="167" t="s">
        <v>2184</v>
      </c>
      <c r="H45" s="138"/>
      <c r="I45" s="138"/>
      <c r="J45" s="3077" t="s">
        <v>2185</v>
      </c>
      <c r="K45" s="3077"/>
      <c r="L45" s="3077"/>
      <c r="M45" s="3077"/>
      <c r="N45" s="3077"/>
      <c r="O45" s="3077"/>
    </row>
    <row r="46" spans="1:15" ht="14.25" customHeight="1">
      <c r="A46" s="3155" t="s">
        <v>2186</v>
      </c>
      <c r="B46" s="3156"/>
      <c r="C46" s="3156"/>
      <c r="D46" s="3156"/>
      <c r="E46" s="3156"/>
      <c r="F46" s="3156"/>
      <c r="G46" s="3157"/>
      <c r="H46" s="2476"/>
      <c r="I46" s="168"/>
      <c r="J46" s="1809">
        <v>1</v>
      </c>
      <c r="K46" s="3077" t="s">
        <v>2187</v>
      </c>
      <c r="L46" s="3077"/>
      <c r="M46" s="3078"/>
      <c r="N46" s="3078"/>
      <c r="O46" s="3078"/>
    </row>
    <row r="47" spans="1:15" ht="12" customHeight="1">
      <c r="A47" s="169" t="s">
        <v>2188</v>
      </c>
      <c r="B47" s="170"/>
      <c r="C47" s="171"/>
      <c r="D47" s="172" t="s">
        <v>2189</v>
      </c>
      <c r="E47" s="24" t="s">
        <v>2190</v>
      </c>
      <c r="F47" s="173" t="s">
        <v>2191</v>
      </c>
      <c r="G47" s="174" t="s">
        <v>2192</v>
      </c>
      <c r="H47" s="2476"/>
      <c r="I47" s="168"/>
      <c r="J47" s="1809">
        <v>2</v>
      </c>
      <c r="K47" s="3077" t="s">
        <v>2193</v>
      </c>
      <c r="L47" s="3077"/>
      <c r="M47" s="3079">
        <f>'数据-取费表'!B2</f>
        <v>43356</v>
      </c>
      <c r="N47" s="3079"/>
      <c r="O47" s="3079"/>
    </row>
    <row r="48" spans="1:15" ht="26.4">
      <c r="A48" s="3145" t="s">
        <v>2194</v>
      </c>
      <c r="B48" s="3146"/>
      <c r="C48" s="3146"/>
      <c r="D48" s="140">
        <f>IF(H48="情况1",0,IF(H48="情况2",D52,IF(H48="情况3",D53,IF(H48="情况4",D54))))</f>
        <v>0</v>
      </c>
      <c r="E48" s="1798" t="str">
        <f>IF(H48="情况4","(销售额-原购置价)×税（费）率","销售额×税（费）率")</f>
        <v>销售额×税（费）率</v>
      </c>
      <c r="F48" s="175" t="str">
        <f>IF(H48="情况1","免征",'数据-取费表'!B41)</f>
        <v>免征</v>
      </c>
      <c r="G48" s="2477" t="s">
        <v>2195</v>
      </c>
      <c r="H48" s="2478" t="s">
        <v>2196</v>
      </c>
      <c r="I48" s="2476"/>
      <c r="J48" s="1809">
        <v>3</v>
      </c>
      <c r="K48" s="3077" t="s">
        <v>2197</v>
      </c>
      <c r="L48" s="3077"/>
      <c r="M48" s="3080">
        <f ca="1">H101</f>
        <v>86460</v>
      </c>
      <c r="N48" s="3080"/>
      <c r="O48" s="3080"/>
    </row>
    <row r="49" spans="1:35" ht="25.5" customHeight="1">
      <c r="A49" s="176" t="s">
        <v>2198</v>
      </c>
      <c r="B49" s="3125" t="s">
        <v>2199</v>
      </c>
      <c r="C49" s="3125"/>
      <c r="D49" s="177">
        <v>0</v>
      </c>
      <c r="E49" s="23" t="s">
        <v>2200</v>
      </c>
      <c r="F49" s="28" t="s">
        <v>34</v>
      </c>
      <c r="G49" s="3106"/>
      <c r="H49" s="138"/>
      <c r="I49" s="2479"/>
      <c r="J49" s="1809">
        <v>4</v>
      </c>
      <c r="K49" s="3077" t="str">
        <f>IF(项目基本情况!E8="房地产抵押价值","房地产抵押价值","抵押担保权已注销时的房地产抵押价值")</f>
        <v>房地产抵押价值</v>
      </c>
      <c r="L49" s="3077"/>
      <c r="M49" s="3080">
        <f ca="1">IF(项目基本情况!E8="房地产抵押价值",H107,H109)</f>
        <v>56460</v>
      </c>
      <c r="N49" s="3080"/>
      <c r="O49" s="3080"/>
    </row>
    <row r="50" spans="1:35" ht="25.5" customHeight="1">
      <c r="A50" s="178"/>
      <c r="B50" s="3125" t="s">
        <v>2201</v>
      </c>
      <c r="C50" s="3125"/>
      <c r="D50" s="179"/>
      <c r="E50" s="31"/>
      <c r="F50" s="180"/>
      <c r="G50" s="3107"/>
      <c r="H50" s="138"/>
      <c r="I50" s="2479"/>
      <c r="J50" s="3077" t="s">
        <v>2202</v>
      </c>
      <c r="K50" s="3077"/>
      <c r="L50" s="3077"/>
      <c r="M50" s="3077"/>
      <c r="N50" s="3077"/>
      <c r="O50" s="3077"/>
    </row>
    <row r="51" spans="1:35" ht="12" customHeight="1">
      <c r="A51" s="181"/>
      <c r="B51" s="3125" t="s">
        <v>2203</v>
      </c>
      <c r="C51" s="3125"/>
      <c r="D51" s="182"/>
      <c r="E51" s="30"/>
      <c r="F51" s="180"/>
      <c r="G51" s="3108"/>
      <c r="H51" s="138"/>
      <c r="I51" s="2479"/>
      <c r="J51" s="2480" t="s">
        <v>2204</v>
      </c>
      <c r="K51" s="3077" t="s">
        <v>2205</v>
      </c>
      <c r="L51" s="3077"/>
      <c r="M51" s="2480" t="s">
        <v>2206</v>
      </c>
      <c r="N51" s="2480" t="s">
        <v>2207</v>
      </c>
      <c r="O51" s="2480" t="s">
        <v>2208</v>
      </c>
    </row>
    <row r="52" spans="1:35" ht="24" customHeight="1">
      <c r="A52" s="183" t="s">
        <v>2209</v>
      </c>
      <c r="B52" s="3125" t="s">
        <v>2210</v>
      </c>
      <c r="C52" s="3125"/>
      <c r="D52" s="182">
        <f ca="1">ROUND(D45*'数据-取费表'!B41/(1+'数据-取费表'!C42),0)</f>
        <v>4611</v>
      </c>
      <c r="E52" s="11" t="s">
        <v>2211</v>
      </c>
      <c r="F52" s="184">
        <f>'数据-取费表'!B41</f>
        <v>5.6000000000000001E-2</v>
      </c>
      <c r="G52" s="2481"/>
      <c r="H52" s="138"/>
      <c r="I52" s="2479"/>
      <c r="J52" s="1809">
        <v>1</v>
      </c>
      <c r="K52" s="3100" t="s">
        <v>2212</v>
      </c>
      <c r="L52" s="3100"/>
      <c r="M52" s="1751">
        <f>D48</f>
        <v>0</v>
      </c>
      <c r="N52" s="1809" t="str">
        <f>E48</f>
        <v>销售额×税（费）率</v>
      </c>
      <c r="O52" s="1752" t="str">
        <f>F48</f>
        <v>免征</v>
      </c>
    </row>
    <row r="53" spans="1:35" ht="12" customHeight="1">
      <c r="A53" s="183" t="s">
        <v>2213</v>
      </c>
      <c r="B53" s="3126" t="s">
        <v>2214</v>
      </c>
      <c r="C53" s="3127"/>
      <c r="D53" s="182">
        <f ca="1">ROUND(D45*'数据-取费表'!B41/(1+'数据-取费表'!C42),0)</f>
        <v>4611</v>
      </c>
      <c r="E53" s="11" t="s">
        <v>2211</v>
      </c>
      <c r="F53" s="184">
        <f>'数据-取费表'!B41</f>
        <v>5.6000000000000001E-2</v>
      </c>
      <c r="G53" s="2481"/>
      <c r="H53" s="138"/>
      <c r="I53" s="2479"/>
      <c r="J53" s="1809">
        <v>2</v>
      </c>
      <c r="K53" s="3100" t="s">
        <v>2215</v>
      </c>
      <c r="L53" s="3100"/>
      <c r="M53" s="1751">
        <f t="shared" ref="M53:O54" ca="1" si="0">D55</f>
        <v>43</v>
      </c>
      <c r="N53" s="1809" t="str">
        <f t="shared" si="0"/>
        <v>销售额×税（费）率</v>
      </c>
      <c r="O53" s="1752">
        <f t="shared" si="0"/>
        <v>5.0000000000000001E-4</v>
      </c>
    </row>
    <row r="54" spans="1:35" ht="12" customHeight="1">
      <c r="A54" s="183" t="s">
        <v>2216</v>
      </c>
      <c r="B54" s="3126" t="s">
        <v>2217</v>
      </c>
      <c r="C54" s="3127"/>
      <c r="D54" s="182">
        <f ca="1">C68</f>
        <v>4611</v>
      </c>
      <c r="E54" s="30" t="s">
        <v>2218</v>
      </c>
      <c r="F54" s="184">
        <f>'数据-取费表'!B41</f>
        <v>5.6000000000000001E-2</v>
      </c>
      <c r="G54" s="2481"/>
      <c r="H54" s="2482"/>
      <c r="I54" s="2479"/>
      <c r="J54" s="1809">
        <v>3</v>
      </c>
      <c r="K54" s="3100" t="s">
        <v>2219</v>
      </c>
      <c r="L54" s="3100"/>
      <c r="M54" s="1751">
        <f t="shared" ca="1" si="0"/>
        <v>48937</v>
      </c>
      <c r="N54" s="1809" t="str">
        <f t="shared" si="0"/>
        <v>增值额×税（费）率</v>
      </c>
      <c r="O54" s="1753" t="str">
        <f t="shared" si="0"/>
        <v>——</v>
      </c>
    </row>
    <row r="55" spans="1:35" ht="24" customHeight="1">
      <c r="A55" s="3164" t="s">
        <v>2220</v>
      </c>
      <c r="B55" s="3146"/>
      <c r="C55" s="3146"/>
      <c r="D55" s="185">
        <f ca="1">IF(H55="个人住宅",0,ROUND(D45*I55,0))</f>
        <v>43</v>
      </c>
      <c r="E55" s="11" t="s">
        <v>2221</v>
      </c>
      <c r="F55" s="184">
        <f>IF(H55="正常",I55,"免征")</f>
        <v>5.0000000000000001E-4</v>
      </c>
      <c r="G55" s="2481"/>
      <c r="H55" s="2478" t="s">
        <v>2222</v>
      </c>
      <c r="I55" s="186">
        <f>'数据-取费表'!B49</f>
        <v>5.0000000000000001E-4</v>
      </c>
      <c r="J55" s="1809" t="str">
        <f>IF(H59="非个人房产","",4)</f>
        <v/>
      </c>
      <c r="K55" s="3100" t="str">
        <f>IF(H59="非个人房产","——","个人所得税")</f>
        <v>——</v>
      </c>
      <c r="L55" s="3100"/>
      <c r="M55" s="1754" t="str">
        <f>D59</f>
        <v>——</v>
      </c>
      <c r="N55" s="1807" t="str">
        <f>E59</f>
        <v>——</v>
      </c>
      <c r="O55" s="1755" t="str">
        <f>F59</f>
        <v>——</v>
      </c>
    </row>
    <row r="56" spans="1:35" ht="25.2">
      <c r="A56" s="3164" t="s">
        <v>2223</v>
      </c>
      <c r="B56" s="3146"/>
      <c r="C56" s="3146"/>
      <c r="D56" s="185">
        <f ca="1">IF(H56="个人住宅",D57,D58)</f>
        <v>48937</v>
      </c>
      <c r="E56" s="11" t="s">
        <v>2224</v>
      </c>
      <c r="F56" s="184" t="str">
        <f>IF(H56="正常",F58,"免征")</f>
        <v>——</v>
      </c>
      <c r="G56" s="2483" t="s">
        <v>2225</v>
      </c>
      <c r="H56" s="2484" t="s">
        <v>2222</v>
      </c>
      <c r="I56" s="2485"/>
      <c r="J56" s="1809"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3.2">
      <c r="A57" s="183" t="s">
        <v>2198</v>
      </c>
      <c r="B57" s="3131" t="s">
        <v>2226</v>
      </c>
      <c r="C57" s="3132"/>
      <c r="D57" s="187">
        <v>0</v>
      </c>
      <c r="E57" s="23" t="s">
        <v>2200</v>
      </c>
      <c r="F57" s="155"/>
      <c r="G57" s="2481"/>
      <c r="H57" s="2485"/>
      <c r="I57" s="2485"/>
      <c r="J57" s="3100">
        <f>IF(AND(J55="",J56=""),4,IF(项目基本情况!K6="上海银行",结果表!J56+1,结果表!J55+1))</f>
        <v>4</v>
      </c>
      <c r="K57" s="3100" t="s">
        <v>2227</v>
      </c>
      <c r="L57" s="2486" t="s">
        <v>2228</v>
      </c>
      <c r="M57" s="1756"/>
      <c r="N57" s="1757">
        <f ca="1">SUMIF(M52:M56,"&lt;9e307")</f>
        <v>48980</v>
      </c>
      <c r="O57" s="2487"/>
      <c r="P57" s="1750">
        <f ca="1">N57/M49</f>
        <v>0.86751682607155511</v>
      </c>
    </row>
    <row r="58" spans="1:35" ht="25.2">
      <c r="A58" s="183" t="s">
        <v>2209</v>
      </c>
      <c r="B58" s="3131" t="s">
        <v>2229</v>
      </c>
      <c r="C58" s="3144"/>
      <c r="D58" s="185">
        <f ca="1">IF(H58="转让取得",C81,C97)</f>
        <v>48937</v>
      </c>
      <c r="E58" s="11" t="s">
        <v>2224</v>
      </c>
      <c r="F58" s="24" t="s">
        <v>34</v>
      </c>
      <c r="G58" s="2481"/>
      <c r="H58" s="2484" t="s">
        <v>2230</v>
      </c>
      <c r="I58" s="2485"/>
      <c r="J58" s="3100"/>
      <c r="K58" s="3100"/>
      <c r="L58" s="2486" t="s">
        <v>2231</v>
      </c>
      <c r="M58" s="1758"/>
      <c r="N58" s="2488" t="str">
        <f ca="1">NUMBERSTRING(INT(N57*10000),2)&amp;"元整"</f>
        <v>肆亿捌仟玖佰捌拾万元整</v>
      </c>
      <c r="O58" s="2489"/>
    </row>
    <row r="59" spans="1:35" ht="24.6" thickBot="1">
      <c r="A59" s="3104" t="s">
        <v>2232</v>
      </c>
      <c r="B59" s="3105"/>
      <c r="C59" s="3105"/>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102">
        <f>J57+1</f>
        <v>5</v>
      </c>
      <c r="K59" s="3100" t="s">
        <v>2234</v>
      </c>
      <c r="L59" s="1809" t="s">
        <v>2228</v>
      </c>
      <c r="M59" s="1759"/>
      <c r="N59" s="1760">
        <f ca="1">M49-N57</f>
        <v>7480</v>
      </c>
      <c r="O59" s="2491"/>
    </row>
    <row r="60" spans="1:35" ht="12" customHeight="1">
      <c r="A60" s="2492"/>
      <c r="B60" s="2414"/>
      <c r="C60" s="2414"/>
      <c r="D60" s="2414"/>
      <c r="E60" s="2162"/>
      <c r="F60" s="2485"/>
      <c r="G60" s="2485"/>
      <c r="H60" s="2493"/>
      <c r="I60" s="138"/>
      <c r="J60" s="3103"/>
      <c r="K60" s="3100"/>
      <c r="L60" s="2486" t="s">
        <v>2231</v>
      </c>
      <c r="M60" s="1758"/>
      <c r="N60" s="2488" t="str">
        <f ca="1">NUMBERSTRING(INT(N59*10000),2)&amp;"元整"</f>
        <v>柒仟肆佰捌拾万元整</v>
      </c>
      <c r="O60" s="2489"/>
    </row>
    <row r="61" spans="1:35" ht="13.8" thickBot="1">
      <c r="A61" s="3163" t="s">
        <v>2235</v>
      </c>
      <c r="B61" s="3163"/>
      <c r="C61" s="3163"/>
      <c r="D61" s="3163"/>
      <c r="E61" s="3163"/>
      <c r="F61" s="2485"/>
      <c r="G61" s="2485"/>
      <c r="H61" s="2493"/>
      <c r="I61" s="138"/>
      <c r="J61" s="1809">
        <f>J59+1</f>
        <v>6</v>
      </c>
      <c r="K61" s="3100" t="s">
        <v>2236</v>
      </c>
      <c r="L61" s="3100"/>
      <c r="M61" s="1761"/>
      <c r="N61" s="1762">
        <f ca="1">ROUND(N59*10000/'数据-汇总表'!E3,0)</f>
        <v>862</v>
      </c>
      <c r="O61" s="2494"/>
    </row>
    <row r="62" spans="1:35" ht="13.2">
      <c r="A62" s="3120" t="s">
        <v>2237</v>
      </c>
      <c r="B62" s="3121"/>
      <c r="C62" s="1801"/>
      <c r="D62" s="1801" t="s">
        <v>2238</v>
      </c>
      <c r="E62" s="192" t="s">
        <v>2239</v>
      </c>
      <c r="F62" s="2485"/>
      <c r="G62" s="2485"/>
      <c r="H62" s="2493"/>
      <c r="I62" s="138"/>
    </row>
    <row r="63" spans="1:35" ht="13.2">
      <c r="A63" s="203" t="s">
        <v>775</v>
      </c>
      <c r="B63" s="193" t="s">
        <v>2240</v>
      </c>
      <c r="C63" s="194">
        <f ca="1">ROUND((C64+C65)/(1+'数据-取费表'!C42),0)</f>
        <v>82343</v>
      </c>
      <c r="D63" s="195"/>
      <c r="E63" s="196"/>
      <c r="F63" s="2485"/>
      <c r="G63" s="2485"/>
      <c r="H63" s="2493"/>
      <c r="I63" s="138"/>
      <c r="J63" s="3085" t="s">
        <v>2241</v>
      </c>
      <c r="K63" s="2495" t="s">
        <v>2242</v>
      </c>
      <c r="L63" s="1749">
        <f ca="1">IF(M49&gt;10000,M49*0.5%,IF(AND(M49&gt;1000,M49&lt;=10000),M49*1%,IF(AND(M49&gt;100,M49&lt;=1000),M49*3%,IF(AND(M49&gt;10,M49&lt;=100),M49*5%,M49*8%))))</f>
        <v>282.3</v>
      </c>
      <c r="M63" s="24">
        <f ca="1">ROUND(L63,1)</f>
        <v>282.3</v>
      </c>
      <c r="Z63" s="2419"/>
      <c r="AI63" s="2420"/>
    </row>
    <row r="64" spans="1:35" ht="14.25" customHeight="1">
      <c r="A64" s="197" t="s">
        <v>770</v>
      </c>
      <c r="B64" s="198" t="s">
        <v>2243</v>
      </c>
      <c r="C64" s="199">
        <f ca="1">D45</f>
        <v>86460</v>
      </c>
      <c r="D64" s="200" t="s">
        <v>32</v>
      </c>
      <c r="E64" s="201"/>
      <c r="F64" s="2485"/>
      <c r="G64" s="2485"/>
      <c r="H64" s="2493"/>
      <c r="I64" s="138"/>
      <c r="J64" s="3085"/>
      <c r="K64" s="2495" t="s">
        <v>2244</v>
      </c>
      <c r="L64" s="1749">
        <f ca="1">IF(M49&gt;2000,M49*0.5%,IF(AND(M49&gt;1000,M49&lt;=2000),M49*0.6%,IF(AND(M49&gt;500,M49&lt;=1000),M49*0.7%,IF(AND(M49&gt;200,M49&lt;=500),M49*0.8%,IF(AND(M49&gt;100,M49&lt;=200),M49*0.9%,IF(AND(M49&gt;50,M49&lt;=100),M49*1%,IF(AND(M49&gt;20,M49&lt;=50),M49*1.5%,IF(AND(M49&gt;10,M49&lt;=20),M49*2%,IF(AND(M49&gt;1,M49&lt;=10),M49*2.5%)))))))))</f>
        <v>282.3</v>
      </c>
      <c r="M64" s="24">
        <f t="shared" ref="M64:M65" ca="1" si="1">ROUND(L64,1)</f>
        <v>282.3</v>
      </c>
      <c r="N64" s="138" t="s">
        <v>2245</v>
      </c>
      <c r="Z64" s="2419"/>
      <c r="AI64" s="2420"/>
    </row>
    <row r="65" spans="1:35" ht="14.25" customHeight="1">
      <c r="A65" s="197" t="s">
        <v>771</v>
      </c>
      <c r="B65" s="198" t="s">
        <v>2246</v>
      </c>
      <c r="C65" s="202"/>
      <c r="D65" s="200"/>
      <c r="E65" s="201"/>
      <c r="F65" s="2485"/>
      <c r="G65" s="2485"/>
      <c r="H65" s="2493"/>
      <c r="I65" s="138"/>
      <c r="J65" s="3085"/>
      <c r="K65" s="2495" t="s">
        <v>2247</v>
      </c>
      <c r="L65" s="1749">
        <f ca="1">IF(M49&gt;1000,M49*0.1%,IF(AND(M49&gt;500,M49&lt;=1000),M49*0.5%,IF(AND(M49&gt;50,M49&lt;=500),M49*1%,IF(AND(M49&gt;1,M49&lt;=50),M49*1.5%))))</f>
        <v>56.46</v>
      </c>
      <c r="M65" s="24">
        <f t="shared" ca="1" si="1"/>
        <v>56.5</v>
      </c>
      <c r="N65" s="138" t="s">
        <v>2245</v>
      </c>
      <c r="Z65" s="2419"/>
      <c r="AI65" s="2420"/>
    </row>
    <row r="66" spans="1:35" ht="14.25" customHeight="1">
      <c r="A66" s="203" t="s">
        <v>772</v>
      </c>
      <c r="B66" s="204" t="s">
        <v>2248</v>
      </c>
      <c r="C66" s="205"/>
      <c r="D66" s="206" t="s">
        <v>32</v>
      </c>
      <c r="E66" s="1773" t="s">
        <v>1371</v>
      </c>
      <c r="F66" s="2485"/>
      <c r="G66" s="2485"/>
      <c r="H66" s="2493"/>
      <c r="I66" s="138"/>
      <c r="J66" s="3085"/>
      <c r="K66" s="2495" t="s">
        <v>2249</v>
      </c>
      <c r="L66" s="1749">
        <f ca="1">M49*0.5%</f>
        <v>282.3</v>
      </c>
      <c r="M66" s="24">
        <f ca="1">IF(L66&gt;0.5,0.5,ROUND(L66,0))</f>
        <v>0.5</v>
      </c>
      <c r="N66" s="138" t="s">
        <v>2250</v>
      </c>
      <c r="Z66" s="2419"/>
      <c r="AI66" s="2420"/>
    </row>
    <row r="67" spans="1:35" ht="14.25" customHeight="1">
      <c r="A67" s="203" t="s">
        <v>773</v>
      </c>
      <c r="B67" s="204" t="s">
        <v>2251</v>
      </c>
      <c r="C67" s="207">
        <f ca="1">C63-C66</f>
        <v>82343</v>
      </c>
      <c r="D67" s="200" t="s">
        <v>32</v>
      </c>
      <c r="E67" s="201"/>
      <c r="F67" s="2485"/>
      <c r="G67" s="2485"/>
      <c r="H67" s="2493"/>
      <c r="I67" s="138"/>
      <c r="J67" s="3085"/>
      <c r="K67" s="2495" t="s">
        <v>2252</v>
      </c>
      <c r="L67" s="1749">
        <f ca="1">IF(M49&gt;=10000,(8.25+(M49-10000)*0.01%),IF(AND(M49&gt;=8000,M49&lt;10000),(7.85+(M49-8000)*0.02%),IF(AND(M49&gt;=5000,M49&lt;8000),(6.65+(M49-5000)*0.04%),IF(AND(M49&gt;=2000,M49&lt;5000),(4.25+(PM49-2000)*0.08%),IF(AND(M49&gt;=1000,M49&lt;2000),(2.75+(M49-1000)*0.15%),IF(AND(M49&gt;=100,M49&lt;1000),(0.5+(M49-100)*0.25%),IF(AND(M49&gt;0,M49&lt;100),M49*0.5%)))))))</f>
        <v>12.896000000000001</v>
      </c>
      <c r="M67" s="24">
        <f ca="1">ROUND(L67*0.9,1)</f>
        <v>11.6</v>
      </c>
      <c r="Z67" s="2419"/>
      <c r="AI67" s="2420"/>
    </row>
    <row r="68" spans="1:35" ht="14.25" customHeight="1" thickBot="1">
      <c r="A68" s="208" t="s">
        <v>774</v>
      </c>
      <c r="B68" s="209" t="s">
        <v>2253</v>
      </c>
      <c r="C68" s="210">
        <f ca="1">IF(C67&lt;=0,0,ROUND(C67*D68,0))</f>
        <v>4611</v>
      </c>
      <c r="D68" s="211">
        <f>'数据-取费表'!B41</f>
        <v>5.6000000000000001E-2</v>
      </c>
      <c r="E68" s="212"/>
      <c r="F68" s="2485"/>
      <c r="G68" s="2485"/>
      <c r="H68" s="2493"/>
      <c r="I68" s="138"/>
      <c r="J68" s="3085"/>
      <c r="K68" s="2495" t="s">
        <v>2254</v>
      </c>
      <c r="L68" s="1749">
        <f ca="1">IF(M49&gt;10000,M49*0.5%,IF(AND(M49&gt;5000,M49&lt;=10000),M49*1%,IF(AND(M49&gt;1000,M49&lt;=5000),M49*2%,IF(AND(M49&gt;200,M49&lt;=1000),M49*3%,M49*5%))))</f>
        <v>282.3</v>
      </c>
      <c r="M68" s="24">
        <f ca="1">ROUND(L68,1)</f>
        <v>282.3</v>
      </c>
      <c r="Z68" s="2419"/>
      <c r="AI68" s="2420"/>
    </row>
    <row r="69" spans="1:35" s="2442" customFormat="1" ht="16.5" customHeight="1">
      <c r="A69" s="2496"/>
      <c r="B69" s="2497"/>
      <c r="C69" s="2498"/>
      <c r="D69" s="2499"/>
      <c r="E69" s="2500"/>
      <c r="F69" s="2162"/>
      <c r="G69" s="2162"/>
      <c r="H69" s="2161"/>
      <c r="I69" s="2414"/>
      <c r="J69" s="3085"/>
      <c r="K69" s="2495" t="s">
        <v>2255</v>
      </c>
      <c r="L69" s="2501"/>
      <c r="M69" s="24">
        <f ca="1">ROUND(SUM(M63:M68),0)</f>
        <v>916</v>
      </c>
      <c r="N69" s="1750">
        <f ca="1">M69/M49</f>
        <v>1.622387530995395E-2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29" t="s">
        <v>2256</v>
      </c>
      <c r="B70" s="3130"/>
      <c r="C70" s="3130"/>
      <c r="D70" s="3130"/>
      <c r="E70" s="3130"/>
      <c r="F70" s="3130"/>
      <c r="G70" s="3130"/>
      <c r="H70" s="313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20" t="s">
        <v>2237</v>
      </c>
      <c r="B71" s="3121"/>
      <c r="C71" s="1801"/>
      <c r="D71" s="1801"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2257</v>
      </c>
      <c r="C72" s="207">
        <f ca="1">ROUND(D45/(1+'数据-取费表'!C42),0)</f>
        <v>82343</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2258</v>
      </c>
      <c r="C73" s="207">
        <f ca="1">C74+C78</f>
        <v>494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2259</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2264</v>
      </c>
      <c r="C76" s="200">
        <f>IF(F75="购房发票",ROUND(C75*H75*D76,0),0)</f>
        <v>0</v>
      </c>
      <c r="D76" s="222">
        <v>0.05</v>
      </c>
      <c r="E76" s="3126" t="s">
        <v>2265</v>
      </c>
      <c r="F76" s="3125"/>
      <c r="G76" s="3125"/>
      <c r="H76" s="312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2269</v>
      </c>
      <c r="C78" s="225">
        <f ca="1">ROUND(D45*D78/(1+'数据-取费表'!C42),0)</f>
        <v>494</v>
      </c>
      <c r="D78" s="226">
        <f>'数据-取费表'!B43</f>
        <v>6.000000000000001E-3</v>
      </c>
      <c r="E78" s="3117" t="s">
        <v>2270</v>
      </c>
      <c r="F78" s="3118"/>
      <c r="G78" s="3118"/>
      <c r="H78" s="311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2271</v>
      </c>
      <c r="C79" s="207">
        <f ca="1">C72-C73</f>
        <v>81849</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2272</v>
      </c>
      <c r="C80" s="227">
        <f ca="1">IF(C79&lt;=0,0,C79/C73)</f>
        <v>165.68623481781376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2273</v>
      </c>
      <c r="C81" s="228">
        <f ca="1">ROUND(IF(C79&lt;=0,0,IF(C80&gt;=200%,C79*60%-C73*35%,IF(C80&gt;=100%,C79*50%-C73*15%,IF(C80&gt;=50%,C79*40%-C73*5%,IF(C80&lt;50%,C79*30%,0))))),0)</f>
        <v>48937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29" t="s">
        <v>2274</v>
      </c>
      <c r="B83" s="3130"/>
      <c r="C83" s="3130"/>
      <c r="D83" s="3130"/>
      <c r="E83" s="3130"/>
      <c r="F83" s="3130"/>
      <c r="G83" s="3130"/>
      <c r="H83" s="313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20" t="s">
        <v>2237</v>
      </c>
      <c r="B84" s="3121"/>
      <c r="C84" s="1801"/>
      <c r="D84" s="1801"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2257</v>
      </c>
      <c r="C85" s="207">
        <f ca="1">ROUND(D45/(1+'数据-取费表'!C42),0)</f>
        <v>82343</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2258</v>
      </c>
      <c r="C86" s="207">
        <f ca="1">IF(H88="仅含出让金",C87+C90+C91+C92+C93+C94,C87+C91+C92+C93+C94)</f>
        <v>494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2275</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2276</v>
      </c>
      <c r="C88" s="236"/>
      <c r="D88" s="226"/>
      <c r="E88" s="237" t="s">
        <v>2277</v>
      </c>
      <c r="F88" s="1797"/>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2266</v>
      </c>
      <c r="C89" s="225">
        <f>ROUND(C88*D89,0)</f>
        <v>0</v>
      </c>
      <c r="D89" s="226">
        <f>'数据-取费表'!B48+'数据-取费表'!B49</f>
        <v>3.0499999999999999E-2</v>
      </c>
      <c r="E89" s="237" t="s">
        <v>2279</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2280</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2281</v>
      </c>
      <c r="B91" s="198" t="s">
        <v>2282</v>
      </c>
      <c r="C91" s="225">
        <f>IF(H91="——",成本法!C33,I91)</f>
        <v>0</v>
      </c>
      <c r="D91" s="226"/>
      <c r="E91" s="3117" t="s">
        <v>2283</v>
      </c>
      <c r="F91" s="3118"/>
      <c r="G91" s="3118"/>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2285</v>
      </c>
      <c r="B92" s="198" t="s">
        <v>2286</v>
      </c>
      <c r="C92" s="225">
        <f>ROUND((C87+C90+C91)*D92,0)</f>
        <v>0</v>
      </c>
      <c r="D92" s="226">
        <v>0.1</v>
      </c>
      <c r="E92" s="3117" t="s">
        <v>2287</v>
      </c>
      <c r="F92" s="3118"/>
      <c r="G92" s="3118"/>
      <c r="H92" s="311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2288</v>
      </c>
      <c r="B93" s="198" t="s">
        <v>2269</v>
      </c>
      <c r="C93" s="225">
        <f ca="1">ROUND(D45*D93/(1+'数据-取费表'!C42),0)</f>
        <v>494</v>
      </c>
      <c r="D93" s="226">
        <f>'数据-取费表'!B43</f>
        <v>6.000000000000001E-3</v>
      </c>
      <c r="E93" s="3117" t="s">
        <v>2270</v>
      </c>
      <c r="F93" s="3118"/>
      <c r="G93" s="3118"/>
      <c r="H93" s="311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2289</v>
      </c>
      <c r="B94" s="198" t="s">
        <v>2290</v>
      </c>
      <c r="C94" s="236">
        <f>ROUND((C87+C90+C91)*D94,0)</f>
        <v>0</v>
      </c>
      <c r="D94" s="226">
        <v>0.2</v>
      </c>
      <c r="E94" s="3165" t="s">
        <v>2291</v>
      </c>
      <c r="F94" s="3166"/>
      <c r="G94" s="3166"/>
      <c r="H94" s="316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2271</v>
      </c>
      <c r="C95" s="207">
        <f ca="1">ROUND(C85-C86,0)</f>
        <v>81849</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2272</v>
      </c>
      <c r="C96" s="227">
        <f ca="1">IF(C95&lt;=0,0,C95/C86)</f>
        <v>165.68623481781376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2273</v>
      </c>
      <c r="C97" s="228">
        <f ca="1">ROUND(IF(C95&lt;=0,0,IF(C96&gt;=200%,C95*60%-C86*35%,IF(C96&gt;=100%,C95*50%-C86*15%,IF(C96&gt;=50%,C95*40%-C86*5%,IF(C96&lt;50%,C95*30%,0))))),0)</f>
        <v>48937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2292</v>
      </c>
      <c r="B99" s="2414"/>
      <c r="C99" s="2414"/>
      <c r="D99" s="2414"/>
      <c r="E99" s="2162"/>
      <c r="F99" s="2162"/>
      <c r="G99" s="2162"/>
      <c r="H99" s="2161"/>
      <c r="I99" s="138"/>
    </row>
    <row r="100" spans="1:35" ht="18.75" customHeight="1">
      <c r="A100" s="3069" t="s">
        <v>2293</v>
      </c>
      <c r="B100" s="3070"/>
      <c r="C100" s="3070"/>
      <c r="D100" s="3101"/>
      <c r="E100" s="3070" t="s">
        <v>2294</v>
      </c>
      <c r="F100" s="3070"/>
      <c r="G100" s="3070"/>
      <c r="H100" s="3101"/>
      <c r="I100" s="138"/>
    </row>
    <row r="101" spans="1:35" ht="18.75" customHeight="1">
      <c r="A101" s="3109" t="s">
        <v>2295</v>
      </c>
      <c r="B101" s="3110"/>
      <c r="C101" s="736" t="str">
        <f>C4</f>
        <v>成本法</v>
      </c>
      <c r="D101" s="737" t="str">
        <f>D4</f>
        <v>假设开发法</v>
      </c>
      <c r="E101" s="3081" t="s">
        <v>2296</v>
      </c>
      <c r="F101" s="3082"/>
      <c r="G101" s="2516" t="s">
        <v>2297</v>
      </c>
      <c r="H101" s="1045">
        <f ca="1">H118</f>
        <v>86460</v>
      </c>
      <c r="I101" s="138"/>
    </row>
    <row r="102" spans="1:35" ht="18.75" customHeight="1">
      <c r="A102" s="3111" t="s">
        <v>2298</v>
      </c>
      <c r="B102" s="2516" t="s">
        <v>2297</v>
      </c>
      <c r="C102" s="736">
        <f ca="1">C19</f>
        <v>84395</v>
      </c>
      <c r="D102" s="737">
        <f ca="1">D19</f>
        <v>88524</v>
      </c>
      <c r="E102" s="3081"/>
      <c r="F102" s="3082"/>
      <c r="G102" s="2516" t="s">
        <v>2299</v>
      </c>
      <c r="H102" s="371">
        <f ca="1">I118</f>
        <v>9966</v>
      </c>
      <c r="I102" s="138"/>
    </row>
    <row r="103" spans="1:35" ht="42.75" customHeight="1">
      <c r="A103" s="3111"/>
      <c r="B103" s="2516" t="s">
        <v>2299</v>
      </c>
      <c r="C103" s="738">
        <f ca="1">C20</f>
        <v>9728</v>
      </c>
      <c r="D103" s="739">
        <f ca="1">D20</f>
        <v>10204</v>
      </c>
      <c r="E103" s="3075" t="s">
        <v>2300</v>
      </c>
      <c r="F103" s="3076"/>
      <c r="G103" s="2517" t="s">
        <v>2301</v>
      </c>
      <c r="H103" s="1045">
        <f>IF(D36="正常操作",H104+H105+H106,H105+H106)</f>
        <v>30000</v>
      </c>
      <c r="I103" s="138"/>
    </row>
    <row r="104" spans="1:35" ht="18.75" customHeight="1">
      <c r="A104" s="3111" t="s">
        <v>2302</v>
      </c>
      <c r="B104" s="2518" t="s">
        <v>2297</v>
      </c>
      <c r="C104" s="740">
        <f ca="1">H118</f>
        <v>86460</v>
      </c>
      <c r="D104" s="741"/>
      <c r="E104" s="2262" t="s">
        <v>2303</v>
      </c>
      <c r="F104" s="2254"/>
      <c r="G104" s="2517" t="s">
        <v>2301</v>
      </c>
      <c r="H104" s="1046">
        <f>IF(D36="同一抵押权人同一抵押物续贷",C36&amp;"（未扣减，详见特别提示）",C36)</f>
        <v>0</v>
      </c>
      <c r="I104" s="138"/>
    </row>
    <row r="105" spans="1:35" ht="18.75" customHeight="1" thickBot="1">
      <c r="A105" s="3123"/>
      <c r="B105" s="2519" t="s">
        <v>2299</v>
      </c>
      <c r="C105" s="742">
        <f ca="1">I118</f>
        <v>9966</v>
      </c>
      <c r="D105" s="743"/>
      <c r="E105" s="2262" t="s">
        <v>2304</v>
      </c>
      <c r="F105" s="2254"/>
      <c r="G105" s="2517" t="s">
        <v>2301</v>
      </c>
      <c r="H105" s="1046">
        <f>C37</f>
        <v>30000</v>
      </c>
      <c r="I105" s="138"/>
    </row>
    <row r="106" spans="1:35" ht="18.75" customHeight="1">
      <c r="A106" s="2414" t="s">
        <v>2305</v>
      </c>
      <c r="B106" s="2414"/>
      <c r="C106" s="2414"/>
      <c r="D106" s="2414"/>
      <c r="E106" s="2520" t="s">
        <v>2306</v>
      </c>
      <c r="F106" s="2254"/>
      <c r="G106" s="2517" t="s">
        <v>2301</v>
      </c>
      <c r="H106" s="1046">
        <f>C38</f>
        <v>0</v>
      </c>
      <c r="I106" s="138"/>
    </row>
    <row r="107" spans="1:35" ht="18.75" customHeight="1">
      <c r="A107" s="138"/>
      <c r="B107" s="138"/>
      <c r="C107" s="138"/>
      <c r="D107" s="138"/>
      <c r="E107" s="3112" t="str">
        <f>IF(项目基本情况!E8="已注销","——","3.房地产抵押价值")</f>
        <v>3.房地产抵押价值</v>
      </c>
      <c r="F107" s="3082"/>
      <c r="G107" s="2516" t="s">
        <v>2297</v>
      </c>
      <c r="H107" s="1045">
        <f ca="1">IF(E107="——","——",H101-H103)</f>
        <v>56460</v>
      </c>
      <c r="I107" s="138"/>
    </row>
    <row r="108" spans="1:35" ht="18.75" customHeight="1">
      <c r="A108" s="138"/>
      <c r="B108" s="138"/>
      <c r="C108" s="138"/>
      <c r="D108" s="138"/>
      <c r="E108" s="3112"/>
      <c r="F108" s="3082"/>
      <c r="G108" s="2516" t="s">
        <v>2299</v>
      </c>
      <c r="H108" s="371">
        <f ca="1">ROUND(H107*10000/'数据-汇总表'!E3,0)</f>
        <v>6508</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16" t="s">
        <v>2297</v>
      </c>
      <c r="H109" s="348" t="str">
        <f>IF(E109="——","——",H101-H105-H106)</f>
        <v>——</v>
      </c>
      <c r="I109" s="138"/>
    </row>
    <row r="110" spans="1:35" ht="18.75" customHeight="1">
      <c r="A110" s="138"/>
      <c r="B110" s="138"/>
      <c r="C110" s="138"/>
      <c r="D110" s="138"/>
      <c r="E110" s="3112"/>
      <c r="F110" s="3082"/>
      <c r="G110" s="2516" t="s">
        <v>2299</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4.抵押净值</v>
      </c>
      <c r="F111" s="3114"/>
      <c r="G111" s="2516" t="s">
        <v>2297</v>
      </c>
      <c r="H111" s="1045">
        <f ca="1">IF(E111="——","——",N59)</f>
        <v>7480</v>
      </c>
      <c r="I111" s="138"/>
    </row>
    <row r="112" spans="1:35" ht="18.75" customHeight="1" thickBot="1">
      <c r="A112" s="138"/>
      <c r="B112" s="138"/>
      <c r="C112" s="138"/>
      <c r="D112" s="138"/>
      <c r="E112" s="3115"/>
      <c r="F112" s="3116"/>
      <c r="G112" s="2521" t="s">
        <v>2299</v>
      </c>
      <c r="H112" s="790">
        <f ca="1">IF(E111="——","——",N61)</f>
        <v>862</v>
      </c>
      <c r="I112" s="138"/>
    </row>
    <row r="113" spans="1:11" ht="18.75" customHeight="1">
      <c r="A113" s="138"/>
      <c r="B113" s="138"/>
      <c r="C113" s="138"/>
      <c r="D113" s="138"/>
      <c r="E113" s="3124" t="s">
        <v>2305</v>
      </c>
      <c r="F113" s="3124"/>
      <c r="G113" s="3124"/>
      <c r="H113" s="3124"/>
      <c r="I113" s="138"/>
    </row>
    <row r="114" spans="1:11" ht="3.75" customHeight="1">
      <c r="A114" s="2414"/>
      <c r="B114" s="2414"/>
      <c r="C114" s="2414"/>
      <c r="D114" s="2414"/>
      <c r="E114" s="2492"/>
      <c r="F114" s="2492"/>
      <c r="G114" s="2492"/>
      <c r="H114" s="2492"/>
      <c r="I114" s="2414"/>
    </row>
    <row r="115" spans="1:11" ht="18.75" customHeight="1">
      <c r="A115" s="3137" t="s">
        <v>2307</v>
      </c>
      <c r="B115" s="3138"/>
      <c r="C115" s="3138"/>
      <c r="D115" s="3138"/>
      <c r="E115" s="3138"/>
      <c r="F115" s="3138"/>
      <c r="G115" s="3138"/>
      <c r="H115" s="3138"/>
      <c r="I115" s="3139"/>
    </row>
    <row r="116" spans="1:11" ht="27" customHeight="1">
      <c r="A116" s="3047" t="s">
        <v>2308</v>
      </c>
      <c r="B116" s="3091" t="s">
        <v>2309</v>
      </c>
      <c r="C116" s="3091" t="s">
        <v>2310</v>
      </c>
      <c r="D116" s="3097" t="s">
        <v>2311</v>
      </c>
      <c r="E116" s="3098"/>
      <c r="F116" s="3133" t="s">
        <v>2312</v>
      </c>
      <c r="G116" s="3133"/>
      <c r="H116" s="3047" t="s">
        <v>2313</v>
      </c>
      <c r="I116" s="3047"/>
    </row>
    <row r="117" spans="1:11" ht="18.75" customHeight="1">
      <c r="A117" s="3047"/>
      <c r="B117" s="3092"/>
      <c r="C117" s="3092"/>
      <c r="D117" s="1795" t="s">
        <v>2314</v>
      </c>
      <c r="E117" s="1795" t="s">
        <v>2315</v>
      </c>
      <c r="F117" s="1795" t="s">
        <v>2314</v>
      </c>
      <c r="G117" s="1795" t="s">
        <v>2316</v>
      </c>
      <c r="H117" s="1795" t="s">
        <v>2314</v>
      </c>
      <c r="I117" s="1795" t="s">
        <v>2316</v>
      </c>
    </row>
    <row r="118" spans="1:11" ht="24.75" customHeight="1">
      <c r="A118" s="2522" t="str">
        <f>项目基本情况!S2</f>
        <v>浙江省湖州市吴兴区乌山单元02-06D号地块出让国有建设用地使用权及在建建筑物房地产</v>
      </c>
      <c r="B118" s="1795">
        <f>M18</f>
        <v>86753.520000000164</v>
      </c>
      <c r="C118" s="1795">
        <f>M19</f>
        <v>41386.629999999997</v>
      </c>
      <c r="D118" s="1795">
        <f ca="1">ROUND(IF(D32="总价",C34,E118*B118/10000),0)</f>
        <v>67871</v>
      </c>
      <c r="E118" s="1795">
        <f ca="1">ROUND(IF(C33="自定义",IF(D32="楼面单价",C34,D118*10000/B118),I118-G118),0)</f>
        <v>7823</v>
      </c>
      <c r="F118" s="1795">
        <f ca="1">ROUND(IF(D32="总价",C35,G118*B118/10000),0)</f>
        <v>18589</v>
      </c>
      <c r="G118" s="1795">
        <f ca="1">ROUND(IF(D32="楼面单价",C35,F118*10000/B118),0)</f>
        <v>2143</v>
      </c>
      <c r="H118" s="1795">
        <f ca="1">ROUND(IF(D32="总价",C32,I118*B118/10000),0)</f>
        <v>86460</v>
      </c>
      <c r="I118" s="1795">
        <f ca="1">ROUND(IF(D32="楼面单价",C32,H118*10000/B118),0)</f>
        <v>9966</v>
      </c>
    </row>
    <row r="119" spans="1:11" ht="18.75" customHeight="1">
      <c r="A119" s="3047" t="s">
        <v>2317</v>
      </c>
      <c r="B119" s="3047"/>
      <c r="C119" s="3047"/>
      <c r="D119" s="3093" t="str">
        <f ca="1">NUMBERSTRING(INT(D118*10000),2)&amp;"元整"</f>
        <v>陆亿柒仟捌佰柒拾壹万元整</v>
      </c>
      <c r="E119" s="3094"/>
      <c r="F119" s="3093" t="str">
        <f ca="1">NUMBERSTRING(INT(F118*10000),2)&amp;"元整"</f>
        <v>壹亿捌仟伍佰捌拾玖万元整</v>
      </c>
      <c r="G119" s="3094"/>
      <c r="H119" s="3093" t="str">
        <f ca="1">NUMBERSTRING(INT(H118*10000),2)&amp;"元整"</f>
        <v>捌亿陆仟肆佰陆拾万元整</v>
      </c>
      <c r="I119" s="3094"/>
    </row>
    <row r="120" spans="1:11" ht="18.75" customHeight="1">
      <c r="A120" s="3088" t="str">
        <f>IF(项目基本情况!B9="房地产市场价值","",MID(E103,3,LEN(E103)-2))</f>
        <v>估价师知悉的法定优先受偿款</v>
      </c>
      <c r="B120" s="3089"/>
      <c r="C120" s="3090"/>
      <c r="D120" s="3088">
        <f>H103</f>
        <v>30000</v>
      </c>
      <c r="E120" s="3089"/>
      <c r="F120" s="3089"/>
      <c r="G120" s="3089"/>
      <c r="H120" s="3089"/>
      <c r="I120" s="3090"/>
      <c r="K120" s="2419" t="str">
        <f>IF(D120=0,"故，本次评估不存在"&amp;A120,"故，本次评估"&amp;A120&amp;"为人民币"&amp;D120&amp;"万元整。")</f>
        <v>故，本次评估估价师知悉的法定优先受偿款为人民币30000万元整。</v>
      </c>
    </row>
    <row r="121" spans="1:11" ht="18.75" customHeight="1">
      <c r="A121" s="3134" t="s">
        <v>2317</v>
      </c>
      <c r="B121" s="3135"/>
      <c r="C121" s="3136"/>
      <c r="D121" s="3093" t="str">
        <f>IF(D120=0,"零元整",NUMBERSTRING(INT(D120*10000),2)&amp;"元整")</f>
        <v>叁亿元整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56460</v>
      </c>
      <c r="E122" s="3089"/>
      <c r="F122" s="3089"/>
      <c r="G122" s="3089"/>
      <c r="H122" s="3089"/>
      <c r="I122" s="3090"/>
    </row>
    <row r="123" spans="1:11" ht="18.75" customHeight="1">
      <c r="A123" s="3047" t="s">
        <v>2317</v>
      </c>
      <c r="B123" s="3047"/>
      <c r="C123" s="3047"/>
      <c r="D123" s="3093" t="str">
        <f ca="1">NUMBERSTRING(INT(D122*10000),2)&amp;"元整"</f>
        <v>伍亿陆仟肆佰陆拾万元整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7" t="s">
        <v>2317</v>
      </c>
      <c r="B125" s="3047"/>
      <c r="C125" s="3047"/>
      <c r="D125" s="3093" t="e">
        <f>NUMBERSTRING(INT(D124*10000),2)&amp;"元整"</f>
        <v>#VALUE!</v>
      </c>
      <c r="E125" s="3095"/>
      <c r="F125" s="3095"/>
      <c r="G125" s="3095"/>
      <c r="H125" s="3095"/>
      <c r="I125" s="3094"/>
    </row>
    <row r="126" spans="1:11" ht="18.75" customHeight="1">
      <c r="A126" s="3099" t="str">
        <f>IF(项目基本情况!B9="房地产市场价值","",MID(E111,3,LEN(E111)-2))</f>
        <v>抵押净值</v>
      </c>
      <c r="B126" s="3099"/>
      <c r="C126" s="3099"/>
      <c r="D126" s="3088">
        <f ca="1">H111</f>
        <v>7480</v>
      </c>
      <c r="E126" s="3089"/>
      <c r="F126" s="3089"/>
      <c r="G126" s="3089"/>
      <c r="H126" s="3089"/>
      <c r="I126" s="3090"/>
    </row>
    <row r="127" spans="1:11" ht="18.75" customHeight="1">
      <c r="A127" s="3047" t="s">
        <v>2317</v>
      </c>
      <c r="B127" s="3047"/>
      <c r="C127" s="3047"/>
      <c r="D127" s="3093" t="str">
        <f ca="1">NUMBERSTRING(INT(D126*10000),2)&amp;"元整"</f>
        <v>柒仟肆佰捌拾万元整</v>
      </c>
      <c r="E127" s="3095"/>
      <c r="F127" s="3095"/>
      <c r="G127" s="3095"/>
      <c r="H127" s="3095"/>
      <c r="I127" s="3094"/>
    </row>
    <row r="128" spans="1:11" ht="21.75" customHeight="1">
      <c r="A128" s="3096" t="s">
        <v>2318</v>
      </c>
      <c r="B128" s="3096"/>
      <c r="C128" s="3096"/>
      <c r="D128" s="3096"/>
      <c r="E128" s="3096"/>
      <c r="F128" s="3096"/>
      <c r="G128" s="3096"/>
      <c r="H128" s="3096"/>
      <c r="I128" s="3096"/>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2321</v>
      </c>
      <c r="G135" s="2540"/>
      <c r="H135" s="2540"/>
      <c r="I135" s="2541" t="s">
        <v>2322</v>
      </c>
    </row>
    <row r="136" spans="1:35" ht="21.75" customHeight="1">
      <c r="A136" s="795"/>
      <c r="B136" s="2542"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2324</v>
      </c>
    </row>
    <row r="139" spans="1:35" ht="21.75" customHeight="1">
      <c r="A139" s="795"/>
      <c r="B139" s="2542" t="s">
        <v>2325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2324</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浙江省湖州市吴兴区乌山单元02-06D号地块出让国有建设用地使用权及在建建筑物房地产抵押价值预评估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42" t="str">
        <f>项目基本情况!B5</f>
        <v>湖州崇源房地产开发有限公司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c r="B46" s="1942" t="str">
        <f ca="1">项目基本情况!K4</f>
        <v>王鹏（注册号：1120050019)、崔锴（注册号：1120100036)</v>
      </c>
    </row>
    <row r="47" spans="1:9">
      <c r="A47" s="1014"/>
      <c r="B47" s="1014" t="str">
        <f>项目基本情况!K5</f>
        <v/>
      </c>
    </row>
    <row r="48" spans="1:9">
      <c r="A48" s="1014" t="s">
        <v>818</v>
      </c>
      <c r="B48" s="1014" t="s">
        <v>824</v>
      </c>
    </row>
    <row r="49" spans="2:2">
      <c r="B49" s="1942" t="str">
        <f>"康正预评字"&amp;项目基本情况!B2&amp;"号"</f>
        <v>康正预评字 2018-1-0652-P01DYGJ1号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1" sqref="K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7"/>
      <c r="C1" s="242"/>
      <c r="D1" s="242"/>
      <c r="E1" s="242"/>
      <c r="F1" s="242"/>
      <c r="G1" s="1379">
        <f>MATCH(B1,'数据-取费表'!A6:A16,0)+5</f>
        <v>12</v>
      </c>
    </row>
    <row r="2" spans="1:9" s="244" customFormat="1" ht="18" customHeight="1">
      <c r="A2" s="245" t="s">
        <v>2327</v>
      </c>
      <c r="B2" s="246">
        <f ca="1">IF(D2="——",C52,C52-E2)</f>
        <v>84395</v>
      </c>
      <c r="C2" s="243" t="s">
        <v>2328</v>
      </c>
      <c r="D2" s="2545" t="s">
        <v>70</v>
      </c>
      <c r="E2" s="1440"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9728</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52355</v>
      </c>
      <c r="D5" s="255" t="s">
        <v>2334</v>
      </c>
      <c r="E5" s="256" t="s">
        <v>2335</v>
      </c>
      <c r="F5" s="256" t="s">
        <v>2336</v>
      </c>
      <c r="G5" s="257"/>
    </row>
    <row r="6" spans="1:9" s="258" customFormat="1" ht="13.5" customHeight="1">
      <c r="A6" s="949" t="s">
        <v>2337</v>
      </c>
      <c r="B6" s="259" t="s">
        <v>2338</v>
      </c>
      <c r="C6" s="260">
        <f>'土地比较法-住宅、综合'!B2</f>
        <v>50236</v>
      </c>
      <c r="D6" s="261"/>
      <c r="E6" s="262"/>
      <c r="F6" s="262"/>
      <c r="G6" s="263"/>
    </row>
    <row r="7" spans="1:9" s="258" customFormat="1" ht="13.5" customHeight="1">
      <c r="A7" s="949" t="s">
        <v>2339</v>
      </c>
      <c r="B7" s="259" t="s">
        <v>2340</v>
      </c>
      <c r="C7" s="264">
        <f>ROUND(C6*F7,0)</f>
        <v>1532</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587</v>
      </c>
      <c r="D8" s="266"/>
      <c r="E8" s="264"/>
      <c r="F8" s="265"/>
      <c r="G8" s="2548" t="s">
        <v>3097</v>
      </c>
    </row>
    <row r="9" spans="1:9" s="258" customFormat="1" ht="13.5" customHeight="1">
      <c r="A9" s="950" t="s">
        <v>800</v>
      </c>
      <c r="B9" s="268" t="s">
        <v>2343</v>
      </c>
      <c r="C9" s="269">
        <f ca="1">ROUND(D9*E9/10000,0)</f>
        <v>442</v>
      </c>
      <c r="D9" s="1032">
        <f ca="1">IF(B1="",'数据-汇总表'!E5,IF(INDIRECT("'数据-取费表'!c"&amp;$G$1)="住宅",INDIRECT("'数据-取费表'!k"&amp;$G$1),0))</f>
        <v>73599.890000000087</v>
      </c>
      <c r="E9" s="269">
        <f>'数据-取费表'!B27</f>
        <v>60</v>
      </c>
      <c r="F9" s="265"/>
      <c r="G9" s="2549" t="s">
        <v>3098</v>
      </c>
      <c r="H9" s="1390">
        <v>0</v>
      </c>
      <c r="I9" s="2550" t="s">
        <v>2344</v>
      </c>
    </row>
    <row r="10" spans="1:9" s="258" customFormat="1" ht="13.5" customHeight="1">
      <c r="A10" s="950" t="s">
        <v>801</v>
      </c>
      <c r="B10" s="268" t="s">
        <v>2345</v>
      </c>
      <c r="C10" s="269">
        <f ca="1">ROUND(D10*E10/10000,0)</f>
        <v>145</v>
      </c>
      <c r="D10" s="1032">
        <f ca="1">IF(B1="",'数据-汇总表'!E6,IF(INDIRECT("'数据-取费表'!c"&amp;$G$1)="住宅",INDIRECT("'数据-取费表'!s"&amp;$G$1),INDIRECT("'数据-取费表'!k"&amp;$G$1)+INDIRECT("'数据-取费表'!s"&amp;$G$1)))</f>
        <v>13153.630000000077</v>
      </c>
      <c r="E10" s="269">
        <f>'数据-取费表'!B28</f>
        <v>110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86753.520000000164</v>
      </c>
      <c r="E19" s="255">
        <f>'数据-取费表'!B31</f>
        <v>200</v>
      </c>
      <c r="F19" s="275"/>
      <c r="G19" s="2548" t="s">
        <v>3519</v>
      </c>
    </row>
    <row r="20" spans="1:7" s="258" customFormat="1" ht="13.5" customHeight="1">
      <c r="A20" s="299" t="s">
        <v>2358</v>
      </c>
      <c r="B20" s="254" t="s">
        <v>2359</v>
      </c>
      <c r="C20" s="276">
        <f>ROUND((C5+C19)*F20,0)</f>
        <v>1047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3811</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3774</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37</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6.4">
      <c r="A27" s="299" t="s">
        <v>2377</v>
      </c>
      <c r="B27" s="288" t="s">
        <v>2378</v>
      </c>
      <c r="C27" s="289">
        <f ca="1">C28</f>
        <v>4005</v>
      </c>
      <c r="D27" s="279">
        <f ca="1">C29</f>
        <v>1.5E-3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4005</v>
      </c>
      <c r="D28" s="279"/>
      <c r="E28" s="280"/>
      <c r="F28" s="290"/>
      <c r="G28" s="291"/>
    </row>
    <row r="29" spans="1:7" s="258" customFormat="1" ht="13.5" customHeight="1">
      <c r="A29" s="951" t="s">
        <v>792</v>
      </c>
      <c r="B29" s="292" t="s">
        <v>2382</v>
      </c>
      <c r="C29" s="282">
        <f ca="1">ROUND(C21*F27*'数据-取费表'!B21/'数据-取费表'!B20,4)</f>
        <v>1.5E-3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66217</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13876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12272</v>
      </c>
      <c r="D34" s="261"/>
      <c r="E34" s="264"/>
      <c r="F34" s="301">
        <f ca="1">IF('数据-取费表'!B24=0,1,IF(B1="",'数据-取费表'!N16,INDIRECT("'数据-取费表'!n"&amp;$G$1)))</f>
        <v>0.48799999999999999</v>
      </c>
      <c r="G34" s="263" t="s">
        <v>2391</v>
      </c>
    </row>
    <row r="35" spans="1:7" ht="13.5" customHeight="1">
      <c r="A35" s="951" t="s">
        <v>796</v>
      </c>
      <c r="B35" s="259" t="s">
        <v>2392</v>
      </c>
      <c r="C35" s="264">
        <f ca="1">ROUND(C34*F35,0)</f>
        <v>368</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205</v>
      </c>
      <c r="D36" s="264"/>
      <c r="E36" s="264"/>
      <c r="F36" s="303">
        <f>'数据-取费表'!B34</f>
        <v>0.02</v>
      </c>
      <c r="G36" s="304" t="s">
        <v>2395</v>
      </c>
    </row>
    <row r="37" spans="1:7" s="302" customFormat="1" ht="13.5" customHeight="1">
      <c r="A37" s="951" t="s">
        <v>798</v>
      </c>
      <c r="B37" s="259" t="s">
        <v>2396</v>
      </c>
      <c r="C37" s="293">
        <f ca="1">ROUND(E37*D37*F34/10000,0)</f>
        <v>847</v>
      </c>
      <c r="D37" s="261">
        <f ca="1">D19</f>
        <v>86753.520000000164</v>
      </c>
      <c r="E37" s="293">
        <f>'数据-取费表'!B35</f>
        <v>200</v>
      </c>
      <c r="F37" s="303"/>
      <c r="G37" s="305" t="s">
        <v>2397</v>
      </c>
    </row>
    <row r="38" spans="1:7" ht="13.5" customHeight="1">
      <c r="A38" s="951" t="s">
        <v>799</v>
      </c>
      <c r="B38" s="259" t="s">
        <v>2398</v>
      </c>
      <c r="C38" s="264">
        <f ca="1">ROUND(C34*F38,0)</f>
        <v>184</v>
      </c>
      <c r="D38" s="264"/>
      <c r="E38" s="264"/>
      <c r="F38" s="303">
        <f>'数据-取费表'!B36</f>
        <v>1.4999999999999999E-2</v>
      </c>
      <c r="G38" s="263" t="s">
        <v>2393</v>
      </c>
    </row>
    <row r="39" spans="1:7" s="258" customFormat="1" ht="13.5" customHeight="1">
      <c r="A39" s="299" t="s">
        <v>2399</v>
      </c>
      <c r="B39" s="254" t="s">
        <v>2400</v>
      </c>
      <c r="C39" s="276">
        <f ca="1">ROUND(C33*F20,0)</f>
        <v>278</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501</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491</v>
      </c>
      <c r="D42" s="282"/>
      <c r="E42" s="282"/>
      <c r="F42" s="283"/>
      <c r="G42" s="3168" t="s">
        <v>2409</v>
      </c>
    </row>
    <row r="43" spans="1:7" ht="13.5" customHeight="1">
      <c r="A43" s="951" t="s">
        <v>792</v>
      </c>
      <c r="B43" s="259" t="s">
        <v>2410</v>
      </c>
      <c r="C43" s="282">
        <f ca="1">ROUND(IF('数据-取费表'!B22&lt;=1,C39*F22*'数据-取费表'!B21/2,C39*(POWER((1+F22),'数据-取费表'!B21/2)-1)),0)</f>
        <v>10</v>
      </c>
      <c r="D43" s="282"/>
      <c r="E43" s="282"/>
      <c r="F43" s="283"/>
      <c r="G43" s="3169"/>
    </row>
    <row r="44" spans="1:7" ht="13.5" customHeight="1">
      <c r="A44" s="951" t="s">
        <v>793</v>
      </c>
      <c r="B44" s="259" t="s">
        <v>2411</v>
      </c>
      <c r="C44" s="282">
        <f ca="1">ROUND(IF('数据-取费表'!B22&lt;=1,C40*F22*'数据-取费表'!B21/2,C40*(POWER((1+F22),'数据-取费表'!B21/2)-1)),4)</f>
        <v>6.9999999999999999E-4</v>
      </c>
      <c r="D44" s="282"/>
      <c r="E44" s="282"/>
      <c r="F44" s="283"/>
      <c r="G44" s="3170"/>
    </row>
    <row r="45" spans="1:7" s="258" customFormat="1" ht="13.5" customHeight="1">
      <c r="A45" s="299" t="s">
        <v>2412</v>
      </c>
      <c r="B45" s="288" t="s">
        <v>2378</v>
      </c>
      <c r="C45" s="289">
        <f ca="1">C46</f>
        <v>2123</v>
      </c>
      <c r="D45" s="279">
        <f ca="1">C47</f>
        <v>3.0000000000000001E-3</v>
      </c>
      <c r="E45" s="280" t="s">
        <v>2404</v>
      </c>
      <c r="F45" s="290"/>
      <c r="G45" s="291" t="s">
        <v>2413</v>
      </c>
    </row>
    <row r="46" spans="1:7" s="258" customFormat="1" ht="13.5" customHeight="1">
      <c r="A46" s="951" t="s">
        <v>791</v>
      </c>
      <c r="B46" s="292" t="s">
        <v>2414</v>
      </c>
      <c r="C46" s="293">
        <f ca="1">ROUND((C33+C39)*F27,0)</f>
        <v>2123</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18178</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18178</v>
      </c>
      <c r="D51" s="276"/>
      <c r="E51" s="276"/>
      <c r="F51" s="308"/>
      <c r="G51" s="278" t="s">
        <v>2425</v>
      </c>
    </row>
    <row r="52" spans="1:7" s="252" customFormat="1" ht="16.8" thickBot="1">
      <c r="A52" s="309" t="s">
        <v>2426</v>
      </c>
      <c r="B52" s="310"/>
      <c r="C52" s="311">
        <f ca="1">C31+C51</f>
        <v>84395</v>
      </c>
      <c r="D52" s="310"/>
      <c r="E52" s="310"/>
      <c r="F52" s="310"/>
      <c r="G52" s="312"/>
    </row>
    <row r="55" spans="1:7" ht="15">
      <c r="B55" s="314" t="s">
        <v>2427</v>
      </c>
      <c r="C55" s="315"/>
    </row>
    <row r="56" spans="1:7">
      <c r="B56" s="317" t="s">
        <v>1513</v>
      </c>
      <c r="C56" s="319">
        <f ca="1">1-C57</f>
        <v>0.78500000000000003</v>
      </c>
    </row>
    <row r="57" spans="1:7">
      <c r="B57" s="317" t="s">
        <v>1514</v>
      </c>
      <c r="C57" s="318">
        <f ca="1">ROUND(C51/C52,3)</f>
        <v>0.215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 sqref="F3"/>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7"/>
      <c r="C1" s="2551" t="s">
        <v>2428</v>
      </c>
      <c r="D1" s="242"/>
      <c r="E1" s="242"/>
      <c r="F1" s="242"/>
      <c r="G1" s="1379">
        <f>MATCH(B1,'数据-取费表'!A6:A16,0)+5</f>
        <v>12</v>
      </c>
      <c r="H1" s="1282" t="str">
        <f>IF(ISERROR(FIND("住宅",B1)),"非住宅","住宅")</f>
        <v>非住宅</v>
      </c>
    </row>
    <row r="2" spans="1:8" s="244" customFormat="1" ht="18" customHeight="1">
      <c r="A2" s="245" t="s">
        <v>2327</v>
      </c>
      <c r="B2" s="246">
        <f ca="1">ROUND(IF(D2="——",C52/10000,C52/10000-E2),0)</f>
        <v>41781</v>
      </c>
      <c r="C2" s="243" t="s">
        <v>2328</v>
      </c>
      <c r="D2" s="2545" t="s">
        <v>70</v>
      </c>
      <c r="E2" s="1440" t="e">
        <f ca="1">SUMIF(INDIRECT("'"&amp;G2&amp;"'"&amp;"!A:A"),"承租人权益价值",INDIRECT("'"&amp;G2&amp;"'"&amp;"!c:c"))</f>
        <v>#REF!</v>
      </c>
      <c r="F2" s="2546" t="s">
        <v>2328</v>
      </c>
      <c r="G2" s="2547"/>
    </row>
    <row r="3" spans="1:8" s="244" customFormat="1" ht="18" customHeight="1" thickBot="1">
      <c r="A3" s="247" t="s">
        <v>2329</v>
      </c>
      <c r="B3" s="248">
        <f ca="1">ROUND(B2*10000/(IF(B1="",'数据-汇总表'!E3,INDIRECT("'数据-取费表'!k"&amp;$G$1))),0)</f>
        <v>4816</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5862892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5862892</v>
      </c>
      <c r="D8" s="266"/>
      <c r="E8" s="264"/>
      <c r="F8" s="265"/>
      <c r="G8" s="2548"/>
    </row>
    <row r="9" spans="1:8" s="258" customFormat="1" ht="13.5" customHeight="1">
      <c r="A9" s="950" t="s">
        <v>800</v>
      </c>
      <c r="B9" s="268" t="s">
        <v>2343</v>
      </c>
      <c r="C9" s="269">
        <f ca="1">ROUND(D9*E9,0)</f>
        <v>4415993</v>
      </c>
      <c r="D9" s="1032">
        <f ca="1">IF(B1="",'数据-汇总表'!E5,IF(INDIRECT("'数据-取费表'!c"&amp;$G$1)="住宅",INDIRECT("'数据-取费表'!k"&amp;$G$1),0))</f>
        <v>73599.890000000087</v>
      </c>
      <c r="E9" s="269">
        <f>'数据-取费表'!B27</f>
        <v>60</v>
      </c>
      <c r="F9" s="265"/>
      <c r="G9" s="270"/>
    </row>
    <row r="10" spans="1:8" s="258" customFormat="1" ht="13.5" customHeight="1">
      <c r="A10" s="950" t="s">
        <v>801</v>
      </c>
      <c r="B10" s="268" t="s">
        <v>2345</v>
      </c>
      <c r="C10" s="269">
        <f ca="1">ROUND(D10*E10,0)</f>
        <v>1446899</v>
      </c>
      <c r="D10" s="1032">
        <f ca="1">IF(B1="",'数据-汇总表'!E6,IF(INDIRECT("'数据-取费表'!c"&amp;$G$1)="住宅",INDIRECT("'数据-取费表'!s"&amp;$G$1),INDIRECT("'数据-取费表'!k"&amp;$G$1)+INDIRECT("'数据-取费表'!s"&amp;$G$1)))</f>
        <v>13153.630000000077</v>
      </c>
      <c r="E10" s="269">
        <f>'数据-取费表'!B28</f>
        <v>110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17350704</v>
      </c>
      <c r="D19" s="1036">
        <f ca="1">D9+D10</f>
        <v>86753.520000000164</v>
      </c>
      <c r="E19" s="255">
        <f>'数据-取费表'!B31</f>
        <v>200</v>
      </c>
      <c r="F19" s="275"/>
      <c r="G19" s="2548"/>
    </row>
    <row r="20" spans="1:7" s="258" customFormat="1" ht="13.5" customHeight="1">
      <c r="A20" s="299" t="s">
        <v>2439</v>
      </c>
      <c r="B20" s="254" t="s">
        <v>2440</v>
      </c>
      <c r="C20" s="276">
        <f ca="1">ROUND((C5+C19)*F20,0)</f>
        <v>464272</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3501021</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875775</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2591777</v>
      </c>
      <c r="D24" s="282"/>
      <c r="E24" s="282"/>
      <c r="F24" s="283"/>
      <c r="G24" s="284" t="s">
        <v>2451</v>
      </c>
    </row>
    <row r="25" spans="1:7" s="258" customFormat="1" ht="24">
      <c r="A25" s="951" t="s">
        <v>2341</v>
      </c>
      <c r="B25" s="259" t="s">
        <v>2452</v>
      </c>
      <c r="C25" s="1381">
        <f ca="1">ROUND(IF('数据-取费表'!B22&lt;=1,C20*F22*'数据-取费表'!B22/2,C20*(POWER((1+F22),'数据-取费表'!B22/2)-1)),0)</f>
        <v>33469</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6.4">
      <c r="A27" s="299" t="s">
        <v>2377</v>
      </c>
      <c r="B27" s="288" t="s">
        <v>2378</v>
      </c>
      <c r="C27" s="289">
        <f ca="1">C28</f>
        <v>3551680</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3551680</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33319494</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284482827</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251371720</v>
      </c>
      <c r="D34" s="261"/>
      <c r="E34" s="264"/>
      <c r="F34" s="301"/>
      <c r="G34" s="263"/>
    </row>
    <row r="35" spans="1:7" ht="13.5" customHeight="1">
      <c r="A35" s="951" t="s">
        <v>796</v>
      </c>
      <c r="B35" s="259" t="s">
        <v>2392</v>
      </c>
      <c r="C35" s="264">
        <f ca="1">ROUND(C34*F35,0)</f>
        <v>7541152</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4448675</v>
      </c>
      <c r="D36" s="264"/>
      <c r="E36" s="264"/>
      <c r="F36" s="303">
        <f>'数据-取费表'!B34</f>
        <v>0.02</v>
      </c>
      <c r="G36" s="304" t="s">
        <v>2395</v>
      </c>
    </row>
    <row r="37" spans="1:7" s="302" customFormat="1" ht="13.5" customHeight="1">
      <c r="A37" s="951" t="s">
        <v>798</v>
      </c>
      <c r="B37" s="259" t="s">
        <v>2396</v>
      </c>
      <c r="C37" s="293">
        <f ca="1">ROUND(E37*D37,0)</f>
        <v>17350704</v>
      </c>
      <c r="D37" s="261">
        <f ca="1">D19</f>
        <v>86753.520000000164</v>
      </c>
      <c r="E37" s="293">
        <f>'数据-取费表'!B35</f>
        <v>200</v>
      </c>
      <c r="F37" s="303"/>
      <c r="G37" s="305"/>
    </row>
    <row r="38" spans="1:7" ht="13.5" customHeight="1">
      <c r="A38" s="951" t="s">
        <v>799</v>
      </c>
      <c r="B38" s="259" t="s">
        <v>2398</v>
      </c>
      <c r="C38" s="264">
        <f ca="1">ROUND(C34*F38,0)</f>
        <v>3770576</v>
      </c>
      <c r="D38" s="264"/>
      <c r="E38" s="264"/>
      <c r="F38" s="303">
        <f>'数据-取费表'!B36</f>
        <v>1.4999999999999999E-2</v>
      </c>
      <c r="G38" s="263" t="s">
        <v>2393</v>
      </c>
    </row>
    <row r="39" spans="1:7" s="258" customFormat="1" ht="13.5" customHeight="1">
      <c r="A39" s="299" t="s">
        <v>2399</v>
      </c>
      <c r="B39" s="254" t="s">
        <v>2400</v>
      </c>
      <c r="C39" s="276">
        <f ca="1">ROUND(C33*F20,0)</f>
        <v>5689657</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20918393</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20508228</v>
      </c>
      <c r="D42" s="282"/>
      <c r="E42" s="282"/>
      <c r="F42" s="283"/>
      <c r="G42" s="3168" t="s">
        <v>2456</v>
      </c>
    </row>
    <row r="43" spans="1:7" ht="13.5" customHeight="1">
      <c r="A43" s="951" t="s">
        <v>792</v>
      </c>
      <c r="B43" s="259" t="s">
        <v>2410</v>
      </c>
      <c r="C43" s="282">
        <f ca="1">ROUND(IF('数据-取费表'!B22&lt;=1,C39*F22*'数据-取费表'!B20/2,C39*(POWER((1+F22),'数据-取费表'!B20/2)-1)),0)</f>
        <v>410165</v>
      </c>
      <c r="D43" s="282"/>
      <c r="E43" s="282"/>
      <c r="F43" s="283"/>
      <c r="G43" s="3169"/>
    </row>
    <row r="44" spans="1:7" ht="13.5" customHeight="1">
      <c r="A44" s="951" t="s">
        <v>793</v>
      </c>
      <c r="B44" s="259" t="s">
        <v>2411</v>
      </c>
      <c r="C44" s="282">
        <f ca="1">ROUND(IF('数据-取费表'!B22&lt;=1,C40*F22*'数据-取费表'!B20/2,C40*(POWER((1+F22),'数据-取费表'!B20/2)-1)),4)</f>
        <v>1.4E-3</v>
      </c>
      <c r="D44" s="282"/>
      <c r="E44" s="282"/>
      <c r="F44" s="283"/>
      <c r="G44" s="3170"/>
    </row>
    <row r="45" spans="1:7" s="258" customFormat="1" ht="13.5" customHeight="1">
      <c r="A45" s="299" t="s">
        <v>2412</v>
      </c>
      <c r="B45" s="288" t="s">
        <v>2378</v>
      </c>
      <c r="C45" s="289">
        <f ca="1">C46</f>
        <v>43525873</v>
      </c>
      <c r="D45" s="279">
        <f ca="1">C47</f>
        <v>3.0000000000000001E-3</v>
      </c>
      <c r="E45" s="280" t="s">
        <v>2404</v>
      </c>
      <c r="F45" s="290"/>
      <c r="G45" s="291" t="s">
        <v>2413</v>
      </c>
    </row>
    <row r="46" spans="1:7" s="258" customFormat="1" ht="13.5" customHeight="1">
      <c r="A46" s="951" t="s">
        <v>791</v>
      </c>
      <c r="B46" s="292" t="s">
        <v>2414</v>
      </c>
      <c r="C46" s="293">
        <f ca="1">ROUND((C33+C39)*F27,0)</f>
        <v>43525873</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384491760</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384491760</v>
      </c>
      <c r="D51" s="276"/>
      <c r="E51" s="276"/>
      <c r="F51" s="308"/>
      <c r="G51" s="278" t="s">
        <v>2425</v>
      </c>
    </row>
    <row r="52" spans="1:7" s="252" customFormat="1" ht="16.8" thickBot="1">
      <c r="A52" s="309" t="s">
        <v>2426</v>
      </c>
      <c r="B52" s="310"/>
      <c r="C52" s="311">
        <f ca="1">C31+C51</f>
        <v>417811254</v>
      </c>
      <c r="D52" s="310"/>
      <c r="E52" s="310"/>
      <c r="F52" s="310"/>
      <c r="G52" s="312"/>
    </row>
    <row r="55" spans="1:7" ht="15">
      <c r="B55" s="314" t="s">
        <v>2427</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H35" sqref="H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1"/>
      <c r="C1" s="1582"/>
      <c r="D1" s="1580"/>
      <c r="E1" s="320"/>
      <c r="F1" s="320"/>
      <c r="G1" s="1581"/>
      <c r="H1" s="320"/>
      <c r="I1" s="320"/>
      <c r="J1" s="320"/>
      <c r="K1" s="320">
        <f>MATCH(C1,'数据-取费表'!A6:A16,0)+5</f>
        <v>12</v>
      </c>
    </row>
    <row r="2" spans="1:33" ht="18" customHeight="1">
      <c r="A2" s="245" t="s">
        <v>2327</v>
      </c>
      <c r="B2" s="248">
        <f ca="1">C32</f>
        <v>88524</v>
      </c>
      <c r="C2" s="320" t="s">
        <v>2460</v>
      </c>
      <c r="D2" s="320"/>
      <c r="E2" s="320"/>
      <c r="F2" s="320"/>
      <c r="G2" s="320"/>
      <c r="H2" s="320"/>
      <c r="I2" s="320"/>
      <c r="J2" s="320"/>
      <c r="K2" s="320"/>
    </row>
    <row r="3" spans="1:33" ht="18" customHeight="1" thickBot="1">
      <c r="A3" s="247" t="s">
        <v>2329</v>
      </c>
      <c r="B3" s="248">
        <f ca="1">ROUND(B2*10000/IF(C1="",'数据-汇总表'!E3,INDIRECT("'数据-取费表'!K"&amp;$K$1)),0)</f>
        <v>10204</v>
      </c>
      <c r="C3" s="320" t="s">
        <v>2461</v>
      </c>
      <c r="D3" s="320"/>
      <c r="E3" s="320"/>
      <c r="F3" s="320"/>
      <c r="G3" s="320"/>
      <c r="H3" s="320"/>
      <c r="I3" s="320"/>
      <c r="J3" s="320"/>
      <c r="K3" s="320"/>
    </row>
    <row r="4" spans="1:33" s="956" customFormat="1" ht="16.5" customHeight="1">
      <c r="A4" s="953" t="s">
        <v>2462</v>
      </c>
      <c r="B4" s="954"/>
      <c r="C4" s="996">
        <f ca="1">SUM(C8:K8)</f>
        <v>130669</v>
      </c>
      <c r="D4" s="954"/>
      <c r="E4" s="954"/>
      <c r="F4" s="954"/>
      <c r="G4" s="954"/>
      <c r="H4" s="954"/>
      <c r="I4" s="954"/>
      <c r="J4" s="954"/>
      <c r="K4" s="955"/>
    </row>
    <row r="5" spans="1:33" s="960" customFormat="1" ht="14.4">
      <c r="A5" s="957" t="s">
        <v>2463</v>
      </c>
      <c r="B5" s="958" t="s">
        <v>2464</v>
      </c>
      <c r="C5" s="2552" t="s">
        <v>3086</v>
      </c>
      <c r="D5" s="2552" t="s">
        <v>3080</v>
      </c>
      <c r="E5" s="2552" t="s">
        <v>3089</v>
      </c>
      <c r="F5" s="2552" t="s">
        <v>3082</v>
      </c>
      <c r="G5" s="2552" t="s">
        <v>3084</v>
      </c>
      <c r="H5" s="2552" t="s">
        <v>48</v>
      </c>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f>'比较法-排屋'!B3</f>
        <v>23913</v>
      </c>
      <c r="D6" s="962">
        <f>'比较法-洋房'!B3</f>
        <v>16927</v>
      </c>
      <c r="E6" s="962">
        <f>'比较法-高层'!B3</f>
        <v>13952</v>
      </c>
      <c r="F6" s="962">
        <f ca="1">'收益法-商业'!B3</f>
        <v>22245</v>
      </c>
      <c r="G6" s="962">
        <f ca="1">'收益法-仓储'!B3</f>
        <v>1997</v>
      </c>
      <c r="H6" s="962">
        <f>'比较法-车位'!B3</f>
        <v>11610</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7836.8900000000012</v>
      </c>
      <c r="D7" s="321">
        <f>SUMIF('数据-汇总表'!$C19:$C33,假设开发法!D5,'数据-汇总表'!$E19:$E33)</f>
        <v>26245.119999999999</v>
      </c>
      <c r="E7" s="321">
        <f>SUMIF('数据-汇总表'!$C19:$C33,假设开发法!E5,'数据-汇总表'!$E19:$E33)</f>
        <v>39517.880000000085</v>
      </c>
      <c r="F7" s="321">
        <f>SUMIF('数据-汇总表'!$C19:$C33,假设开发法!F5,'数据-汇总表'!$E19:$E33)</f>
        <v>1000.2400000000001</v>
      </c>
      <c r="G7" s="321">
        <f>SUMIF('数据-汇总表'!$C19:$C33,假设开发法!G5,'数据-汇总表'!$E19:$E33)</f>
        <v>4126.1399999999994</v>
      </c>
      <c r="H7" s="321">
        <f>SUMIF('数据-汇总表'!$C19:$C33,假设开发法!H5,'数据-汇总表'!$E19:$E33)</f>
        <v>8027.2500000000664</v>
      </c>
      <c r="I7" s="321">
        <f>SUMIF('数据-汇总表'!$C19:$C33,假设开发法!I5,'数据-汇总表'!$E19:$E33)</f>
        <v>0</v>
      </c>
      <c r="J7" s="321">
        <f>SUMIF('数据-汇总表'!$C19:$C33,假设开发法!J5,'数据-汇总表'!$E19:$E33)</f>
        <v>0</v>
      </c>
      <c r="K7" s="322">
        <f>SUMIF('数据-汇总表'!$C19:$C33,假设开发法!K5,'数据-汇总表'!$E19:$E33)</f>
        <v>0</v>
      </c>
      <c r="L7" s="964">
        <v>630</v>
      </c>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f>'比较法-排屋'!B2</f>
        <v>18740</v>
      </c>
      <c r="D8" s="997">
        <f>'比较法-洋房'!B2</f>
        <v>44425</v>
      </c>
      <c r="E8" s="997">
        <f>'比较法-高层'!B2</f>
        <v>55135</v>
      </c>
      <c r="F8" s="997">
        <f ca="1">'收益法-商业'!B2</f>
        <v>2225</v>
      </c>
      <c r="G8" s="997">
        <f ca="1">'收益法-仓储'!B2</f>
        <v>824</v>
      </c>
      <c r="H8" s="998">
        <f>'比较法-车位'!B2</f>
        <v>9320</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1334</v>
      </c>
      <c r="B11" s="972" t="s">
        <v>2477</v>
      </c>
      <c r="C11" s="323">
        <f ca="1">IF(C1="",'数据-取费表'!P16,INDIRECT("'数据-取费表'!p"&amp;$K$1)+INDIRECT("'数据-取费表'!ar"&amp;$K$1))</f>
        <v>12866</v>
      </c>
      <c r="D11" s="973"/>
      <c r="E11" s="375"/>
      <c r="F11" s="974">
        <f ca="1">1-IF('数据-取费表'!B24=0,1,IF(C1="",'数据-取费表'!N16,INDIRECT("'数据-取费表'!n"&amp;$K$1)))</f>
        <v>0.51200000000000001</v>
      </c>
      <c r="G11" s="8"/>
      <c r="H11" s="968"/>
      <c r="I11" s="968"/>
      <c r="J11" s="968"/>
      <c r="K11" s="969"/>
    </row>
    <row r="12" spans="1:33" s="975" customFormat="1" ht="13.5" customHeight="1">
      <c r="A12" s="971" t="s">
        <v>1335</v>
      </c>
      <c r="B12" s="972" t="s">
        <v>2478</v>
      </c>
      <c r="C12" s="24">
        <f ca="1">ROUND(C11*F12,0)</f>
        <v>386</v>
      </c>
      <c r="D12" s="973"/>
      <c r="E12" s="375"/>
      <c r="F12" s="976">
        <f>'数据-取费表'!B33</f>
        <v>0.03</v>
      </c>
      <c r="G12" s="8" t="s">
        <v>2479</v>
      </c>
      <c r="H12" s="968"/>
      <c r="I12" s="968"/>
      <c r="J12" s="968"/>
      <c r="K12" s="969"/>
    </row>
    <row r="13" spans="1:33" s="975" customFormat="1" ht="13.5" customHeight="1">
      <c r="A13" s="971" t="s">
        <v>1336</v>
      </c>
      <c r="B13" s="972" t="s">
        <v>2480</v>
      </c>
      <c r="C13" s="24">
        <f ca="1">ROUND(IF(C1="",SUMIF('数据-取费表'!C:C,"住宅",'数据-取费表'!P:P)*F13,IF(INDIRECT("'数据-取费表'!c"&amp;$K$1)="住宅",INDIRECT("'数据-取费表'!P"&amp;$K$1)*F13,0)),0)</f>
        <v>240</v>
      </c>
      <c r="D13" s="1033"/>
      <c r="E13" s="375"/>
      <c r="F13" s="976">
        <f>'数据-取费表'!B34</f>
        <v>0.02</v>
      </c>
      <c r="G13" s="8" t="s">
        <v>2481</v>
      </c>
      <c r="H13" s="968"/>
      <c r="I13" s="968"/>
      <c r="J13" s="968"/>
      <c r="K13" s="969"/>
    </row>
    <row r="14" spans="1:33" s="977" customFormat="1" ht="13.5" customHeight="1">
      <c r="A14" s="971" t="s">
        <v>1337</v>
      </c>
      <c r="B14" s="972" t="s">
        <v>2482</v>
      </c>
      <c r="C14" s="24">
        <f ca="1">ROUND(D14*E14*F11/10000,0)</f>
        <v>888</v>
      </c>
      <c r="D14" s="1033">
        <f ca="1">IF(C1="",'数据-汇总表'!E3,INDIRECT("'数据-取费表'!K"&amp;$K$1)+INDIRECT("'数据-取费表'!S"&amp;$K$1))</f>
        <v>86753.520000000164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2484</v>
      </c>
      <c r="C15" s="983">
        <f ca="1">ROUND(C11*F15,0)</f>
        <v>193</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14573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86753.520000000164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2489</v>
      </c>
      <c r="C18" s="24">
        <f ca="1">C19+C20-IF(C1="",'数据-取费表'!B29,IF(G18="已全部缴纳",C19+C20,H18))</f>
        <v>0</v>
      </c>
      <c r="D18" s="1033"/>
      <c r="E18" s="24"/>
      <c r="F18" s="976"/>
      <c r="G18" s="2554" t="s">
        <v>3096</v>
      </c>
      <c r="H18" s="1577">
        <v>0</v>
      </c>
      <c r="I18" s="2555" t="s">
        <v>2490</v>
      </c>
      <c r="J18" s="979"/>
      <c r="K18" s="980"/>
    </row>
    <row r="19" spans="1:33" s="975" customFormat="1" ht="13.5" customHeight="1">
      <c r="A19" s="971" t="s">
        <v>805</v>
      </c>
      <c r="B19" s="972" t="s">
        <v>2491</v>
      </c>
      <c r="C19" s="24">
        <f ca="1">ROUND(D19*E19/10000,0)</f>
        <v>442</v>
      </c>
      <c r="D19" s="1033">
        <f ca="1">IF(C1="",'数据-汇总表'!E5,IF(INDIRECT("'数据-取费表'!c"&amp;$K$1)="住宅",INDIRECT("'数据-取费表'!k"&amp;$K$1),0))</f>
        <v>73599.890000000087</v>
      </c>
      <c r="E19" s="24">
        <f>'数据-取费表'!B27</f>
        <v>60</v>
      </c>
      <c r="F19" s="976"/>
      <c r="G19" s="15"/>
      <c r="H19" s="1579"/>
      <c r="I19" s="981"/>
      <c r="J19" s="981"/>
      <c r="K19" s="982"/>
    </row>
    <row r="20" spans="1:33" s="975" customFormat="1" ht="13.5" customHeight="1">
      <c r="A20" s="971" t="s">
        <v>806</v>
      </c>
      <c r="B20" s="972" t="s">
        <v>2492</v>
      </c>
      <c r="C20" s="24">
        <f ca="1">ROUND(D20*E20/10000,0)</f>
        <v>145</v>
      </c>
      <c r="D20" s="1033">
        <f ca="1">IF(C1="",'数据-汇总表'!E6,IF(INDIRECT("'数据-取费表'!c"&amp;$K$1)="住宅",INDIRECT("'数据-取费表'!s"&amp;$K$1),INDIRECT("'数据-取费表'!k"&amp;$K$1)+INDIRECT("'数据-取费表'!s"&amp;$K$1)))</f>
        <v>13153.630000000077</v>
      </c>
      <c r="E20" s="24">
        <f>'数据-取费表'!B28</f>
        <v>110</v>
      </c>
      <c r="F20" s="976"/>
      <c r="G20" s="15"/>
      <c r="H20" s="981"/>
      <c r="I20" s="981"/>
      <c r="J20" s="981"/>
      <c r="K20" s="982"/>
    </row>
    <row r="21" spans="1:33" s="975" customFormat="1" ht="13.5" customHeight="1">
      <c r="A21" s="961" t="s">
        <v>802</v>
      </c>
      <c r="B21" s="985" t="s">
        <v>2493</v>
      </c>
      <c r="C21" s="986">
        <f ca="1">C16+C17+C18</f>
        <v>14573</v>
      </c>
      <c r="D21" s="987"/>
      <c r="E21" s="325"/>
      <c r="F21" s="325"/>
      <c r="G21" s="140" t="s">
        <v>2494</v>
      </c>
      <c r="H21" s="979"/>
      <c r="I21" s="979"/>
      <c r="J21" s="979"/>
      <c r="K21" s="980"/>
    </row>
    <row r="22" spans="1:33" s="975" customFormat="1" ht="13.5" customHeight="1">
      <c r="A22" s="961" t="s">
        <v>2466</v>
      </c>
      <c r="B22" s="985" t="s">
        <v>2495</v>
      </c>
      <c r="C22" s="986">
        <f ca="1">ROUND(C21*F22,0)</f>
        <v>291</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1338</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574</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7.4200000000000002E-2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574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2430</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7.7200000000000005E-2</v>
      </c>
      <c r="D29" s="328"/>
      <c r="E29" s="329"/>
      <c r="F29" s="334"/>
      <c r="G29" s="140" t="s">
        <v>2509</v>
      </c>
      <c r="H29" s="979"/>
      <c r="I29" s="979"/>
      <c r="J29" s="979"/>
      <c r="K29" s="980"/>
    </row>
    <row r="30" spans="1:33" s="335" customFormat="1" ht="13.5" customHeight="1">
      <c r="A30" s="971" t="s">
        <v>804</v>
      </c>
      <c r="B30" s="994" t="s">
        <v>2510</v>
      </c>
      <c r="C30" s="336">
        <f ca="1">ROUND((C21+C22+C23)*F28,0)</f>
        <v>2430</v>
      </c>
      <c r="D30" s="328"/>
      <c r="E30" s="329"/>
      <c r="F30" s="334"/>
      <c r="G30" s="140"/>
      <c r="H30" s="979"/>
      <c r="I30" s="979"/>
      <c r="J30" s="979"/>
      <c r="K30" s="980"/>
    </row>
    <row r="31" spans="1:33" s="975" customFormat="1" ht="13.5" customHeight="1" thickBot="1">
      <c r="A31" s="2558" t="s">
        <v>2511</v>
      </c>
      <c r="B31" s="1005" t="s">
        <v>2512</v>
      </c>
      <c r="C31" s="1006">
        <f ca="1">ROUND(C4*F31/(1+'数据-取费表'!C42),0)</f>
        <v>6969</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88524</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D37" sqref="D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1589</v>
      </c>
      <c r="B1" s="782"/>
      <c r="C1" s="1837" t="s">
        <v>3082</v>
      </c>
      <c r="D1" s="1820" t="s">
        <v>3516</v>
      </c>
      <c r="E1" s="1821" t="s">
        <v>1387</v>
      </c>
      <c r="F1" s="1283">
        <f ca="1">J53</f>
        <v>37.67</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2225</v>
      </c>
      <c r="C2" s="1845" t="s">
        <v>1516</v>
      </c>
      <c r="D2" s="1845"/>
      <c r="E2" s="1846"/>
      <c r="F2" s="1847"/>
      <c r="G2" s="1848"/>
      <c r="H2" s="1840"/>
      <c r="I2" s="1840"/>
      <c r="J2" s="1840"/>
      <c r="K2" s="1841"/>
      <c r="L2" s="1840"/>
      <c r="M2" s="1840"/>
    </row>
    <row r="3" spans="1:37" ht="18" customHeight="1" thickBot="1">
      <c r="A3" s="1849" t="s">
        <v>1517</v>
      </c>
      <c r="B3" s="1850">
        <f ca="1">IF(ISERROR(B2*10000/F43),0,ROUND(B2*10000/F43,0))</f>
        <v>22245</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131</v>
      </c>
      <c r="D5" s="1822" t="s">
        <v>1402</v>
      </c>
      <c r="E5" s="1293"/>
      <c r="F5" s="1294"/>
      <c r="G5" s="1851"/>
      <c r="H5" s="344">
        <v>1</v>
      </c>
      <c r="I5" s="345" t="s">
        <v>1401</v>
      </c>
      <c r="J5" s="1292">
        <f ca="1">J6+J10+J12</f>
        <v>0</v>
      </c>
      <c r="K5" s="1822" t="s">
        <v>1402</v>
      </c>
      <c r="L5" s="1293"/>
      <c r="M5" s="1294"/>
    </row>
    <row r="6" spans="1:37" ht="18" customHeight="1">
      <c r="A6" s="1291" t="s">
        <v>1035</v>
      </c>
      <c r="B6" s="3171" t="s">
        <v>1403</v>
      </c>
      <c r="C6" s="1296">
        <f ca="1">ROUND(F6*F8*F7*(1-F9)/10000,0)</f>
        <v>131</v>
      </c>
      <c r="D6" s="164" t="s">
        <v>3031</v>
      </c>
      <c r="E6" s="347" t="s">
        <v>1405</v>
      </c>
      <c r="F6" s="348">
        <f ca="1">INDIRECT("'数据-取费表'!u"&amp;$G$1)</f>
        <v>4</v>
      </c>
      <c r="G6" s="1851"/>
      <c r="H6" s="1291" t="s">
        <v>1035</v>
      </c>
      <c r="I6" s="3171" t="s">
        <v>1403</v>
      </c>
      <c r="J6" s="346">
        <f ca="1">ROUND(M6*M8*M7*(1-M9)/10000,0)</f>
        <v>0</v>
      </c>
      <c r="K6" s="164" t="s">
        <v>3030</v>
      </c>
      <c r="L6" s="347" t="s">
        <v>1405</v>
      </c>
      <c r="M6" s="348">
        <f ca="1">INDIRECT("'数据-取费表'!z"&amp;$G$1)</f>
        <v>0</v>
      </c>
    </row>
    <row r="7" spans="1:37" ht="18" customHeight="1">
      <c r="A7" s="1295"/>
      <c r="B7" s="3172"/>
      <c r="C7" s="1297"/>
      <c r="D7" s="352"/>
      <c r="E7" s="2960" t="s">
        <v>1406</v>
      </c>
      <c r="F7" s="348">
        <f ca="1">IF(INDIRECT("'数据-取费表'!ah"&amp;$G$1)="",INDIRECT("'数据-取费表'!k"&amp;$G$1),INDIRECT("'数据-取费表'!ah"&amp;$G$1))</f>
        <v>1000.2400000000001</v>
      </c>
      <c r="G7" s="1851"/>
      <c r="H7" s="349"/>
      <c r="I7" s="3172"/>
      <c r="J7" s="351"/>
      <c r="K7" s="352"/>
      <c r="L7" s="347" t="s">
        <v>1406</v>
      </c>
      <c r="M7" s="348">
        <f ca="1">F7</f>
        <v>1000.2400000000001</v>
      </c>
    </row>
    <row r="8" spans="1:37" ht="18" customHeight="1">
      <c r="A8" s="349"/>
      <c r="B8" s="3172"/>
      <c r="C8" s="351"/>
      <c r="D8" s="352"/>
      <c r="E8" s="347" t="s">
        <v>1407</v>
      </c>
      <c r="F8" s="348">
        <f ca="1">INDIRECT("'数据-取费表'!ai"&amp;$G$1)</f>
        <v>365</v>
      </c>
      <c r="G8" s="1851"/>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1"/>
      <c r="H9" s="349"/>
      <c r="I9" s="317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3517</v>
      </c>
      <c r="G10" s="1851"/>
      <c r="H10" s="1291" t="s">
        <v>1039</v>
      </c>
      <c r="I10" s="1823" t="s">
        <v>1409</v>
      </c>
      <c r="J10" s="346">
        <f ca="1">ROUND(IF(M10="押一",J6/12*M11,IF(M10="押二",J6/12*2*M11,IF(M10="押三",J6/12*3*M11,J11*M11))),0)</f>
        <v>0</v>
      </c>
      <c r="K10" s="1824" t="s">
        <v>3039</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366</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220</v>
      </c>
      <c r="D14" s="2953" t="s">
        <v>1418</v>
      </c>
      <c r="E14" s="2951"/>
      <c r="F14" s="364"/>
      <c r="G14" s="1851"/>
      <c r="H14" s="1201" t="s">
        <v>1035</v>
      </c>
      <c r="I14" s="347" t="s">
        <v>1419</v>
      </c>
      <c r="J14" s="24">
        <f ca="1">C29</f>
        <v>366</v>
      </c>
      <c r="K14" s="2959"/>
      <c r="L14" s="979"/>
      <c r="M14" s="980"/>
    </row>
    <row r="15" spans="1:37" s="1858" customFormat="1" ht="18" customHeight="1" thickBot="1">
      <c r="A15" s="1201" t="s">
        <v>1036</v>
      </c>
      <c r="B15" s="347" t="s">
        <v>1420</v>
      </c>
      <c r="C15" s="24">
        <f ca="1">ROUND(C14*F15,0)</f>
        <v>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9</v>
      </c>
      <c r="K16" s="1337" t="s">
        <v>1425</v>
      </c>
      <c r="L16" s="2954"/>
      <c r="M16" s="1294"/>
    </row>
    <row r="17" spans="1:37" s="1858" customFormat="1" ht="18" customHeight="1">
      <c r="A17" s="1201" t="s">
        <v>1390</v>
      </c>
      <c r="B17" s="347" t="s">
        <v>1426</v>
      </c>
      <c r="C17" s="24">
        <f ca="1">ROUND(F17*(F43+INDIRECT("'数据-取费表'!S"&amp;$G$1))/10000,0)</f>
        <v>20</v>
      </c>
      <c r="D17" s="347" t="s">
        <v>1427</v>
      </c>
      <c r="E17" s="347" t="s">
        <v>1428</v>
      </c>
      <c r="F17" s="26">
        <f>'数据-取费表'!B35</f>
        <v>200</v>
      </c>
      <c r="G17" s="1854"/>
      <c r="H17" s="1201" t="s">
        <v>1035</v>
      </c>
      <c r="I17" s="347" t="s">
        <v>1429</v>
      </c>
      <c r="J17" s="24">
        <f ca="1">ROUND(IF(项目基本情况!B11="自然人",J5*M17,J18+J19+J20),1)</f>
        <v>3.5</v>
      </c>
      <c r="K17" s="2953" t="s">
        <v>1430</v>
      </c>
      <c r="L17" s="2952"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v>
      </c>
      <c r="D18" s="347" t="s">
        <v>1421</v>
      </c>
      <c r="E18" s="347" t="s">
        <v>1422</v>
      </c>
      <c r="F18" s="367">
        <f>'数据-取费表'!B36</f>
        <v>1.4999999999999999E-2</v>
      </c>
      <c r="G18" s="1854"/>
      <c r="H18" s="1201" t="s">
        <v>1034</v>
      </c>
      <c r="I18" s="347" t="s">
        <v>1433</v>
      </c>
      <c r="J18" s="24">
        <f ca="1">ROUND(J5*M18/(1+'数据-取费表'!C42),2)</f>
        <v>0</v>
      </c>
      <c r="K18" s="2952"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250</v>
      </c>
      <c r="D19" s="140" t="s">
        <v>1436</v>
      </c>
      <c r="E19" s="2958"/>
      <c r="F19" s="26"/>
      <c r="G19" s="1851"/>
      <c r="H19" s="1201" t="s">
        <v>1036</v>
      </c>
      <c r="I19" s="347" t="s">
        <v>1437</v>
      </c>
      <c r="J19" s="24">
        <f ca="1">IF(K19="按租金收入计税",ROUND(J5*M19,2),ROUND(C29*M19*0.7,2))</f>
        <v>3.07</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v>
      </c>
      <c r="D20" s="369" t="s">
        <v>1440</v>
      </c>
      <c r="E20" s="347" t="s">
        <v>1422</v>
      </c>
      <c r="F20" s="367">
        <f>'数据-取费表'!B37</f>
        <v>0.02</v>
      </c>
      <c r="G20" s="1854"/>
      <c r="H20" s="1201" t="s">
        <v>1389</v>
      </c>
      <c r="I20" s="164" t="s">
        <v>1441</v>
      </c>
      <c r="J20" s="25">
        <f ca="1">ROUND(M20*M21/10000,2)</f>
        <v>0.38</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477.17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58"/>
      <c r="F22" s="26"/>
      <c r="G22" s="1851"/>
      <c r="H22" s="1201" t="s">
        <v>1039</v>
      </c>
      <c r="I22" s="347" t="s">
        <v>1449</v>
      </c>
      <c r="J22" s="24">
        <f ca="1">ROUND(J14*M22,1)</f>
        <v>5.5</v>
      </c>
      <c r="K22" s="2952"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18</v>
      </c>
      <c r="D23" s="375" t="str">
        <f>IF(F23&lt;=1,"(建造成本+管理费用)×利率×(建设周期÷2)","(建造成本+管理费用)×((1+利率)^(建设周期÷2)-1)")</f>
        <v>(建造成本+管理费用)×((1+利率)^(建设周期÷2)-1)</v>
      </c>
      <c r="E23" s="347" t="s">
        <v>1452</v>
      </c>
      <c r="F23" s="371">
        <f>'数据-取费表'!B20</f>
        <v>3</v>
      </c>
      <c r="G23" s="1854"/>
      <c r="H23" s="1201" t="s">
        <v>1075</v>
      </c>
      <c r="I23" s="347" t="s">
        <v>1453</v>
      </c>
      <c r="J23" s="24">
        <f ca="1">ROUND(J13*M23,1)</f>
        <v>0</v>
      </c>
      <c r="K23" s="2952"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58"/>
      <c r="F25" s="26"/>
      <c r="G25" s="1851"/>
      <c r="H25" s="1329" t="s">
        <v>1031</v>
      </c>
      <c r="I25" s="1344" t="s">
        <v>1463</v>
      </c>
      <c r="J25" s="355">
        <f ca="1">J5-J16</f>
        <v>-9</v>
      </c>
      <c r="K25" s="1345" t="s">
        <v>1464</v>
      </c>
      <c r="L25" s="1346"/>
      <c r="M25" s="1347"/>
    </row>
    <row r="26" spans="1:37">
      <c r="A26" s="1201" t="s">
        <v>1034</v>
      </c>
      <c r="B26" s="347" t="s">
        <v>1465</v>
      </c>
      <c r="C26" s="24">
        <f ca="1">ROUND((C19+C20)*F26,0)</f>
        <v>64</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5.0000000000000001E-3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366</v>
      </c>
      <c r="D29" s="1342"/>
      <c r="E29" s="1340"/>
      <c r="F29" s="1343"/>
      <c r="G29" s="1854"/>
      <c r="H29" s="380" t="s">
        <v>1033</v>
      </c>
      <c r="I29" s="381" t="s">
        <v>1479</v>
      </c>
      <c r="J29" s="382">
        <f ca="1">ROUND(J26/(1+F40)^F41,0)</f>
        <v>0</v>
      </c>
      <c r="K29" s="383" t="s">
        <v>1480</v>
      </c>
      <c r="L29" s="384"/>
      <c r="M29" s="385">
        <f ca="1">INDIRECT("'数据-取费表'!k"&amp;$G$1)</f>
        <v>1000.2400000000001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30</v>
      </c>
      <c r="D30" s="1337" t="s">
        <v>1425</v>
      </c>
      <c r="E30" s="2954"/>
      <c r="F30" s="1294"/>
      <c r="G30" s="1851"/>
      <c r="H30" s="745"/>
      <c r="I30" s="746"/>
      <c r="J30" s="747"/>
      <c r="K30" s="748"/>
      <c r="L30" s="749"/>
      <c r="M30" s="750"/>
    </row>
    <row r="31" spans="1:37" ht="18" customHeight="1">
      <c r="A31" s="1201" t="s">
        <v>1035</v>
      </c>
      <c r="B31" s="347" t="s">
        <v>1429</v>
      </c>
      <c r="C31" s="24">
        <f ca="1">ROUND(IF(项目基本情况!B11="自然人",C5*F31,C32+C33+C34),1)</f>
        <v>23.1</v>
      </c>
      <c r="D31" s="2953" t="s">
        <v>1430</v>
      </c>
      <c r="E31" s="2952"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6.99</v>
      </c>
      <c r="D32" s="2952"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15.72</v>
      </c>
      <c r="D33" s="1828" t="s">
        <v>3518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0.38</v>
      </c>
      <c r="D34" s="370" t="s">
        <v>1442</v>
      </c>
      <c r="E34" s="347" t="s">
        <v>1443</v>
      </c>
      <c r="F34" s="371">
        <f>'数据-取费表'!B52</f>
        <v>8</v>
      </c>
      <c r="G34" s="1851"/>
      <c r="H34" s="745"/>
      <c r="I34" s="1860"/>
      <c r="J34" s="1861"/>
      <c r="K34" s="1863"/>
      <c r="L34" s="1864"/>
      <c r="M34" s="1864"/>
    </row>
    <row r="35" spans="1:18" ht="18" customHeight="1">
      <c r="A35" s="1353"/>
      <c r="B35" s="1351"/>
      <c r="C35" s="29"/>
      <c r="D35" s="373"/>
      <c r="E35" s="347" t="s">
        <v>1447</v>
      </c>
      <c r="F35" s="348">
        <f ca="1">INDIRECT("'数据-取费表'!r"&amp;$G$1)</f>
        <v>477.17</v>
      </c>
      <c r="G35" s="1851"/>
      <c r="H35" s="745"/>
      <c r="I35" s="1860"/>
      <c r="J35" s="1861"/>
      <c r="K35" s="1862"/>
      <c r="L35" s="1859"/>
      <c r="M35" s="1859"/>
    </row>
    <row r="36" spans="1:18" ht="18" customHeight="1">
      <c r="A36" s="1352" t="s">
        <v>1039</v>
      </c>
      <c r="B36" s="347" t="s">
        <v>1449</v>
      </c>
      <c r="C36" s="24">
        <f ca="1">ROUND(C29*F36,1)</f>
        <v>5.5</v>
      </c>
      <c r="D36" s="2952"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0.5</v>
      </c>
      <c r="D37" s="2952" t="s">
        <v>1454</v>
      </c>
      <c r="E37" s="347" t="s">
        <v>1422</v>
      </c>
      <c r="F37" s="376">
        <f ca="1">INDIRECT("'数据-取费表'!Al"&amp;$G$1)</f>
        <v>1.5E-3</v>
      </c>
      <c r="G37" s="1851"/>
      <c r="H37" s="1859"/>
      <c r="I37" s="1860"/>
      <c r="J37" s="1861"/>
      <c r="K37" s="751"/>
      <c r="L37" s="1859"/>
      <c r="M37" s="1859"/>
    </row>
    <row r="38" spans="1:18" ht="18" customHeight="1" thickBot="1">
      <c r="A38" s="1339" t="s">
        <v>1392</v>
      </c>
      <c r="B38" s="1340" t="s">
        <v>1439</v>
      </c>
      <c r="C38" s="1341">
        <f ca="1">ROUND(C5*F38,1)</f>
        <v>1.3</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101</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2225</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37.67</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22245</v>
      </c>
      <c r="D43" s="383" t="s">
        <v>1488</v>
      </c>
      <c r="E43" s="384" t="s">
        <v>1489</v>
      </c>
      <c r="F43" s="385">
        <f ca="1">INDIRECT("'数据-取费表'!k"&amp;$G$1)</f>
        <v>1000.2400000000001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8" thickBot="1">
      <c r="A46" s="1870" t="s">
        <v>1520</v>
      </c>
      <c r="C46" s="1871">
        <f ca="1">C68-C40</f>
        <v>-2773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8" thickBot="1">
      <c r="A47" s="1165" t="s">
        <v>1396</v>
      </c>
      <c r="B47" s="1197" t="s">
        <v>1397</v>
      </c>
      <c r="C47" s="1367" t="s">
        <v>1398</v>
      </c>
      <c r="D47" s="1197" t="s">
        <v>1399</v>
      </c>
      <c r="E47" s="1279" t="s">
        <v>1400</v>
      </c>
      <c r="F47" s="1280"/>
      <c r="G47" s="792"/>
      <c r="I47" s="1880" t="s">
        <v>1526</v>
      </c>
      <c r="J47" s="1881" t="s">
        <v>3469</v>
      </c>
      <c r="K47" s="1882" t="s">
        <v>1527</v>
      </c>
      <c r="L47" s="1883">
        <f ca="1">INDIRECT("'数据-取费表'!d"&amp;$G$1)</f>
        <v>40</v>
      </c>
      <c r="M47" s="1838" t="str">
        <f>IF(ISNUMBER(FIND("住宅",C1)),"住宅","非住宅")</f>
        <v>非住宅</v>
      </c>
      <c r="O47" s="1884" t="s">
        <v>1040</v>
      </c>
      <c r="P47" s="1885" t="s">
        <v>1528</v>
      </c>
      <c r="Q47" s="1886">
        <f ca="1">C40+J29</f>
        <v>2225</v>
      </c>
      <c r="R47" s="1886" t="s">
        <v>1529</v>
      </c>
    </row>
    <row r="48" spans="1:18" s="1842" customFormat="1" ht="40.200000000000003" thickBot="1">
      <c r="A48" s="1360" t="s">
        <v>1135</v>
      </c>
      <c r="B48" s="345" t="s">
        <v>1401</v>
      </c>
      <c r="C48" s="2957">
        <f ca="1">C49+C53+C55</f>
        <v>0</v>
      </c>
      <c r="D48" s="1362"/>
      <c r="E48" s="1363"/>
      <c r="F48" s="1181"/>
      <c r="G48" s="792"/>
      <c r="H48" s="793"/>
      <c r="I48" s="1887" t="s">
        <v>1530</v>
      </c>
      <c r="J48" s="1888" t="s">
        <v>3515</v>
      </c>
      <c r="K48" s="1889" t="s">
        <v>1531</v>
      </c>
      <c r="L48" s="1890">
        <f ca="1">INDIRECT("'数据-取费表'!f"&amp;$G$1)</f>
        <v>39.17</v>
      </c>
      <c r="O48" s="1884" t="s">
        <v>1041</v>
      </c>
      <c r="P48" s="1885" t="s">
        <v>1532</v>
      </c>
      <c r="Q48" s="1886" t="str">
        <f ca="1">J60</f>
        <v>0</v>
      </c>
      <c r="R48" s="1886" t="s">
        <v>1533</v>
      </c>
    </row>
    <row r="49" spans="1:18" s="1842" customFormat="1" ht="13.8" thickBot="1">
      <c r="A49" s="1194" t="s">
        <v>1136</v>
      </c>
      <c r="B49" s="1829" t="s">
        <v>1490</v>
      </c>
      <c r="C49" s="1364">
        <f ca="1">ROUND(F49*F51*F50*(1-F52)/10000,0)</f>
        <v>0</v>
      </c>
      <c r="D49" s="1276" t="s">
        <v>3030</v>
      </c>
      <c r="E49" s="1830" t="s">
        <v>1491</v>
      </c>
      <c r="F49" s="1281"/>
      <c r="G49" s="1891"/>
      <c r="H49" s="793"/>
      <c r="I49" s="1887" t="s">
        <v>1534</v>
      </c>
      <c r="J49" s="1892"/>
      <c r="K49" s="1889" t="s">
        <v>1535</v>
      </c>
      <c r="L49" s="1893"/>
      <c r="O49" s="1894" t="s">
        <v>1042</v>
      </c>
      <c r="P49" s="1885" t="s">
        <v>1536</v>
      </c>
      <c r="Q49" s="1886">
        <f ca="1">C29</f>
        <v>366</v>
      </c>
      <c r="R49" s="1886" t="s">
        <v>1529</v>
      </c>
    </row>
    <row r="50" spans="1:18" s="1842" customFormat="1" ht="13.8" thickBot="1">
      <c r="A50" s="1195"/>
      <c r="B50" s="1198"/>
      <c r="C50" s="1368"/>
      <c r="D50" s="1172"/>
      <c r="E50" s="1277" t="s">
        <v>1406</v>
      </c>
      <c r="F50" s="1278">
        <f ca="1">F7</f>
        <v>1000.2400000000001</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8"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1115</v>
      </c>
      <c r="M51" s="1902"/>
      <c r="O51" s="1894" t="s">
        <v>1044</v>
      </c>
      <c r="P51" s="1885" t="s">
        <v>1542</v>
      </c>
      <c r="Q51" s="1897">
        <f>J52</f>
        <v>0</v>
      </c>
      <c r="R51" s="1886"/>
    </row>
    <row r="52" spans="1:18" s="1842" customFormat="1" ht="13.8" thickBot="1">
      <c r="A52" s="1196"/>
      <c r="B52" s="1198"/>
      <c r="C52" s="1199"/>
      <c r="D52" s="1172"/>
      <c r="E52" s="1200" t="s">
        <v>1408</v>
      </c>
      <c r="F52" s="1275"/>
      <c r="I52" s="1903" t="s">
        <v>1543</v>
      </c>
      <c r="J52" s="1904"/>
      <c r="K52" s="1903" t="s">
        <v>1544</v>
      </c>
      <c r="L52" s="1904"/>
      <c r="O52" s="1894" t="s">
        <v>1045</v>
      </c>
      <c r="P52" s="1885" t="s">
        <v>1545</v>
      </c>
      <c r="Q52" s="1886">
        <f ca="1">J53</f>
        <v>37.67</v>
      </c>
      <c r="R52" s="1886" t="s">
        <v>1546</v>
      </c>
    </row>
    <row r="53" spans="1:18" s="1842" customFormat="1" ht="36.6" thickBot="1">
      <c r="A53" s="1405" t="s">
        <v>1137</v>
      </c>
      <c r="B53" s="1831"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37.67</v>
      </c>
      <c r="K53" s="3174" t="s">
        <v>1548</v>
      </c>
      <c r="L53" s="3175"/>
      <c r="O53" s="1884" t="s">
        <v>1046</v>
      </c>
      <c r="P53" s="1885" t="s">
        <v>1549</v>
      </c>
      <c r="Q53" s="1886">
        <f ca="1">Q47+Q48</f>
        <v>2225</v>
      </c>
      <c r="R53" s="1886" t="s">
        <v>1047</v>
      </c>
    </row>
    <row r="54" spans="1:18" s="1842" customFormat="1" ht="24.6" thickBot="1">
      <c r="A54" s="1406"/>
      <c r="B54" s="1825" t="s">
        <v>1388</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8" thickBot="1">
      <c r="A55" s="1333" t="s">
        <v>1075</v>
      </c>
      <c r="B55" s="1827" t="s">
        <v>1413</v>
      </c>
      <c r="C55" s="1334"/>
      <c r="D55" s="1824"/>
      <c r="E55" s="295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37.200000000000003" thickTop="1" thickBot="1">
      <c r="A56" s="1176">
        <v>2</v>
      </c>
      <c r="B56" s="1177" t="s">
        <v>1414</v>
      </c>
      <c r="C56" s="276">
        <f ca="1">C13</f>
        <v>366</v>
      </c>
      <c r="D56" s="1914"/>
      <c r="E56" s="1915"/>
      <c r="F56" s="1907"/>
      <c r="I56" s="1916" t="s">
        <v>1554</v>
      </c>
      <c r="J56" s="1917" t="s">
        <v>3060</v>
      </c>
      <c r="K56" s="1887" t="s">
        <v>1555</v>
      </c>
      <c r="L56" s="1890" t="str">
        <f ca="1">IF(L48&lt;J51,"——",L48-J53)</f>
        <v>——</v>
      </c>
      <c r="O56" s="1884" t="s">
        <v>1040</v>
      </c>
      <c r="P56" s="1885" t="s">
        <v>1528</v>
      </c>
      <c r="Q56" s="1886">
        <f ca="1">C40+J29</f>
        <v>2225</v>
      </c>
      <c r="R56" s="1886" t="s">
        <v>1529</v>
      </c>
    </row>
    <row r="57" spans="1:18" s="1842" customFormat="1" ht="24.6" thickBot="1">
      <c r="A57" s="1918"/>
      <c r="B57" s="1169" t="s">
        <v>1478</v>
      </c>
      <c r="C57" s="282">
        <f ca="1">C29</f>
        <v>366</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6" thickBot="1">
      <c r="A58" s="360" t="s">
        <v>1030</v>
      </c>
      <c r="B58" s="1177" t="s">
        <v>1424</v>
      </c>
      <c r="C58" s="361">
        <f ca="1">ROUND(C59+C64+C65+C66,0)</f>
        <v>37</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6" thickBot="1">
      <c r="A59" s="1201" t="s">
        <v>1035</v>
      </c>
      <c r="B59" s="1169" t="s">
        <v>1429</v>
      </c>
      <c r="C59" s="24">
        <f ca="1">ROUND(IF(项目基本情况!B11="自然人",C48*F59,C60+C61+C62),1)</f>
        <v>31.1</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8" thickBot="1">
      <c r="A61" s="1201" t="s">
        <v>1492</v>
      </c>
      <c r="B61" s="1169" t="s">
        <v>1437</v>
      </c>
      <c r="C61" s="24">
        <f ca="1">IF(项目基本情况!B11="自然人","——",IF(D61="按租金收入计税",ROUND(C48*F61,2),IF(D61="按房产原值计税",ROUND(C57*F61*0.7,2),INDIRECT("'数据-取费表'!Aj"&amp;$G$1))))</f>
        <v>30.74</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8" thickBot="1">
      <c r="A62" s="1201" t="s">
        <v>1495</v>
      </c>
      <c r="B62" s="1168" t="s">
        <v>1441</v>
      </c>
      <c r="C62" s="25">
        <f ca="1">IF(项目基本情况!B11="自然人","——",ROUND(F62*F63/10000,2))</f>
        <v>0.38</v>
      </c>
      <c r="D62" s="1184" t="s">
        <v>1442</v>
      </c>
      <c r="E62" s="1169" t="s">
        <v>1443</v>
      </c>
      <c r="F62" s="371">
        <f t="shared" si="0"/>
        <v>8</v>
      </c>
      <c r="I62" s="1929" t="s">
        <v>1570</v>
      </c>
      <c r="J62" s="1930" t="s">
        <v>1571</v>
      </c>
      <c r="K62" s="1930" t="s">
        <v>1572</v>
      </c>
      <c r="L62" s="1930" t="s">
        <v>1573</v>
      </c>
      <c r="M62" s="1931" t="s">
        <v>1574</v>
      </c>
      <c r="O62" s="1884" t="s">
        <v>1046</v>
      </c>
      <c r="P62" s="1885" t="s">
        <v>1549</v>
      </c>
      <c r="Q62" s="1886">
        <f ca="1">Q56+Q57</f>
        <v>2225</v>
      </c>
      <c r="R62" s="1886" t="s">
        <v>1047</v>
      </c>
    </row>
    <row r="63" spans="1:18" s="1842" customFormat="1" ht="13.8" thickBot="1">
      <c r="A63" s="372"/>
      <c r="B63" s="1175"/>
      <c r="C63" s="29"/>
      <c r="D63" s="1185"/>
      <c r="E63" s="1169" t="s">
        <v>1447</v>
      </c>
      <c r="F63" s="348">
        <f t="shared" ca="1" si="0"/>
        <v>477.17</v>
      </c>
      <c r="I63" s="1929" t="s">
        <v>1576</v>
      </c>
      <c r="J63" s="1930">
        <v>70</v>
      </c>
      <c r="K63" s="1930">
        <v>50</v>
      </c>
      <c r="L63" s="1930">
        <v>80</v>
      </c>
      <c r="M63" s="1932">
        <v>0.02</v>
      </c>
      <c r="O63" s="1869" t="s">
        <v>1577</v>
      </c>
      <c r="P63" s="1839"/>
      <c r="Q63" s="1839"/>
      <c r="R63" s="1839"/>
    </row>
    <row r="64" spans="1:18" s="1842" customFormat="1" ht="13.8" thickBot="1">
      <c r="A64" s="1201" t="s">
        <v>1039</v>
      </c>
      <c r="B64" s="1169" t="s">
        <v>1449</v>
      </c>
      <c r="C64" s="24">
        <f ca="1">ROUND(C57*F64,1)</f>
        <v>5.5</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8" thickBot="1">
      <c r="A65" s="1201" t="s">
        <v>1503</v>
      </c>
      <c r="B65" s="1169" t="s">
        <v>1453</v>
      </c>
      <c r="C65" s="24">
        <f ca="1">ROUND(C56*F65,1)</f>
        <v>0.5</v>
      </c>
      <c r="D65" s="1183" t="s">
        <v>1454</v>
      </c>
      <c r="E65" s="1169" t="s">
        <v>1422</v>
      </c>
      <c r="F65" s="376">
        <f t="shared" ca="1" si="0"/>
        <v>1.5E-3</v>
      </c>
      <c r="I65" s="1929" t="s">
        <v>1579</v>
      </c>
      <c r="J65" s="1930">
        <v>40</v>
      </c>
      <c r="K65" s="1930">
        <v>30</v>
      </c>
      <c r="L65" s="1930">
        <v>50</v>
      </c>
      <c r="M65" s="1932">
        <v>0.02</v>
      </c>
      <c r="O65" s="1884" t="s">
        <v>1040</v>
      </c>
      <c r="P65" s="1885" t="s">
        <v>1528</v>
      </c>
      <c r="Q65" s="1886">
        <f ca="1">C40+J29</f>
        <v>2225</v>
      </c>
      <c r="R65" s="1886" t="s">
        <v>1529</v>
      </c>
    </row>
    <row r="66" spans="1:18" s="1842" customFormat="1" ht="16.2"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24.6" thickBot="1">
      <c r="A67" s="1176" t="s">
        <v>1031</v>
      </c>
      <c r="B67" s="1186" t="s">
        <v>1463</v>
      </c>
      <c r="C67" s="361">
        <f ca="1">C48-C58</f>
        <v>-37</v>
      </c>
      <c r="D67" s="1182" t="s">
        <v>1464</v>
      </c>
      <c r="E67" s="1187"/>
      <c r="F67" s="1188"/>
      <c r="O67" s="1894" t="s">
        <v>1042</v>
      </c>
      <c r="P67" s="1885" t="s">
        <v>1562</v>
      </c>
      <c r="Q67" s="1933">
        <f ca="1">L51</f>
        <v>1115</v>
      </c>
      <c r="R67" s="1886" t="s">
        <v>1582</v>
      </c>
    </row>
    <row r="68" spans="1:18" s="1842" customFormat="1" ht="16.2" thickBot="1">
      <c r="A68" s="1166" t="s">
        <v>1032</v>
      </c>
      <c r="B68" s="1167" t="s">
        <v>1485</v>
      </c>
      <c r="C68" s="346">
        <f ca="1">ROUND(C67*(1-((1+F70)/(1+F68))^F69)/(F68-F70),0)</f>
        <v>-548</v>
      </c>
      <c r="D68" s="1184" t="s">
        <v>1469</v>
      </c>
      <c r="E68" s="1169" t="s">
        <v>1470</v>
      </c>
      <c r="F68" s="357">
        <f ca="1">F40</f>
        <v>0.06</v>
      </c>
      <c r="O68" s="1894" t="s">
        <v>1043</v>
      </c>
      <c r="P68" s="1934" t="s">
        <v>1583</v>
      </c>
      <c r="Q68" s="1886">
        <f ca="1">ROUND(Q69-Q70*Q71,0)</f>
        <v>70</v>
      </c>
      <c r="R68" s="1886" t="s">
        <v>1051</v>
      </c>
    </row>
    <row r="69" spans="1:18" s="1842" customFormat="1" ht="13.8" thickBot="1">
      <c r="A69" s="1170"/>
      <c r="B69" s="1171"/>
      <c r="C69" s="351"/>
      <c r="D69" s="1189" t="s">
        <v>1473</v>
      </c>
      <c r="E69" s="1169" t="s">
        <v>1474</v>
      </c>
      <c r="F69" s="379">
        <f ca="1">F41</f>
        <v>37.67</v>
      </c>
      <c r="O69" s="1894" t="s">
        <v>1048</v>
      </c>
      <c r="P69" s="1934" t="s">
        <v>1584</v>
      </c>
      <c r="Q69" s="1886">
        <f ca="1">C39</f>
        <v>101</v>
      </c>
      <c r="R69" s="1886" t="s">
        <v>1529</v>
      </c>
    </row>
    <row r="70" spans="1:18" s="1842" customFormat="1" ht="13.8" thickBot="1">
      <c r="A70" s="1173"/>
      <c r="B70" s="1174"/>
      <c r="C70" s="355"/>
      <c r="D70" s="1185"/>
      <c r="E70" s="1169" t="s">
        <v>1477</v>
      </c>
      <c r="F70" s="1275"/>
      <c r="O70" s="1894" t="s">
        <v>1049</v>
      </c>
      <c r="P70" s="1934" t="s">
        <v>1585</v>
      </c>
      <c r="Q70" s="1886">
        <f ca="1">C13</f>
        <v>366</v>
      </c>
      <c r="R70" s="1886" t="s">
        <v>1529</v>
      </c>
    </row>
    <row r="71" spans="1:18" s="1842" customFormat="1" ht="13.8" thickBot="1">
      <c r="A71" s="1190" t="s">
        <v>1033</v>
      </c>
      <c r="B71" s="1191" t="s">
        <v>1487</v>
      </c>
      <c r="C71" s="382">
        <f ca="1">ROUND(C68*10000/F71,0)</f>
        <v>-5479</v>
      </c>
      <c r="D71" s="1192" t="s">
        <v>1488</v>
      </c>
      <c r="E71" s="1193" t="s">
        <v>1489</v>
      </c>
      <c r="F71" s="385">
        <f ca="1">F43</f>
        <v>1000.2400000000001</v>
      </c>
      <c r="O71" s="1894" t="s">
        <v>1050</v>
      </c>
      <c r="P71" s="1934" t="s">
        <v>1586</v>
      </c>
      <c r="Q71" s="1897">
        <f ca="1">C76</f>
        <v>8.5000000000000006E-2</v>
      </c>
      <c r="R71" s="1886"/>
    </row>
    <row r="72" spans="1:18" s="1842" customFormat="1" ht="13.8" thickBot="1">
      <c r="B72" s="796"/>
      <c r="C72" s="796"/>
      <c r="O72" s="1894" t="s">
        <v>1044</v>
      </c>
      <c r="P72" s="1885" t="s">
        <v>1564</v>
      </c>
      <c r="Q72" s="1897">
        <f>L52</f>
        <v>0</v>
      </c>
      <c r="R72" s="1886"/>
    </row>
    <row r="73" spans="1:18" ht="16.2" thickBot="1">
      <c r="A73" s="1842"/>
      <c r="B73" s="796"/>
      <c r="C73" s="796"/>
      <c r="D73" s="1842"/>
      <c r="E73" s="1842"/>
      <c r="F73" s="1842"/>
      <c r="O73" s="1894" t="s">
        <v>1045</v>
      </c>
      <c r="P73" s="1885" t="s">
        <v>1567</v>
      </c>
      <c r="Q73" s="1886" t="e">
        <f ca="1">L58</f>
        <v>#DIV/0!</v>
      </c>
      <c r="R73" s="1886" t="s">
        <v>1568</v>
      </c>
    </row>
    <row r="74" spans="1:18" ht="13.8"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8" thickBot="1">
      <c r="A75" s="1842"/>
      <c r="B75" s="386" t="s">
        <v>1506</v>
      </c>
      <c r="C75" s="387">
        <f ca="1">ROUND(C13*C76,0)</f>
        <v>31</v>
      </c>
      <c r="D75" s="1842"/>
      <c r="E75" s="1842"/>
      <c r="F75" s="1842"/>
      <c r="K75" s="1868"/>
      <c r="L75" s="1842"/>
      <c r="O75" s="1884" t="s">
        <v>1046</v>
      </c>
      <c r="P75" s="1885" t="s">
        <v>1549</v>
      </c>
      <c r="Q75" s="1886">
        <f ca="1">Q65+Q66</f>
        <v>2225</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0.69300000000000006</v>
      </c>
    </row>
    <row r="80" spans="1:18">
      <c r="B80" s="386" t="s">
        <v>1511</v>
      </c>
      <c r="C80" s="318">
        <f ca="1">ROUND(C75/C39,3)</f>
        <v>0.307</v>
      </c>
    </row>
    <row r="81" spans="2:3">
      <c r="B81" s="314" t="s">
        <v>1512</v>
      </c>
      <c r="C81" s="282"/>
    </row>
    <row r="82" spans="2:3">
      <c r="B82" s="317" t="s">
        <v>1513</v>
      </c>
      <c r="C82" s="319">
        <f ca="1">1-C83</f>
        <v>0.83599999999999997</v>
      </c>
    </row>
    <row r="83" spans="2:3">
      <c r="B83" s="317" t="s">
        <v>1514</v>
      </c>
      <c r="C83" s="318">
        <f ca="1">ROUND(C13/C40,3)</f>
        <v>0.16400000000000001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20" sqref="C13:C2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1589</v>
      </c>
      <c r="B1" s="782"/>
      <c r="C1" s="1837" t="s">
        <v>3084</v>
      </c>
      <c r="D1" s="1820" t="s">
        <v>3516</v>
      </c>
      <c r="E1" s="1821" t="s">
        <v>1387</v>
      </c>
      <c r="F1" s="1283">
        <f ca="1">J53</f>
        <v>47.68</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824</v>
      </c>
      <c r="C2" s="1845" t="s">
        <v>1516</v>
      </c>
      <c r="D2" s="1845"/>
      <c r="E2" s="1846"/>
      <c r="F2" s="1847"/>
      <c r="G2" s="1848"/>
      <c r="H2" s="1840"/>
      <c r="I2" s="1840"/>
      <c r="J2" s="1840"/>
      <c r="K2" s="1841"/>
      <c r="L2" s="1840"/>
      <c r="M2" s="1840"/>
    </row>
    <row r="3" spans="1:37" ht="18" customHeight="1" thickBot="1">
      <c r="A3" s="1849" t="s">
        <v>1517</v>
      </c>
      <c r="B3" s="1850">
        <f ca="1">IF(ISERROR(B2*10000/F43),0,ROUND(B2*10000/F43,0))</f>
        <v>1997</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68</v>
      </c>
      <c r="D5" s="1822" t="s">
        <v>1402</v>
      </c>
      <c r="E5" s="1293"/>
      <c r="F5" s="1294"/>
      <c r="G5" s="1851"/>
      <c r="H5" s="344">
        <v>1</v>
      </c>
      <c r="I5" s="345" t="s">
        <v>1401</v>
      </c>
      <c r="J5" s="1292">
        <f ca="1">J6+J10+J12</f>
        <v>0</v>
      </c>
      <c r="K5" s="1822" t="s">
        <v>1402</v>
      </c>
      <c r="L5" s="1293"/>
      <c r="M5" s="1294"/>
    </row>
    <row r="6" spans="1:37" ht="18" customHeight="1">
      <c r="A6" s="1291" t="s">
        <v>1035</v>
      </c>
      <c r="B6" s="3171" t="s">
        <v>1403</v>
      </c>
      <c r="C6" s="1296">
        <f ca="1">ROUND(F6*F8*F7*(1-F9)/10000,0)</f>
        <v>68</v>
      </c>
      <c r="D6" s="164" t="s">
        <v>3031</v>
      </c>
      <c r="E6" s="347" t="s">
        <v>1405</v>
      </c>
      <c r="F6" s="348">
        <f ca="1">INDIRECT("'数据-取费表'!u"&amp;$G$1)</f>
        <v>0.5</v>
      </c>
      <c r="G6" s="1851"/>
      <c r="H6" s="1291" t="s">
        <v>1035</v>
      </c>
      <c r="I6" s="3171" t="s">
        <v>1403</v>
      </c>
      <c r="J6" s="346">
        <f ca="1">ROUND(M6*M8*M7*(1-M9)/10000,0)</f>
        <v>0</v>
      </c>
      <c r="K6" s="164" t="s">
        <v>3030</v>
      </c>
      <c r="L6" s="347" t="s">
        <v>1405</v>
      </c>
      <c r="M6" s="348">
        <f ca="1">INDIRECT("'数据-取费表'!z"&amp;$G$1)</f>
        <v>0</v>
      </c>
    </row>
    <row r="7" spans="1:37" ht="18" customHeight="1">
      <c r="A7" s="1295"/>
      <c r="B7" s="3172"/>
      <c r="C7" s="1297"/>
      <c r="D7" s="352"/>
      <c r="E7" s="1298" t="s">
        <v>1406</v>
      </c>
      <c r="F7" s="348">
        <f ca="1">IF(INDIRECT("'数据-取费表'!ah"&amp;$G$1)="",INDIRECT("'数据-取费表'!k"&amp;$G$1),INDIRECT("'数据-取费表'!ah"&amp;$G$1))</f>
        <v>4126.1399999999994</v>
      </c>
      <c r="G7" s="1851"/>
      <c r="H7" s="349"/>
      <c r="I7" s="3172"/>
      <c r="J7" s="351"/>
      <c r="K7" s="352"/>
      <c r="L7" s="347" t="s">
        <v>1406</v>
      </c>
      <c r="M7" s="348">
        <f ca="1">F7</f>
        <v>4126.1399999999994</v>
      </c>
    </row>
    <row r="8" spans="1:37" ht="18" customHeight="1">
      <c r="A8" s="349"/>
      <c r="B8" s="3172"/>
      <c r="C8" s="351"/>
      <c r="D8" s="352"/>
      <c r="E8" s="347" t="s">
        <v>1407</v>
      </c>
      <c r="F8" s="348">
        <f ca="1">INDIRECT("'数据-取费表'!ai"&amp;$G$1)</f>
        <v>365</v>
      </c>
      <c r="G8" s="1851"/>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1"/>
      <c r="H9" s="349"/>
      <c r="I9" s="317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3040</v>
      </c>
      <c r="E10" s="358" t="s">
        <v>1410</v>
      </c>
      <c r="F10" s="1366" t="s">
        <v>3517</v>
      </c>
      <c r="G10" s="1851"/>
      <c r="H10" s="1291" t="s">
        <v>1039</v>
      </c>
      <c r="I10" s="1823" t="s">
        <v>1409</v>
      </c>
      <c r="J10" s="346">
        <f ca="1">ROUND(IF(M10="押一",J6/12*M11,IF(M10="押二",J6/12*2*M11,IF(M10="押三",J6/12*3*M11,J11*M11))),0)</f>
        <v>0</v>
      </c>
      <c r="K10" s="1824" t="s">
        <v>3039</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1279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908</v>
      </c>
      <c r="D14" s="1800" t="s">
        <v>1418</v>
      </c>
      <c r="E14" s="1794"/>
      <c r="F14" s="364"/>
      <c r="G14" s="1851"/>
      <c r="H14" s="1201" t="s">
        <v>1035</v>
      </c>
      <c r="I14" s="347" t="s">
        <v>1419</v>
      </c>
      <c r="J14" s="24">
        <f ca="1">C29</f>
        <v>1279</v>
      </c>
      <c r="K14" s="15"/>
      <c r="L14" s="979"/>
      <c r="M14" s="980"/>
    </row>
    <row r="15" spans="1:37" s="1858" customFormat="1" ht="18" customHeight="1" thickBot="1">
      <c r="A15" s="1201" t="s">
        <v>1036</v>
      </c>
      <c r="B15" s="347" t="s">
        <v>1420</v>
      </c>
      <c r="C15" s="24">
        <f ca="1">ROUND(C14*F15,0)</f>
        <v>27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32</v>
      </c>
      <c r="K16" s="1337" t="s">
        <v>1425</v>
      </c>
      <c r="L16" s="1338"/>
      <c r="M16" s="1294"/>
    </row>
    <row r="17" spans="1:37" s="1858" customFormat="1" ht="18" customHeight="1">
      <c r="A17" s="1201" t="s">
        <v>1390</v>
      </c>
      <c r="B17" s="347" t="s">
        <v>1426</v>
      </c>
      <c r="C17" s="24">
        <f ca="1">ROUND(F17*(F43+INDIRECT("'数据-取费表'!S"&amp;$G$1))/10000,0)</f>
        <v>83</v>
      </c>
      <c r="D17" s="347" t="s">
        <v>1427</v>
      </c>
      <c r="E17" s="347" t="s">
        <v>1428</v>
      </c>
      <c r="F17" s="26">
        <f>'数据-取费表'!B35</f>
        <v>200</v>
      </c>
      <c r="G17" s="1854"/>
      <c r="H17" s="1201" t="s">
        <v>1035</v>
      </c>
      <c r="I17" s="347" t="s">
        <v>1429</v>
      </c>
      <c r="J17" s="24">
        <f ca="1">ROUND(IF(项目基本情况!B11="自然人",J5*M17,J18+J19+J20),1)</f>
        <v>12.3</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14</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1032</v>
      </c>
      <c r="D19" s="140" t="s">
        <v>1436</v>
      </c>
      <c r="E19" s="1818"/>
      <c r="F19" s="26"/>
      <c r="G19" s="1851"/>
      <c r="H19" s="1201" t="s">
        <v>1036</v>
      </c>
      <c r="I19" s="347" t="s">
        <v>1437</v>
      </c>
      <c r="J19" s="24">
        <f ca="1">IF(K19="按租金收入计税",ROUND(J5*M19,2),ROUND(C29*M19*0.7,2))</f>
        <v>10.74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21</v>
      </c>
      <c r="D20" s="369" t="s">
        <v>1440</v>
      </c>
      <c r="E20" s="347" t="s">
        <v>1422</v>
      </c>
      <c r="F20" s="367">
        <f>'数据-取费表'!B37</f>
        <v>0.02</v>
      </c>
      <c r="G20" s="1854"/>
      <c r="H20" s="1201" t="s">
        <v>1389</v>
      </c>
      <c r="I20" s="164" t="s">
        <v>1441</v>
      </c>
      <c r="J20" s="25">
        <f ca="1">ROUND(M20*M21/10000,2)</f>
        <v>1.57</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1968.42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19.2</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1452</v>
      </c>
      <c r="F23" s="371">
        <f>'数据-取费表'!B20</f>
        <v>3</v>
      </c>
      <c r="G23" s="1854"/>
      <c r="H23" s="1201"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-32</v>
      </c>
      <c r="K25" s="1345" t="s">
        <v>1464</v>
      </c>
      <c r="L25" s="1346"/>
      <c r="M25" s="1347"/>
    </row>
    <row r="26" spans="1:37">
      <c r="A26" s="1201" t="s">
        <v>1034</v>
      </c>
      <c r="B26" s="347" t="s">
        <v>1465</v>
      </c>
      <c r="C26" s="24">
        <f ca="1">ROUND((C19+C20)*F26,0)</f>
        <v>53</v>
      </c>
      <c r="D26" s="369" t="s">
        <v>1466</v>
      </c>
      <c r="E26" s="358" t="s">
        <v>1467</v>
      </c>
      <c r="F26" s="357">
        <f ca="1">INDIRECT("'数据-取费表'!q"&amp;$G$1)</f>
        <v>0.05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1279</v>
      </c>
      <c r="D29" s="1342"/>
      <c r="E29" s="1340"/>
      <c r="F29" s="1343"/>
      <c r="G29" s="1854"/>
      <c r="H29" s="380" t="s">
        <v>1033</v>
      </c>
      <c r="I29" s="381" t="s">
        <v>1479</v>
      </c>
      <c r="J29" s="382">
        <f ca="1">ROUND(J26/(1+F40)^F41,0)</f>
        <v>0</v>
      </c>
      <c r="K29" s="383" t="s">
        <v>1480</v>
      </c>
      <c r="L29" s="384"/>
      <c r="M29" s="385">
        <f ca="1">INDIRECT("'数据-取费表'!k"&amp;$G$1)</f>
        <v>4126.1399999999994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35</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13.4</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3.63</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8.16</v>
      </c>
      <c r="D33" s="1828" t="s">
        <v>3518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1.57</v>
      </c>
      <c r="D34" s="370" t="s">
        <v>1442</v>
      </c>
      <c r="E34" s="347" t="s">
        <v>1443</v>
      </c>
      <c r="F34" s="371">
        <f>'数据-取费表'!B52</f>
        <v>8</v>
      </c>
      <c r="G34" s="1851"/>
      <c r="H34" s="745"/>
      <c r="I34" s="1860"/>
      <c r="J34" s="1861"/>
      <c r="K34" s="1863"/>
      <c r="L34" s="1864"/>
      <c r="M34" s="1864"/>
    </row>
    <row r="35" spans="1:18" ht="18" customHeight="1">
      <c r="A35" s="1353"/>
      <c r="B35" s="1351"/>
      <c r="C35" s="29"/>
      <c r="D35" s="373"/>
      <c r="E35" s="347" t="s">
        <v>1447</v>
      </c>
      <c r="F35" s="348">
        <f ca="1">INDIRECT("'数据-取费表'!r"&amp;$G$1)</f>
        <v>1968.42</v>
      </c>
      <c r="G35" s="1851"/>
      <c r="H35" s="745"/>
      <c r="I35" s="1860"/>
      <c r="J35" s="1861"/>
      <c r="K35" s="1862"/>
      <c r="L35" s="1859"/>
      <c r="M35" s="1859"/>
    </row>
    <row r="36" spans="1:18" ht="18" customHeight="1">
      <c r="A36" s="1352" t="s">
        <v>1039</v>
      </c>
      <c r="B36" s="347" t="s">
        <v>1449</v>
      </c>
      <c r="C36" s="24">
        <f ca="1">ROUND(C29*F36,1)</f>
        <v>19.2</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1.9</v>
      </c>
      <c r="D37" s="1798" t="s">
        <v>1454</v>
      </c>
      <c r="E37" s="347" t="s">
        <v>1455</v>
      </c>
      <c r="F37" s="376">
        <f ca="1">INDIRECT("'数据-取费表'!Al"&amp;$G$1)</f>
        <v>1.5E-3</v>
      </c>
      <c r="G37" s="1851"/>
      <c r="H37" s="1859"/>
      <c r="I37" s="1860"/>
      <c r="J37" s="1861"/>
      <c r="K37" s="751"/>
      <c r="L37" s="1859"/>
      <c r="M37" s="1859"/>
    </row>
    <row r="38" spans="1:18" ht="18" customHeight="1" thickBot="1">
      <c r="A38" s="1339" t="s">
        <v>1393</v>
      </c>
      <c r="B38" s="1340" t="s">
        <v>1439</v>
      </c>
      <c r="C38" s="1341">
        <f ca="1">ROUND(C5*F38,1)</f>
        <v>0.7</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5">
        <f ca="1">C5-C30</f>
        <v>33</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824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47.68</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1997</v>
      </c>
      <c r="D43" s="383" t="s">
        <v>1488</v>
      </c>
      <c r="E43" s="384" t="s">
        <v>1489</v>
      </c>
      <c r="F43" s="385">
        <f ca="1">INDIRECT("'数据-取费表'!k"&amp;$G$1)</f>
        <v>4126.1399999999994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8" thickBot="1">
      <c r="A46" s="1870" t="s">
        <v>1520</v>
      </c>
      <c r="C46" s="1871">
        <f ca="1">C68-C40</f>
        <v>-3170</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8" thickBot="1">
      <c r="A47" s="1165" t="s">
        <v>1396</v>
      </c>
      <c r="B47" s="1197" t="s">
        <v>1397</v>
      </c>
      <c r="C47" s="1367" t="s">
        <v>1398</v>
      </c>
      <c r="D47" s="1197" t="s">
        <v>1399</v>
      </c>
      <c r="E47" s="1279" t="s">
        <v>1400</v>
      </c>
      <c r="F47" s="1280"/>
      <c r="G47" s="792"/>
      <c r="I47" s="1880" t="s">
        <v>1526</v>
      </c>
      <c r="J47" s="1881" t="s">
        <v>3469</v>
      </c>
      <c r="K47" s="1882" t="s">
        <v>1527</v>
      </c>
      <c r="L47" s="1883">
        <f ca="1">INDIRECT("'数据-取费表'!d"&amp;$G$1)</f>
        <v>50</v>
      </c>
      <c r="M47" s="1838" t="str">
        <f>IF(ISNUMBER(FIND("住宅",C1)),"住宅","非住宅")</f>
        <v>非住宅</v>
      </c>
      <c r="O47" s="1884" t="s">
        <v>1040</v>
      </c>
      <c r="P47" s="1885" t="s">
        <v>1528</v>
      </c>
      <c r="Q47" s="1886">
        <f ca="1">C40+J29</f>
        <v>824</v>
      </c>
      <c r="R47" s="1886" t="s">
        <v>1529</v>
      </c>
    </row>
    <row r="48" spans="1:18" s="1842" customFormat="1" ht="40.200000000000003" thickBot="1">
      <c r="A48" s="1360" t="s">
        <v>1135</v>
      </c>
      <c r="B48" s="345" t="s">
        <v>1401</v>
      </c>
      <c r="C48" s="1817">
        <f ca="1">C49+C53+C55</f>
        <v>0</v>
      </c>
      <c r="D48" s="1362"/>
      <c r="E48" s="1363"/>
      <c r="F48" s="1181"/>
      <c r="G48" s="792"/>
      <c r="H48" s="793"/>
      <c r="I48" s="1887" t="s">
        <v>1530</v>
      </c>
      <c r="J48" s="1888" t="s">
        <v>3515</v>
      </c>
      <c r="K48" s="1889" t="s">
        <v>1531</v>
      </c>
      <c r="L48" s="1890">
        <f ca="1">INDIRECT("'数据-取费表'!f"&amp;$G$1)</f>
        <v>49.18</v>
      </c>
      <c r="O48" s="1884" t="s">
        <v>1041</v>
      </c>
      <c r="P48" s="1885" t="s">
        <v>1532</v>
      </c>
      <c r="Q48" s="1886" t="str">
        <f ca="1">J60</f>
        <v>0</v>
      </c>
      <c r="R48" s="1886" t="s">
        <v>1533</v>
      </c>
    </row>
    <row r="49" spans="1:18" s="1842" customFormat="1" ht="13.8" thickBot="1">
      <c r="A49" s="1194" t="s">
        <v>1136</v>
      </c>
      <c r="B49" s="1829" t="s">
        <v>1490</v>
      </c>
      <c r="C49" s="1364">
        <f ca="1">ROUND(F49*F51*F50*(1-F52)/10000,0)</f>
        <v>0</v>
      </c>
      <c r="D49" s="1276" t="s">
        <v>3032</v>
      </c>
      <c r="E49" s="1830" t="s">
        <v>1491</v>
      </c>
      <c r="F49" s="1281"/>
      <c r="G49" s="1891"/>
      <c r="H49" s="793"/>
      <c r="I49" s="1887" t="s">
        <v>1534</v>
      </c>
      <c r="J49" s="1892"/>
      <c r="K49" s="1889" t="s">
        <v>1535</v>
      </c>
      <c r="L49" s="1893"/>
      <c r="O49" s="1894" t="s">
        <v>1042</v>
      </c>
      <c r="P49" s="1885" t="s">
        <v>1536</v>
      </c>
      <c r="Q49" s="1886">
        <f ca="1">C29</f>
        <v>1279</v>
      </c>
      <c r="R49" s="1886" t="s">
        <v>1529</v>
      </c>
    </row>
    <row r="50" spans="1:18" s="1842" customFormat="1" ht="13.8" thickBot="1">
      <c r="A50" s="1195"/>
      <c r="B50" s="1198"/>
      <c r="C50" s="1368"/>
      <c r="D50" s="1172"/>
      <c r="E50" s="1277" t="s">
        <v>1406</v>
      </c>
      <c r="F50" s="1278">
        <f ca="1">F7</f>
        <v>4126.1399999999994</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8"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-1489</v>
      </c>
      <c r="M51" s="1902"/>
      <c r="O51" s="1894" t="s">
        <v>1044</v>
      </c>
      <c r="P51" s="1885" t="s">
        <v>1542</v>
      </c>
      <c r="Q51" s="1897">
        <f>J52</f>
        <v>0</v>
      </c>
      <c r="R51" s="1886"/>
    </row>
    <row r="52" spans="1:18" s="1842" customFormat="1" ht="13.8" thickBot="1">
      <c r="A52" s="1196"/>
      <c r="B52" s="1198"/>
      <c r="C52" s="1199"/>
      <c r="D52" s="1172"/>
      <c r="E52" s="1200" t="s">
        <v>1408</v>
      </c>
      <c r="F52" s="1275"/>
      <c r="I52" s="1903" t="s">
        <v>1543</v>
      </c>
      <c r="J52" s="1904"/>
      <c r="K52" s="1903" t="s">
        <v>1544</v>
      </c>
      <c r="L52" s="1904"/>
      <c r="O52" s="1894" t="s">
        <v>1045</v>
      </c>
      <c r="P52" s="1885" t="s">
        <v>1545</v>
      </c>
      <c r="Q52" s="1886">
        <f ca="1">J53</f>
        <v>47.68</v>
      </c>
      <c r="R52" s="1886" t="s">
        <v>1546</v>
      </c>
    </row>
    <row r="53" spans="1:18" s="1842" customFormat="1" ht="36.6" thickBot="1">
      <c r="A53" s="1405" t="s">
        <v>1137</v>
      </c>
      <c r="B53" s="1831"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47.68</v>
      </c>
      <c r="K53" s="3174" t="s">
        <v>1548</v>
      </c>
      <c r="L53" s="3175"/>
      <c r="O53" s="1884" t="s">
        <v>1046</v>
      </c>
      <c r="P53" s="1885" t="s">
        <v>1549</v>
      </c>
      <c r="Q53" s="1886">
        <f ca="1">Q47+Q48</f>
        <v>824</v>
      </c>
      <c r="R53" s="1886" t="s">
        <v>1047</v>
      </c>
    </row>
    <row r="54" spans="1:18" s="1842" customFormat="1" ht="24.6"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8"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37.200000000000003" thickTop="1" thickBot="1">
      <c r="A56" s="1176">
        <v>2</v>
      </c>
      <c r="B56" s="1177" t="s">
        <v>1414</v>
      </c>
      <c r="C56" s="276">
        <f ca="1">C13</f>
        <v>1279</v>
      </c>
      <c r="D56" s="1914"/>
      <c r="E56" s="1915"/>
      <c r="F56" s="1907"/>
      <c r="I56" s="1916" t="s">
        <v>1554</v>
      </c>
      <c r="J56" s="1917" t="s">
        <v>3060</v>
      </c>
      <c r="K56" s="1887" t="s">
        <v>1555</v>
      </c>
      <c r="L56" s="1890" t="str">
        <f ca="1">IF(L48&lt;J51,"——",L48-J53)</f>
        <v>——</v>
      </c>
      <c r="O56" s="1884" t="s">
        <v>1040</v>
      </c>
      <c r="P56" s="1885" t="s">
        <v>1528</v>
      </c>
      <c r="Q56" s="1886">
        <f ca="1">C40+J29</f>
        <v>824</v>
      </c>
      <c r="R56" s="1886" t="s">
        <v>1529</v>
      </c>
    </row>
    <row r="57" spans="1:18" s="1842" customFormat="1" ht="24.6" thickBot="1">
      <c r="A57" s="1918"/>
      <c r="B57" s="1169" t="s">
        <v>1478</v>
      </c>
      <c r="C57" s="282">
        <f ca="1">C29</f>
        <v>1279</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6" thickBot="1">
      <c r="A58" s="360" t="s">
        <v>1030</v>
      </c>
      <c r="B58" s="1177" t="s">
        <v>1424</v>
      </c>
      <c r="C58" s="361">
        <f ca="1">ROUND(C59+C64+C65+C66,0)</f>
        <v>130</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6" thickBot="1">
      <c r="A59" s="1201" t="s">
        <v>1035</v>
      </c>
      <c r="B59" s="1169" t="s">
        <v>1429</v>
      </c>
      <c r="C59" s="24">
        <f ca="1">ROUND(IF(项目基本情况!B11="自然人",C48*F59,C60+C61+C62),1)</f>
        <v>109</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8" thickBot="1">
      <c r="A61" s="1201" t="s">
        <v>1492</v>
      </c>
      <c r="B61" s="1169" t="s">
        <v>1493</v>
      </c>
      <c r="C61" s="24">
        <f ca="1">IF(项目基本情况!B11="自然人","——",IF(D61="按租金收入计税",ROUND(C48*F61,2),IF(D61="按房产原值计税",ROUND(C57*F61*0.7,2),INDIRECT("'数据-取费表'!Aj"&amp;$G$1))))</f>
        <v>107.44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8" thickBot="1">
      <c r="A62" s="1201" t="s">
        <v>1495</v>
      </c>
      <c r="B62" s="1168" t="s">
        <v>1496</v>
      </c>
      <c r="C62" s="25">
        <f ca="1">IF(项目基本情况!B11="自然人","——",ROUND(F62*F63/10000,2))</f>
        <v>1.57</v>
      </c>
      <c r="D62" s="1184" t="s">
        <v>1497</v>
      </c>
      <c r="E62" s="1169" t="s">
        <v>1498</v>
      </c>
      <c r="F62" s="371">
        <f t="shared" si="0"/>
        <v>8</v>
      </c>
      <c r="I62" s="1929" t="s">
        <v>1570</v>
      </c>
      <c r="J62" s="1930" t="s">
        <v>1571</v>
      </c>
      <c r="K62" s="1930" t="s">
        <v>1572</v>
      </c>
      <c r="L62" s="1930" t="s">
        <v>1573</v>
      </c>
      <c r="M62" s="1931" t="s">
        <v>1574</v>
      </c>
      <c r="O62" s="1884" t="s">
        <v>1046</v>
      </c>
      <c r="P62" s="1885" t="s">
        <v>1575</v>
      </c>
      <c r="Q62" s="1886">
        <f ca="1">Q56+Q57</f>
        <v>824</v>
      </c>
      <c r="R62" s="1886" t="s">
        <v>1047</v>
      </c>
    </row>
    <row r="63" spans="1:18" s="1842" customFormat="1" ht="13.8" thickBot="1">
      <c r="A63" s="372"/>
      <c r="B63" s="1175"/>
      <c r="C63" s="29"/>
      <c r="D63" s="1185"/>
      <c r="E63" s="1169" t="s">
        <v>1499</v>
      </c>
      <c r="F63" s="348">
        <f t="shared" ca="1" si="0"/>
        <v>1968.42</v>
      </c>
      <c r="I63" s="1929" t="s">
        <v>1576</v>
      </c>
      <c r="J63" s="1930">
        <v>70</v>
      </c>
      <c r="K63" s="1930">
        <v>50</v>
      </c>
      <c r="L63" s="1930">
        <v>80</v>
      </c>
      <c r="M63" s="1932">
        <v>0.02</v>
      </c>
      <c r="O63" s="1869" t="s">
        <v>1577</v>
      </c>
      <c r="P63" s="1839"/>
      <c r="Q63" s="1839"/>
      <c r="R63" s="1839"/>
    </row>
    <row r="64" spans="1:18" s="1842" customFormat="1" ht="13.8" thickBot="1">
      <c r="A64" s="1201" t="s">
        <v>1500</v>
      </c>
      <c r="B64" s="1169" t="s">
        <v>1501</v>
      </c>
      <c r="C64" s="24">
        <f ca="1">ROUND(C57*F64,1)</f>
        <v>19.2</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8" thickBot="1">
      <c r="A65" s="1201" t="s">
        <v>1503</v>
      </c>
      <c r="B65" s="1169" t="s">
        <v>1453</v>
      </c>
      <c r="C65" s="24">
        <f ca="1">ROUND(C56*F65,1)</f>
        <v>1.9</v>
      </c>
      <c r="D65" s="1183" t="s">
        <v>1454</v>
      </c>
      <c r="E65" s="1169" t="s">
        <v>1455</v>
      </c>
      <c r="F65" s="376">
        <f t="shared" ca="1" si="0"/>
        <v>1.5E-3</v>
      </c>
      <c r="I65" s="1929" t="s">
        <v>1579</v>
      </c>
      <c r="J65" s="1930">
        <v>40</v>
      </c>
      <c r="K65" s="1930">
        <v>30</v>
      </c>
      <c r="L65" s="1930">
        <v>50</v>
      </c>
      <c r="M65" s="1932">
        <v>0.02</v>
      </c>
      <c r="O65" s="1884" t="s">
        <v>1040</v>
      </c>
      <c r="P65" s="1885" t="s">
        <v>1580</v>
      </c>
      <c r="Q65" s="1886">
        <f ca="1">C40+J29</f>
        <v>824</v>
      </c>
      <c r="R65" s="1886" t="s">
        <v>1529</v>
      </c>
    </row>
    <row r="66" spans="1:18" s="1842" customFormat="1" ht="16.2" thickBot="1">
      <c r="A66" s="1201" t="s">
        <v>1504</v>
      </c>
      <c r="B66" s="1169" t="s">
        <v>1439</v>
      </c>
      <c r="C66" s="24">
        <f ca="1">ROUND(C48*F66,1)</f>
        <v>0</v>
      </c>
      <c r="D66" s="1183" t="s">
        <v>1505</v>
      </c>
      <c r="E66" s="1169" t="s">
        <v>1422</v>
      </c>
      <c r="F66" s="357">
        <f t="shared" ca="1" si="0"/>
        <v>0.01</v>
      </c>
      <c r="O66" s="1884" t="s">
        <v>1041</v>
      </c>
      <c r="P66" s="1885" t="s">
        <v>1558</v>
      </c>
      <c r="Q66" s="1886">
        <f ca="1">L60</f>
        <v>0</v>
      </c>
      <c r="R66" s="1886" t="s">
        <v>1581</v>
      </c>
    </row>
    <row r="67" spans="1:18" s="1842" customFormat="1" ht="24.6" thickBot="1">
      <c r="A67" s="1176" t="s">
        <v>1031</v>
      </c>
      <c r="B67" s="1186" t="s">
        <v>1463</v>
      </c>
      <c r="C67" s="361">
        <f ca="1">C48-C58</f>
        <v>-130</v>
      </c>
      <c r="D67" s="1182" t="s">
        <v>1464</v>
      </c>
      <c r="E67" s="1187"/>
      <c r="F67" s="1188"/>
      <c r="O67" s="1894" t="s">
        <v>1042</v>
      </c>
      <c r="P67" s="1885" t="s">
        <v>1562</v>
      </c>
      <c r="Q67" s="1933">
        <f ca="1">L51</f>
        <v>-1489</v>
      </c>
      <c r="R67" s="1886" t="s">
        <v>1582</v>
      </c>
    </row>
    <row r="68" spans="1:18" s="1842" customFormat="1" ht="16.2" thickBot="1">
      <c r="A68" s="1166" t="s">
        <v>1032</v>
      </c>
      <c r="B68" s="1167" t="s">
        <v>1485</v>
      </c>
      <c r="C68" s="346">
        <f ca="1">ROUND(C67*(1-((1+F70)/(1+F68))^F69)/(F68-F70),0)</f>
        <v>-2346</v>
      </c>
      <c r="D68" s="1184" t="s">
        <v>1469</v>
      </c>
      <c r="E68" s="1169" t="s">
        <v>1470</v>
      </c>
      <c r="F68" s="357">
        <f ca="1">F40</f>
        <v>0.05</v>
      </c>
      <c r="O68" s="1894" t="s">
        <v>1043</v>
      </c>
      <c r="P68" s="1934" t="s">
        <v>1583</v>
      </c>
      <c r="Q68" s="1886">
        <f ca="1">ROUND(Q69-Q70*Q71,0)</f>
        <v>-76</v>
      </c>
      <c r="R68" s="1886" t="s">
        <v>1051</v>
      </c>
    </row>
    <row r="69" spans="1:18" s="1842" customFormat="1" ht="13.8" thickBot="1">
      <c r="A69" s="1170"/>
      <c r="B69" s="1171"/>
      <c r="C69" s="351"/>
      <c r="D69" s="1189" t="s">
        <v>1473</v>
      </c>
      <c r="E69" s="1169" t="s">
        <v>1474</v>
      </c>
      <c r="F69" s="379">
        <f ca="1">F41</f>
        <v>47.68</v>
      </c>
      <c r="O69" s="1894" t="s">
        <v>1048</v>
      </c>
      <c r="P69" s="1934" t="s">
        <v>1584</v>
      </c>
      <c r="Q69" s="1886">
        <f ca="1">C39</f>
        <v>33</v>
      </c>
      <c r="R69" s="1886" t="s">
        <v>1529</v>
      </c>
    </row>
    <row r="70" spans="1:18" s="1842" customFormat="1" ht="13.8" thickBot="1">
      <c r="A70" s="1173"/>
      <c r="B70" s="1174"/>
      <c r="C70" s="355"/>
      <c r="D70" s="1185"/>
      <c r="E70" s="1169" t="s">
        <v>1477</v>
      </c>
      <c r="F70" s="1275"/>
      <c r="O70" s="1894" t="s">
        <v>1049</v>
      </c>
      <c r="P70" s="1934" t="s">
        <v>1585</v>
      </c>
      <c r="Q70" s="1886">
        <f ca="1">C13</f>
        <v>1279</v>
      </c>
      <c r="R70" s="1886" t="s">
        <v>1529</v>
      </c>
    </row>
    <row r="71" spans="1:18" s="1842" customFormat="1" ht="13.8" thickBot="1">
      <c r="A71" s="1190" t="s">
        <v>1033</v>
      </c>
      <c r="B71" s="1191" t="s">
        <v>1487</v>
      </c>
      <c r="C71" s="382">
        <f ca="1">ROUND(C68*10000/F71,0)</f>
        <v>-5686</v>
      </c>
      <c r="D71" s="1192" t="s">
        <v>1488</v>
      </c>
      <c r="E71" s="1193" t="s">
        <v>1489</v>
      </c>
      <c r="F71" s="385">
        <f ca="1">F43</f>
        <v>4126.1399999999994</v>
      </c>
      <c r="O71" s="1894" t="s">
        <v>1050</v>
      </c>
      <c r="P71" s="1934" t="s">
        <v>1586</v>
      </c>
      <c r="Q71" s="1897">
        <f ca="1">C76</f>
        <v>8.5000000000000006E-2</v>
      </c>
      <c r="R71" s="1886"/>
    </row>
    <row r="72" spans="1:18" s="1842" customFormat="1" ht="13.8" thickBot="1">
      <c r="B72" s="796"/>
      <c r="C72" s="796"/>
      <c r="O72" s="1894" t="s">
        <v>1044</v>
      </c>
      <c r="P72" s="1885" t="s">
        <v>1564</v>
      </c>
      <c r="Q72" s="1897">
        <f>L52</f>
        <v>0</v>
      </c>
      <c r="R72" s="1886"/>
    </row>
    <row r="73" spans="1:18" ht="16.2" thickBot="1">
      <c r="A73" s="1842"/>
      <c r="B73" s="796"/>
      <c r="C73" s="796"/>
      <c r="D73" s="1842"/>
      <c r="E73" s="1842"/>
      <c r="F73" s="1842"/>
      <c r="O73" s="1894" t="s">
        <v>1045</v>
      </c>
      <c r="P73" s="1885" t="s">
        <v>1567</v>
      </c>
      <c r="Q73" s="1886" t="e">
        <f ca="1">L58</f>
        <v>#DIV/0!</v>
      </c>
      <c r="R73" s="1886" t="s">
        <v>1568</v>
      </c>
    </row>
    <row r="74" spans="1:18" ht="13.8"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8" thickBot="1">
      <c r="A75" s="1842"/>
      <c r="B75" s="386" t="s">
        <v>1506</v>
      </c>
      <c r="C75" s="387">
        <f ca="1">ROUND(C13*C76,0)</f>
        <v>109</v>
      </c>
      <c r="D75" s="1842"/>
      <c r="E75" s="1842"/>
      <c r="F75" s="1842"/>
      <c r="K75" s="1868"/>
      <c r="L75" s="1842"/>
      <c r="O75" s="1884" t="s">
        <v>1046</v>
      </c>
      <c r="P75" s="1885" t="s">
        <v>1549</v>
      </c>
      <c r="Q75" s="1886">
        <f ca="1">Q65+Q66</f>
        <v>824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-2.3029999999999999</v>
      </c>
    </row>
    <row r="80" spans="1:18">
      <c r="B80" s="386" t="s">
        <v>1511</v>
      </c>
      <c r="C80" s="318">
        <f ca="1">ROUND(C75/C39,3)</f>
        <v>3.3029999999999999</v>
      </c>
    </row>
    <row r="81" spans="2:3">
      <c r="B81" s="314" t="s">
        <v>1512</v>
      </c>
      <c r="C81" s="282"/>
    </row>
    <row r="82" spans="2:3">
      <c r="B82" s="317" t="s">
        <v>1513</v>
      </c>
      <c r="C82" s="319">
        <f ca="1">1-C83</f>
        <v>-0.55200000000000005</v>
      </c>
    </row>
    <row r="83" spans="2:3">
      <c r="B83" s="317" t="s">
        <v>1514</v>
      </c>
      <c r="C83" s="318">
        <f ca="1">ROUND(C13/C40,3)</f>
        <v>1.552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1589</v>
      </c>
      <c r="B1" s="782"/>
      <c r="C1" s="1837"/>
      <c r="D1" s="1820"/>
      <c r="E1" s="1821" t="s">
        <v>1387</v>
      </c>
      <c r="F1" s="1283" t="b">
        <f>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171" t="s">
        <v>1403</v>
      </c>
      <c r="C6" s="1296">
        <f ca="1">ROUND(F6*F8*F7*(1-F9),0)</f>
        <v>0</v>
      </c>
      <c r="D6" s="164" t="s">
        <v>3028</v>
      </c>
      <c r="E6" s="347" t="s">
        <v>1405</v>
      </c>
      <c r="F6" s="348">
        <f ca="1">INDIRECT("'数据-取费表'!u"&amp;$G$1)</f>
        <v>0</v>
      </c>
      <c r="G6" s="1851"/>
      <c r="H6" s="1291" t="s">
        <v>1035</v>
      </c>
      <c r="I6" s="3171" t="s">
        <v>1403</v>
      </c>
      <c r="J6" s="346">
        <f ca="1">ROUND(M6*M8*M7*(1-M9),0)</f>
        <v>0</v>
      </c>
      <c r="K6" s="1834" t="s">
        <v>3029</v>
      </c>
      <c r="L6" s="347" t="s">
        <v>1405</v>
      </c>
      <c r="M6" s="348">
        <f ca="1">INDIRECT("'数据-取费表'!z"&amp;$G$1)</f>
        <v>0</v>
      </c>
    </row>
    <row r="7" spans="1:37" ht="18" customHeight="1">
      <c r="A7" s="1295"/>
      <c r="B7" s="3172"/>
      <c r="C7" s="1297"/>
      <c r="D7" s="352"/>
      <c r="E7" s="1298" t="s">
        <v>1406</v>
      </c>
      <c r="F7" s="348">
        <f ca="1">IF(INDIRECT("'数据-取费表'!ah"&amp;$G$1)="",INDIRECT("'数据-取费表'!k"&amp;$G$1),INDIRECT("'数据-取费表'!ah"&amp;$G$1))</f>
        <v>0</v>
      </c>
      <c r="G7" s="1851"/>
      <c r="H7" s="349"/>
      <c r="I7" s="3172"/>
      <c r="J7" s="351"/>
      <c r="K7" s="352"/>
      <c r="L7" s="347" t="s">
        <v>1406</v>
      </c>
      <c r="M7" s="348">
        <f ca="1">F7</f>
        <v>0</v>
      </c>
    </row>
    <row r="8" spans="1:37" ht="18" customHeight="1">
      <c r="A8" s="349"/>
      <c r="B8" s="3172"/>
      <c r="C8" s="351"/>
      <c r="D8" s="352"/>
      <c r="E8" s="347" t="s">
        <v>1407</v>
      </c>
      <c r="F8" s="348">
        <f ca="1">INDIRECT("'数据-取费表'!ai"&amp;$G$1)</f>
        <v>0</v>
      </c>
      <c r="G8" s="1851"/>
      <c r="H8" s="349"/>
      <c r="I8" s="3172"/>
      <c r="J8" s="351"/>
      <c r="K8" s="352"/>
      <c r="L8" s="347" t="s">
        <v>1407</v>
      </c>
      <c r="M8" s="348">
        <f ca="1">INDIRECT("'数据-取费表'!ai"&amp;$G$1)</f>
        <v>0</v>
      </c>
    </row>
    <row r="9" spans="1:37" ht="18" customHeight="1">
      <c r="A9" s="349"/>
      <c r="B9" s="3173"/>
      <c r="C9" s="351"/>
      <c r="D9" s="352"/>
      <c r="E9" s="347" t="s">
        <v>1408</v>
      </c>
      <c r="F9" s="357">
        <f ca="1">INDIRECT("'数据-取费表'!w"&amp;$G$1)</f>
        <v>0</v>
      </c>
      <c r="G9" s="1851"/>
      <c r="H9" s="349"/>
      <c r="I9" s="317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c r="G10" s="1851"/>
      <c r="H10" s="1291" t="s">
        <v>1039</v>
      </c>
      <c r="I10" s="1823" t="s">
        <v>1409</v>
      </c>
      <c r="J10" s="346">
        <f ca="1">ROUND(IF(M10="押一",J6/12*M11,IF(M10="押二",J6/12*2*M11,IF(M10="押三",J6/12*3*M11,J11*M11))),0)</f>
        <v>0</v>
      </c>
      <c r="K10" s="1835" t="s">
        <v>3041</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8"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8"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40.200000000000003"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8"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8"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8"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8"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3042</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74" t="s">
        <v>1548</v>
      </c>
      <c r="L53" s="3175"/>
      <c r="O53" s="1884" t="s">
        <v>1046</v>
      </c>
      <c r="P53" s="1885" t="s">
        <v>1549</v>
      </c>
      <c r="Q53" s="1886" t="e">
        <f ca="1">Q47+Q48</f>
        <v>#DIV/0!</v>
      </c>
      <c r="R53" s="1886" t="s">
        <v>1047</v>
      </c>
    </row>
    <row r="54" spans="1:18" s="1842" customFormat="1" ht="13.8"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8"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6"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6"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6"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2"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8"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8" thickBot="1">
      <c r="A62" s="1201" t="s">
        <v>1495</v>
      </c>
      <c r="B62" s="1168" t="s">
        <v>1496</v>
      </c>
      <c r="C62" s="25">
        <f ca="1">IF(项目基本情况!B11="自然人","——",ROUND(F62*F63,0))</f>
        <v>0</v>
      </c>
      <c r="D62" s="1184" t="s">
        <v>1497</v>
      </c>
      <c r="E62" s="1169"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8"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8"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8"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2"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24.6"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2"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8" thickBot="1">
      <c r="A69" s="1170"/>
      <c r="B69" s="1171"/>
      <c r="C69" s="351"/>
      <c r="D69" s="1189" t="s">
        <v>1473</v>
      </c>
      <c r="E69" s="1169" t="s">
        <v>1474</v>
      </c>
      <c r="F69" s="379">
        <f ca="1">F41</f>
        <v>0</v>
      </c>
      <c r="O69" s="1894" t="s">
        <v>1048</v>
      </c>
      <c r="P69" s="1934" t="s">
        <v>1584</v>
      </c>
      <c r="Q69" s="1886">
        <f ca="1">C39</f>
        <v>0</v>
      </c>
      <c r="R69" s="1886" t="s">
        <v>1529</v>
      </c>
    </row>
    <row r="70" spans="1:18" s="1842" customFormat="1" ht="13.8" thickBot="1">
      <c r="A70" s="1173"/>
      <c r="B70" s="1174"/>
      <c r="C70" s="355"/>
      <c r="D70" s="1185"/>
      <c r="E70" s="1169" t="s">
        <v>1477</v>
      </c>
      <c r="F70" s="1275">
        <f ca="1">F42</f>
        <v>0</v>
      </c>
      <c r="O70" s="1894" t="s">
        <v>1049</v>
      </c>
      <c r="P70" s="1934" t="s">
        <v>1585</v>
      </c>
      <c r="Q70" s="1886">
        <f ca="1">C13</f>
        <v>0</v>
      </c>
      <c r="R70" s="1886" t="s">
        <v>1529</v>
      </c>
    </row>
    <row r="71" spans="1:18" s="1842" customFormat="1" ht="13.8" thickBot="1">
      <c r="A71" s="1190" t="s">
        <v>1033</v>
      </c>
      <c r="B71" s="1191" t="s">
        <v>1487</v>
      </c>
      <c r="C71" s="382" t="e">
        <f ca="1">ROUND(C68/F71,0)</f>
        <v>#DIV/0!</v>
      </c>
      <c r="D71" s="1192" t="s">
        <v>1488</v>
      </c>
      <c r="E71" s="1193" t="s">
        <v>1489</v>
      </c>
      <c r="F71" s="385">
        <f ca="1">F43</f>
        <v>0</v>
      </c>
      <c r="O71" s="1894" t="s">
        <v>1050</v>
      </c>
      <c r="P71" s="1934" t="s">
        <v>1586</v>
      </c>
      <c r="Q71" s="1897">
        <f ca="1">C76</f>
        <v>8.5000000000000006E-2</v>
      </c>
      <c r="R71" s="1886"/>
    </row>
    <row r="72" spans="1:18" s="1842" customFormat="1" ht="13.8" thickBot="1">
      <c r="B72" s="796"/>
      <c r="C72" s="796"/>
      <c r="O72" s="1894" t="s">
        <v>1044</v>
      </c>
      <c r="P72" s="1885" t="s">
        <v>1564</v>
      </c>
      <c r="Q72" s="1897">
        <f>L52</f>
        <v>0</v>
      </c>
      <c r="R72" s="1886"/>
    </row>
    <row r="73" spans="1:18" ht="16.2" thickBot="1">
      <c r="A73" s="1842"/>
      <c r="B73" s="796"/>
      <c r="C73" s="796"/>
      <c r="D73" s="1842"/>
      <c r="E73" s="1842"/>
      <c r="F73" s="1842"/>
      <c r="O73" s="1894" t="s">
        <v>1045</v>
      </c>
      <c r="P73" s="1885" t="s">
        <v>1567</v>
      </c>
      <c r="Q73" s="1886" t="e">
        <f ca="1">L58</f>
        <v>#DIV/0!</v>
      </c>
      <c r="R73" s="1886" t="s">
        <v>1568</v>
      </c>
    </row>
    <row r="74" spans="1:18" ht="13.8"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8"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59" t="s">
        <v>2523</v>
      </c>
      <c r="B1" s="2560"/>
      <c r="C1" s="2560"/>
      <c r="D1" s="2560"/>
      <c r="E1" s="2561"/>
    </row>
    <row r="2" spans="1:6" ht="15.6">
      <c r="A2" s="2562" t="s">
        <v>2327</v>
      </c>
      <c r="B2" s="2563">
        <f ca="1">SUMIF(B6:B13,"&lt;&gt;#ref!",B6:B13)</f>
        <v>3049</v>
      </c>
      <c r="C2" s="2564" t="s">
        <v>2516</v>
      </c>
      <c r="D2" s="2565" t="s">
        <v>2517</v>
      </c>
      <c r="E2" s="2566">
        <f>SUM(E6:E13)</f>
        <v>5126.3799999999992</v>
      </c>
    </row>
    <row r="3" spans="1:6" ht="15.6">
      <c r="A3" s="2562" t="s">
        <v>1395</v>
      </c>
      <c r="B3" s="2563">
        <f ca="1">ROUND(B2*10000/E2,0)</f>
        <v>5948</v>
      </c>
      <c r="C3" s="2564" t="s">
        <v>2524</v>
      </c>
      <c r="D3" s="2567"/>
      <c r="E3" s="2568"/>
    </row>
    <row r="4" spans="1:6" ht="15.6">
      <c r="A4" s="2569"/>
      <c r="B4" s="2567"/>
      <c r="C4" s="2567"/>
      <c r="D4" s="2567"/>
      <c r="E4" s="2568"/>
    </row>
    <row r="5" spans="1:6" ht="14.4">
      <c r="A5" s="2570" t="s">
        <v>2518</v>
      </c>
      <c r="B5" s="3176" t="s">
        <v>2519</v>
      </c>
      <c r="C5" s="3176"/>
      <c r="D5" s="2571"/>
      <c r="E5" s="2572" t="s">
        <v>2520</v>
      </c>
      <c r="F5" s="2573" t="s">
        <v>2521</v>
      </c>
    </row>
    <row r="6" spans="1:6" ht="14.4">
      <c r="A6" s="2574">
        <f>'数据-取费表'!AN6</f>
        <v>0</v>
      </c>
      <c r="B6" s="2573" t="e">
        <f ca="1">IF(F6="是",'数据-取费表'!AO6,0)</f>
        <v>#REF!</v>
      </c>
      <c r="C6" s="2564" t="s">
        <v>2516</v>
      </c>
      <c r="D6" s="2567"/>
      <c r="E6" s="2575">
        <f>IF(OR(A6=0,F6="否"),0,'数据-取费表'!K6+'数据-取费表'!S6)</f>
        <v>0</v>
      </c>
      <c r="F6" s="2576" t="s">
        <v>2522</v>
      </c>
    </row>
    <row r="7" spans="1:6" ht="14.4">
      <c r="A7" s="2574">
        <f>'数据-取费表'!AN7</f>
        <v>0</v>
      </c>
      <c r="B7" s="2573" t="e">
        <f ca="1">IF(F7="是",'数据-取费表'!AO7,0)</f>
        <v>#REF!</v>
      </c>
      <c r="C7" s="2564" t="s">
        <v>2516</v>
      </c>
      <c r="D7" s="2567"/>
      <c r="E7" s="2575">
        <f>IF(OR(A7=0,F7="否"),0,'数据-取费表'!K7+'数据-取费表'!S7)</f>
        <v>0</v>
      </c>
      <c r="F7" s="2576" t="s">
        <v>2522</v>
      </c>
    </row>
    <row r="8" spans="1:6" ht="14.4">
      <c r="A8" s="2574">
        <f>'数据-取费表'!AN8</f>
        <v>0</v>
      </c>
      <c r="B8" s="2573" t="e">
        <f ca="1">IF(F8="是",'数据-取费表'!AO8,0)</f>
        <v>#REF!</v>
      </c>
      <c r="C8" s="2564" t="s">
        <v>2516</v>
      </c>
      <c r="D8" s="2567"/>
      <c r="E8" s="2575">
        <f>IF(OR(A8=0,F8="否"),0,'数据-取费表'!K8+'数据-取费表'!S8)</f>
        <v>0</v>
      </c>
      <c r="F8" s="2576" t="s">
        <v>2522</v>
      </c>
    </row>
    <row r="9" spans="1:6" ht="14.4">
      <c r="A9" s="2574" t="str">
        <f>'数据-取费表'!AN9</f>
        <v>收益法-商业</v>
      </c>
      <c r="B9" s="2573">
        <f ca="1">IF(F9="是",'数据-取费表'!AO9,0)</f>
        <v>2225</v>
      </c>
      <c r="C9" s="2564" t="s">
        <v>2516</v>
      </c>
      <c r="D9" s="2567"/>
      <c r="E9" s="2575">
        <f>IF(OR(A9=0,F9="否"),0,'数据-取费表'!K9+'数据-取费表'!S9)</f>
        <v>1000.2400000000001</v>
      </c>
      <c r="F9" s="2576" t="s">
        <v>2522</v>
      </c>
    </row>
    <row r="10" spans="1:6" ht="14.4">
      <c r="A10" s="2574" t="str">
        <f>'数据-取费表'!AN10</f>
        <v>收益法-仓储</v>
      </c>
      <c r="B10" s="2573">
        <f ca="1">IF(F10="是",'数据-取费表'!AO10,0)</f>
        <v>824</v>
      </c>
      <c r="C10" s="2564" t="s">
        <v>2516</v>
      </c>
      <c r="D10" s="2567"/>
      <c r="E10" s="2575">
        <f>IF(OR(A10=0,F10="否"),0,'数据-取费表'!K10+'数据-取费表'!S10)</f>
        <v>4126.1399999999994</v>
      </c>
      <c r="F10" s="2576" t="s">
        <v>2522</v>
      </c>
    </row>
    <row r="11" spans="1:6" ht="14.4">
      <c r="A11" s="2574">
        <f>'数据-取费表'!AN11</f>
        <v>0</v>
      </c>
      <c r="B11" s="2573" t="e">
        <f ca="1">IF(F11="是",'数据-取费表'!AO11,0)</f>
        <v>#REF!</v>
      </c>
      <c r="C11" s="2564" t="s">
        <v>2516</v>
      </c>
      <c r="D11" s="2567"/>
      <c r="E11" s="2575">
        <f>IF(OR(A11=0,F11="否"),0,'数据-取费表'!K11+'数据-取费表'!S11)</f>
        <v>0</v>
      </c>
      <c r="F11" s="2576" t="s">
        <v>2522</v>
      </c>
    </row>
    <row r="12" spans="1:6" ht="14.4">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4.4"/>
  <cols>
    <col min="1" max="1" width="10.44140625" customWidth="1"/>
    <col min="2" max="2" width="12.88671875" customWidth="1"/>
    <col min="3" max="3" width="8.77734375" customWidth="1"/>
  </cols>
  <sheetData>
    <row r="1" spans="1:9" ht="15.6">
      <c r="A1" s="3177" t="s">
        <v>1076</v>
      </c>
      <c r="B1" s="3178"/>
      <c r="C1" s="3179"/>
      <c r="D1" s="3180">
        <f>SUM(I10,I15,I20,I21,I23)</f>
        <v>0</v>
      </c>
      <c r="E1" s="3180"/>
      <c r="F1" s="3180"/>
      <c r="G1" s="3180"/>
      <c r="H1" s="3180"/>
      <c r="I1" s="3181"/>
    </row>
    <row r="2" spans="1:9">
      <c r="A2" s="3182" t="s">
        <v>1077</v>
      </c>
      <c r="B2" s="3183" t="s">
        <v>1078</v>
      </c>
      <c r="C2" s="3183"/>
      <c r="D2" s="1301" t="s">
        <v>1079</v>
      </c>
      <c r="E2" s="1301" t="s">
        <v>1080</v>
      </c>
      <c r="F2" s="1301" t="s">
        <v>1081</v>
      </c>
      <c r="G2" s="1301" t="s">
        <v>1082</v>
      </c>
      <c r="H2" s="1301" t="s">
        <v>1083</v>
      </c>
      <c r="I2" s="1302" t="s">
        <v>1084</v>
      </c>
    </row>
    <row r="3" spans="1:9">
      <c r="A3" s="3182"/>
      <c r="B3" s="3183" t="s">
        <v>1085</v>
      </c>
      <c r="C3" s="3183"/>
      <c r="D3" s="1303"/>
      <c r="E3" s="1301"/>
      <c r="F3" s="1304"/>
      <c r="G3" s="1304"/>
      <c r="H3" s="1305"/>
      <c r="I3" s="1306">
        <f>ROUND(D3*E3*F3*G3*H3/10000,0)</f>
        <v>0</v>
      </c>
    </row>
    <row r="4" spans="1:9">
      <c r="A4" s="3182"/>
      <c r="B4" s="3183" t="s">
        <v>1086</v>
      </c>
      <c r="C4" s="3183"/>
      <c r="D4" s="1303"/>
      <c r="E4" s="1301"/>
      <c r="F4" s="1304"/>
      <c r="G4" s="1304"/>
      <c r="H4" s="1305"/>
      <c r="I4" s="1306">
        <f t="shared" ref="I4:I9" si="0">ROUND(D4*E4*F4*G4*H4/10000,0)</f>
        <v>0</v>
      </c>
    </row>
    <row r="5" spans="1:9">
      <c r="A5" s="3182"/>
      <c r="B5" s="3183" t="s">
        <v>1087</v>
      </c>
      <c r="C5" s="3183"/>
      <c r="D5" s="1303"/>
      <c r="E5" s="1301"/>
      <c r="F5" s="1304"/>
      <c r="G5" s="1304"/>
      <c r="H5" s="1305"/>
      <c r="I5" s="1306">
        <f t="shared" si="0"/>
        <v>0</v>
      </c>
    </row>
    <row r="6" spans="1:9">
      <c r="A6" s="3182"/>
      <c r="B6" s="3183" t="s">
        <v>1088</v>
      </c>
      <c r="C6" s="3183"/>
      <c r="D6" s="1303"/>
      <c r="E6" s="1301"/>
      <c r="F6" s="1304"/>
      <c r="G6" s="1304"/>
      <c r="H6" s="1305"/>
      <c r="I6" s="1306">
        <f t="shared" si="0"/>
        <v>0</v>
      </c>
    </row>
    <row r="7" spans="1:9">
      <c r="A7" s="3182"/>
      <c r="B7" s="3183" t="s">
        <v>1089</v>
      </c>
      <c r="C7" s="3183"/>
      <c r="D7" s="1303"/>
      <c r="E7" s="1301"/>
      <c r="F7" s="1304"/>
      <c r="G7" s="1304"/>
      <c r="H7" s="1305"/>
      <c r="I7" s="1306">
        <f t="shared" si="0"/>
        <v>0</v>
      </c>
    </row>
    <row r="8" spans="1:9">
      <c r="A8" s="3182"/>
      <c r="B8" s="3183" t="s">
        <v>1090</v>
      </c>
      <c r="C8" s="3183"/>
      <c r="D8" s="1303"/>
      <c r="E8" s="1301"/>
      <c r="F8" s="1304"/>
      <c r="G8" s="1304"/>
      <c r="H8" s="1305"/>
      <c r="I8" s="1306">
        <f t="shared" si="0"/>
        <v>0</v>
      </c>
    </row>
    <row r="9" spans="1:9">
      <c r="A9" s="3182"/>
      <c r="B9" s="3183" t="s">
        <v>1091</v>
      </c>
      <c r="C9" s="3183"/>
      <c r="D9" s="1303"/>
      <c r="E9" s="1301"/>
      <c r="F9" s="1304"/>
      <c r="G9" s="1304"/>
      <c r="H9" s="1305"/>
      <c r="I9" s="1306">
        <f t="shared" si="0"/>
        <v>0</v>
      </c>
    </row>
    <row r="10" spans="1:9">
      <c r="A10" s="3182"/>
      <c r="B10" s="3184" t="s">
        <v>1092</v>
      </c>
      <c r="C10" s="3184"/>
      <c r="D10" s="1307"/>
      <c r="E10" s="1307" t="e">
        <f>ROUND(D1*10000/D10/H9,0)</f>
        <v>#DIV/0!</v>
      </c>
      <c r="F10" s="1308"/>
      <c r="G10" s="1308"/>
      <c r="H10" s="1309"/>
      <c r="I10" s="1310">
        <f>SUM(I3:I9)</f>
        <v>0</v>
      </c>
    </row>
    <row r="11" spans="1:9" ht="15.6">
      <c r="A11" s="3182" t="s">
        <v>1093</v>
      </c>
      <c r="B11" s="3183" t="s">
        <v>1094</v>
      </c>
      <c r="C11" s="3183"/>
      <c r="D11" s="1303" t="s">
        <v>1095</v>
      </c>
      <c r="E11" s="1303" t="s">
        <v>1096</v>
      </c>
      <c r="F11" s="1304" t="s">
        <v>1097</v>
      </c>
      <c r="G11" s="1304" t="s">
        <v>1083</v>
      </c>
      <c r="H11" s="1311" t="s">
        <v>1098</v>
      </c>
      <c r="I11" s="1302" t="s">
        <v>1084</v>
      </c>
    </row>
    <row r="12" spans="1:9">
      <c r="A12" s="3182"/>
      <c r="B12" s="3183" t="s">
        <v>1099</v>
      </c>
      <c r="C12" s="3183"/>
      <c r="D12" s="1303"/>
      <c r="E12" s="1303"/>
      <c r="F12" s="1304"/>
      <c r="G12" s="1305"/>
      <c r="H12" s="1312"/>
      <c r="I12" s="1302">
        <f>ROUND(D12*E12*F12*G12/10000,0)</f>
        <v>0</v>
      </c>
    </row>
    <row r="13" spans="1:9">
      <c r="A13" s="3182"/>
      <c r="B13" s="3183" t="s">
        <v>1100</v>
      </c>
      <c r="C13" s="3183"/>
      <c r="D13" s="1303"/>
      <c r="E13" s="1303"/>
      <c r="F13" s="1304"/>
      <c r="G13" s="1305"/>
      <c r="H13" s="1312"/>
      <c r="I13" s="1302">
        <f>ROUND(D13*E13*F13*G13/10000,0)</f>
        <v>0</v>
      </c>
    </row>
    <row r="14" spans="1:9">
      <c r="A14" s="3182"/>
      <c r="B14" s="3183" t="s">
        <v>1101</v>
      </c>
      <c r="C14" s="3183"/>
      <c r="D14" s="1303"/>
      <c r="E14" s="1303"/>
      <c r="F14" s="1304"/>
      <c r="G14" s="1305"/>
      <c r="H14" s="1312"/>
      <c r="I14" s="1302">
        <f>ROUND(D14*E14*F14*G14/10000,0)</f>
        <v>0</v>
      </c>
    </row>
    <row r="15" spans="1:9">
      <c r="A15" s="3182"/>
      <c r="B15" s="3184" t="s">
        <v>1092</v>
      </c>
      <c r="C15" s="3184"/>
      <c r="D15" s="1307"/>
      <c r="E15" s="1307">
        <f>SUM(E12:E14)</f>
        <v>0</v>
      </c>
      <c r="F15" s="1308"/>
      <c r="G15" s="1305"/>
      <c r="H15" s="1312"/>
      <c r="I15" s="1313">
        <f>SUM(I12:I14)</f>
        <v>0</v>
      </c>
    </row>
    <row r="16" spans="1:9" ht="24">
      <c r="A16" s="3182" t="s">
        <v>1102</v>
      </c>
      <c r="B16" s="3183" t="s">
        <v>1103</v>
      </c>
      <c r="C16" s="3183"/>
      <c r="D16" s="1303" t="s">
        <v>1079</v>
      </c>
      <c r="E16" s="1314" t="s">
        <v>1104</v>
      </c>
      <c r="F16" s="1304" t="s">
        <v>1105</v>
      </c>
      <c r="G16" s="1305" t="s">
        <v>1083</v>
      </c>
      <c r="H16" s="1311" t="s">
        <v>1098</v>
      </c>
      <c r="I16" s="1302" t="s">
        <v>1084</v>
      </c>
    </row>
    <row r="17" spans="1:9" ht="15.6">
      <c r="A17" s="3182"/>
      <c r="B17" s="3183" t="s">
        <v>1106</v>
      </c>
      <c r="C17" s="3183"/>
      <c r="D17" s="1303"/>
      <c r="E17" s="1303"/>
      <c r="F17" s="1304"/>
      <c r="G17" s="1305"/>
      <c r="H17" s="1315"/>
      <c r="I17" s="1316">
        <f>ROUND(D17*E17*F17*G17/10000,0)</f>
        <v>0</v>
      </c>
    </row>
    <row r="18" spans="1:9" ht="15.6">
      <c r="A18" s="3182"/>
      <c r="B18" s="3183" t="s">
        <v>1107</v>
      </c>
      <c r="C18" s="3183"/>
      <c r="D18" s="1303"/>
      <c r="E18" s="1303"/>
      <c r="F18" s="1304"/>
      <c r="G18" s="1305"/>
      <c r="H18" s="1315"/>
      <c r="I18" s="1316">
        <f>ROUND(D18*E18*F18*G18/10000,0)</f>
        <v>0</v>
      </c>
    </row>
    <row r="19" spans="1:9" ht="15.6">
      <c r="A19" s="3182"/>
      <c r="B19" s="3183" t="s">
        <v>1108</v>
      </c>
      <c r="C19" s="3183"/>
      <c r="D19" s="1303"/>
      <c r="E19" s="1303"/>
      <c r="F19" s="1304"/>
      <c r="G19" s="1305"/>
      <c r="H19" s="1315"/>
      <c r="I19" s="1316">
        <f>ROUND(D19*E19*F19*G19/10000,0)</f>
        <v>0</v>
      </c>
    </row>
    <row r="20" spans="1:9">
      <c r="A20" s="3182"/>
      <c r="B20" s="3184" t="s">
        <v>1092</v>
      </c>
      <c r="C20" s="3184"/>
      <c r="D20" s="1307">
        <f>SUM(D17:D19)</f>
        <v>0</v>
      </c>
      <c r="E20" s="1307"/>
      <c r="F20" s="1308"/>
      <c r="G20" s="1305"/>
      <c r="H20" s="1312"/>
      <c r="I20" s="1313">
        <f>SUM(I17:I19)</f>
        <v>0</v>
      </c>
    </row>
    <row r="21" spans="1:9">
      <c r="A21" s="3182" t="s">
        <v>1109</v>
      </c>
      <c r="B21" s="3186"/>
      <c r="C21" s="3186"/>
      <c r="D21" s="3186"/>
      <c r="E21" s="3186"/>
      <c r="F21" s="3186"/>
      <c r="G21" s="3186"/>
      <c r="H21" s="1765">
        <v>0.1</v>
      </c>
      <c r="I21" s="1310">
        <f>ROUND(I10*H21,0)</f>
        <v>0</v>
      </c>
    </row>
    <row r="22" spans="1:9" ht="15.6">
      <c r="A22" s="3187" t="s">
        <v>1110</v>
      </c>
      <c r="B22" s="3188"/>
      <c r="C22" s="3189"/>
      <c r="D22" s="1317" t="s">
        <v>1111</v>
      </c>
      <c r="E22" s="1317" t="s">
        <v>1112</v>
      </c>
      <c r="F22" s="1318" t="s">
        <v>1113</v>
      </c>
      <c r="G22" s="1318" t="s">
        <v>1114</v>
      </c>
      <c r="H22" s="1311" t="s">
        <v>1115</v>
      </c>
      <c r="I22" s="1302" t="s">
        <v>1116</v>
      </c>
    </row>
    <row r="23" spans="1:9" ht="15" thickBot="1">
      <c r="A23" s="3190"/>
      <c r="B23" s="3191"/>
      <c r="C23" s="3192"/>
      <c r="D23" s="1319"/>
      <c r="E23" s="1319"/>
      <c r="F23" s="1319"/>
      <c r="G23" s="1320"/>
      <c r="H23" s="1321"/>
      <c r="I23" s="1322">
        <f>ROUND(E23*D23*F23*(1-G23)/10000,0)</f>
        <v>0</v>
      </c>
    </row>
    <row r="26" spans="1:9">
      <c r="A26" s="1323" t="s">
        <v>1117</v>
      </c>
      <c r="B26" s="1323"/>
      <c r="C26" s="1323"/>
      <c r="D26" s="1323"/>
      <c r="E26" s="3193">
        <f>C27-C30-C31-C32</f>
        <v>0</v>
      </c>
      <c r="F26" s="3193"/>
      <c r="G26" s="3193"/>
      <c r="H26" s="1737" t="s">
        <v>1340</v>
      </c>
    </row>
    <row r="27" spans="1:9">
      <c r="A27" s="1324">
        <v>1</v>
      </c>
      <c r="B27" s="1325" t="s">
        <v>1118</v>
      </c>
      <c r="C27" s="1325">
        <f>C28+C29</f>
        <v>0</v>
      </c>
      <c r="D27" s="1325"/>
      <c r="E27" s="3194"/>
      <c r="F27" s="3194"/>
      <c r="G27" s="3194"/>
    </row>
    <row r="28" spans="1:9">
      <c r="A28" s="1326" t="s">
        <v>1119</v>
      </c>
      <c r="B28" s="1325" t="s">
        <v>1120</v>
      </c>
      <c r="C28" s="1325"/>
      <c r="D28" s="1325"/>
      <c r="E28" s="3194"/>
      <c r="F28" s="3194"/>
      <c r="G28" s="319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5"/>
      <c r="F32" s="3185"/>
      <c r="G32" s="3185"/>
    </row>
    <row r="33" spans="1:7" hidden="1">
      <c r="A33" s="3195" t="s">
        <v>1129</v>
      </c>
      <c r="B33" s="3196"/>
      <c r="C33" s="3196"/>
      <c r="D33" s="3197"/>
      <c r="E33" s="3193"/>
      <c r="F33" s="3193"/>
      <c r="G33" s="3193"/>
    </row>
    <row r="34" spans="1:7" hidden="1">
      <c r="A34" s="1328">
        <v>1</v>
      </c>
      <c r="B34" s="1325" t="s">
        <v>1130</v>
      </c>
      <c r="C34" s="1325"/>
      <c r="D34" s="1325"/>
      <c r="E34" s="3194"/>
      <c r="F34" s="3194"/>
      <c r="G34" s="3194"/>
    </row>
    <row r="35" spans="1:7" hidden="1">
      <c r="A35" s="1328">
        <v>2</v>
      </c>
      <c r="B35" s="1325" t="s">
        <v>1131</v>
      </c>
      <c r="C35" s="1325"/>
      <c r="D35" s="1325"/>
      <c r="E35" s="3194"/>
      <c r="F35" s="3194"/>
      <c r="G35" s="3194"/>
    </row>
    <row r="36" spans="1:7" hidden="1">
      <c r="A36" s="1328">
        <v>3</v>
      </c>
      <c r="B36" s="1325" t="s">
        <v>1132</v>
      </c>
      <c r="C36" s="1325"/>
      <c r="D36" s="1325"/>
      <c r="E36" s="3194"/>
      <c r="F36" s="3194"/>
      <c r="G36" s="3194"/>
    </row>
    <row r="37" spans="1:7" hidden="1">
      <c r="A37" s="1328">
        <v>4</v>
      </c>
      <c r="B37" s="1325" t="s">
        <v>1133</v>
      </c>
      <c r="C37" s="1325"/>
      <c r="D37" s="1325"/>
      <c r="E37" s="3194"/>
      <c r="F37" s="3194"/>
      <c r="G37" s="3194"/>
    </row>
    <row r="38" spans="1:7" hidden="1">
      <c r="A38" s="3195" t="s">
        <v>1134</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70" zoomScaleNormal="70" workbookViewId="0">
      <selection activeCell="I47" sqref="I47:I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2526</v>
      </c>
      <c r="C1" s="1634" t="s">
        <v>2527</v>
      </c>
      <c r="D1" s="1621" t="s">
        <v>3089</v>
      </c>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55135</v>
      </c>
      <c r="C2" s="2584" t="s">
        <v>70</v>
      </c>
      <c r="D2" s="1365" t="e">
        <f ca="1">SUMIF(INDIRECT("'"&amp;F2&amp;"'"&amp;"!A:A"),"承租人权益价值",INDIRECT("'"&amp;F2&amp;"'"&amp;"!c:c"))</f>
        <v>#REF!</v>
      </c>
      <c r="E2" s="2585" t="s">
        <v>2328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13952</v>
      </c>
      <c r="C3" s="400" t="s">
        <v>2531</v>
      </c>
      <c r="D3" s="399">
        <f>IF(D1="",'数据-汇总表'!E3,SUMIF('数据-汇总表'!$C19:$C33,D1,'数据-汇总表'!$E19:$E33))</f>
        <v>39517.880000000085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2532</v>
      </c>
      <c r="B4" s="402"/>
      <c r="C4" s="3201" t="s">
        <v>2533</v>
      </c>
      <c r="D4" s="3202"/>
      <c r="E4" s="3203" t="s">
        <v>2534</v>
      </c>
      <c r="F4" s="3204"/>
      <c r="G4" s="3201" t="s">
        <v>2535</v>
      </c>
      <c r="H4" s="3202"/>
      <c r="I4" s="3201" t="s">
        <v>2536</v>
      </c>
      <c r="J4" s="3202"/>
      <c r="K4" s="2594" t="s">
        <v>2537</v>
      </c>
      <c r="L4" s="1130"/>
      <c r="M4" s="1131"/>
      <c r="N4" s="1131"/>
      <c r="O4" s="1131"/>
      <c r="P4" s="3205" t="s">
        <v>2538</v>
      </c>
      <c r="Q4" s="3206"/>
      <c r="R4" s="3211" t="s">
        <v>2534</v>
      </c>
      <c r="S4" s="3212"/>
      <c r="T4" s="3211" t="s">
        <v>2535</v>
      </c>
      <c r="U4" s="3212"/>
      <c r="V4" s="3223" t="s">
        <v>2536</v>
      </c>
      <c r="W4" s="3223"/>
      <c r="X4" s="2963"/>
      <c r="Y4" s="3211" t="s">
        <v>2538</v>
      </c>
      <c r="Z4" s="3212"/>
      <c r="AA4" s="3198" t="s">
        <v>2534</v>
      </c>
      <c r="AB4" s="3198" t="s">
        <v>2535</v>
      </c>
      <c r="AC4" s="3198" t="s">
        <v>2536</v>
      </c>
    </row>
    <row r="5" spans="1:29">
      <c r="A5" s="404"/>
      <c r="B5" s="405"/>
      <c r="C5" s="3215" t="s">
        <v>3462</v>
      </c>
      <c r="D5" s="3216"/>
      <c r="E5" s="3217" t="s">
        <v>3491</v>
      </c>
      <c r="F5" s="3218"/>
      <c r="G5" s="3215" t="s">
        <v>3489</v>
      </c>
      <c r="H5" s="3216"/>
      <c r="I5" s="3215" t="s">
        <v>3465</v>
      </c>
      <c r="J5" s="3216"/>
      <c r="K5" s="2595"/>
      <c r="L5" s="1130"/>
      <c r="M5" s="1131"/>
      <c r="N5" s="1131"/>
      <c r="O5" s="1131"/>
      <c r="P5" s="3207"/>
      <c r="Q5" s="3208"/>
      <c r="R5" s="3213"/>
      <c r="S5" s="3214"/>
      <c r="T5" s="3213"/>
      <c r="U5" s="3214"/>
      <c r="V5" s="3223"/>
      <c r="W5" s="3223"/>
      <c r="X5" s="2963"/>
      <c r="Y5" s="3213"/>
      <c r="Z5" s="3214"/>
      <c r="AA5" s="3199"/>
      <c r="AB5" s="3199"/>
      <c r="AC5" s="3199"/>
    </row>
    <row r="6" spans="1:29" ht="15" thickBot="1">
      <c r="A6" s="406"/>
      <c r="B6" s="407"/>
      <c r="C6" s="3219" t="s">
        <v>3433</v>
      </c>
      <c r="D6" s="3220"/>
      <c r="E6" s="3219" t="s">
        <v>3433</v>
      </c>
      <c r="F6" s="3220"/>
      <c r="G6" s="3219" t="s">
        <v>3433</v>
      </c>
      <c r="H6" s="3220"/>
      <c r="I6" s="3219" t="s">
        <v>3433</v>
      </c>
      <c r="J6" s="3220"/>
      <c r="K6" s="2595" t="s">
        <v>2544</v>
      </c>
      <c r="L6" s="1130"/>
      <c r="M6" s="1131"/>
      <c r="N6" s="1131"/>
      <c r="O6" s="1131"/>
      <c r="P6" s="3209"/>
      <c r="Q6" s="3210"/>
      <c r="R6" s="3213"/>
      <c r="S6" s="3214"/>
      <c r="T6" s="3221"/>
      <c r="U6" s="3222"/>
      <c r="V6" s="3223"/>
      <c r="W6" s="3223"/>
      <c r="X6" s="2963"/>
      <c r="Y6" s="3221"/>
      <c r="Z6" s="3222"/>
      <c r="AA6" s="3200"/>
      <c r="AB6" s="3200"/>
      <c r="AC6" s="3200"/>
    </row>
    <row r="7" spans="1:29" s="117" customFormat="1" ht="15" thickBot="1">
      <c r="A7" s="408" t="s">
        <v>2545</v>
      </c>
      <c r="B7" s="409"/>
      <c r="C7" s="410">
        <f>'数据-取费表'!B2</f>
        <v>43356</v>
      </c>
      <c r="D7" s="411">
        <v>100</v>
      </c>
      <c r="E7" s="412">
        <v>43344</v>
      </c>
      <c r="F7" s="413">
        <f>SUMIF(58:58,YEAR(E7)&amp;"-"&amp;MONTH(E7),59:59)</f>
        <v>100</v>
      </c>
      <c r="G7" s="412">
        <v>43344</v>
      </c>
      <c r="H7" s="411">
        <f>SUMIF(58:58,YEAR(G7)&amp;"-"&amp;MONTH(G7),59:59)</f>
        <v>100</v>
      </c>
      <c r="I7" s="412">
        <v>43344</v>
      </c>
      <c r="J7" s="411">
        <f>SUMIF(58:58,YEAR(I7)&amp;"-"&amp;MONTH(I7),59:59)</f>
        <v>100</v>
      </c>
      <c r="K7" s="2596"/>
      <c r="L7" s="1132"/>
      <c r="M7" s="1133"/>
      <c r="N7" s="1133"/>
      <c r="O7" s="1133"/>
      <c r="P7" s="3224" t="s">
        <v>2546</v>
      </c>
      <c r="Q7" s="3225"/>
      <c r="R7" s="770" t="s">
        <v>23</v>
      </c>
      <c r="S7" s="771">
        <f t="shared" ref="S7:S15" si="0">F7</f>
        <v>100</v>
      </c>
      <c r="T7" s="770" t="s">
        <v>23</v>
      </c>
      <c r="U7" s="771">
        <f t="shared" ref="U7:U15" si="1">H7</f>
        <v>100</v>
      </c>
      <c r="V7" s="770" t="s">
        <v>23</v>
      </c>
      <c r="W7" s="771">
        <f t="shared" ref="W7:W15" si="2">J7</f>
        <v>100</v>
      </c>
      <c r="X7" s="772"/>
      <c r="Y7" s="3224" t="s">
        <v>2546</v>
      </c>
      <c r="Z7" s="3226"/>
      <c r="AA7" s="773">
        <f>D7/F7</f>
        <v>1</v>
      </c>
      <c r="AB7" s="773">
        <f>D7/H7</f>
        <v>1</v>
      </c>
      <c r="AC7" s="773">
        <f>D7/J7</f>
        <v>1</v>
      </c>
    </row>
    <row r="8" spans="1:29" s="117" customFormat="1" ht="15" thickBot="1">
      <c r="A8" s="408" t="s">
        <v>2547</v>
      </c>
      <c r="B8" s="409"/>
      <c r="C8" s="414" t="s">
        <v>2548</v>
      </c>
      <c r="D8" s="411">
        <v>100</v>
      </c>
      <c r="E8" s="414" t="s">
        <v>2548</v>
      </c>
      <c r="F8" s="413">
        <f>SUMIF(61:61,E8,62:62)-SUMIF(61:61,C8,62:62)+100</f>
        <v>100</v>
      </c>
      <c r="G8" s="414" t="s">
        <v>2548</v>
      </c>
      <c r="H8" s="411">
        <f>SUMIF(61:61,G8,62:62)-SUMIF(61:61,C8,62:62)+100</f>
        <v>100</v>
      </c>
      <c r="I8" s="414" t="s">
        <v>2548</v>
      </c>
      <c r="J8" s="411">
        <f>SUMIF(61:61,I8,62:62)-SUMIF(61:61,C8,62:62)+100</f>
        <v>100</v>
      </c>
      <c r="K8" s="2596"/>
      <c r="L8" s="1132"/>
      <c r="M8" s="1133"/>
      <c r="N8" s="1133"/>
      <c r="O8" s="1133"/>
      <c r="P8" s="3224" t="s">
        <v>2549</v>
      </c>
      <c r="Q8" s="3226"/>
      <c r="R8" s="770" t="s">
        <v>23</v>
      </c>
      <c r="S8" s="771">
        <f t="shared" si="0"/>
        <v>100</v>
      </c>
      <c r="T8" s="770" t="s">
        <v>23</v>
      </c>
      <c r="U8" s="771">
        <f t="shared" si="1"/>
        <v>100</v>
      </c>
      <c r="V8" s="770" t="s">
        <v>23</v>
      </c>
      <c r="W8" s="771">
        <f t="shared" si="2"/>
        <v>100</v>
      </c>
      <c r="X8" s="772"/>
      <c r="Y8" s="3224" t="s">
        <v>2549</v>
      </c>
      <c r="Z8" s="3226"/>
      <c r="AA8" s="773">
        <f t="shared" ref="AA8:AA19" si="3">D8/F8</f>
        <v>1</v>
      </c>
      <c r="AB8" s="773">
        <f t="shared" ref="AB8:AB19" si="4">D8/H8</f>
        <v>1</v>
      </c>
      <c r="AC8" s="773">
        <f t="shared" ref="AC8:AC19" si="5">D8/J8</f>
        <v>1</v>
      </c>
    </row>
    <row r="9" spans="1:29" s="117" customFormat="1" ht="14.4">
      <c r="A9" s="415" t="s">
        <v>2550</v>
      </c>
      <c r="B9" s="71" t="s">
        <v>2551</v>
      </c>
      <c r="C9" s="2967" t="s">
        <v>3463</v>
      </c>
      <c r="D9" s="135">
        <v>100</v>
      </c>
      <c r="E9" s="417" t="s">
        <v>3057</v>
      </c>
      <c r="F9" s="418">
        <f>SUMIF(63:63,E9,64:64)-SUMIF(63:63,C9,64:64)+100</f>
        <v>100</v>
      </c>
      <c r="G9" s="417" t="s">
        <v>3057</v>
      </c>
      <c r="H9" s="135">
        <f>SUMIF(63:63,G9,64:64)-SUMIF(63:63,C9,64:64)+100</f>
        <v>100</v>
      </c>
      <c r="I9" s="417" t="s">
        <v>3057</v>
      </c>
      <c r="J9" s="135">
        <f>SUMIF(63:63,I9,64:64)-SUMIF(63:63,C9,64:64)+100</f>
        <v>100</v>
      </c>
      <c r="K9" s="2596"/>
      <c r="L9" s="1132"/>
      <c r="M9" s="1133"/>
      <c r="N9" s="1133"/>
      <c r="O9" s="1133"/>
      <c r="P9" s="3227" t="s">
        <v>2552</v>
      </c>
      <c r="Q9" s="2949" t="str">
        <f t="shared" ref="Q9:Q15" si="6">B9</f>
        <v>用途</v>
      </c>
      <c r="R9" s="770" t="s">
        <v>17</v>
      </c>
      <c r="S9" s="771">
        <f t="shared" si="0"/>
        <v>100</v>
      </c>
      <c r="T9" s="770" t="s">
        <v>17</v>
      </c>
      <c r="U9" s="771">
        <f t="shared" si="1"/>
        <v>100</v>
      </c>
      <c r="V9" s="770" t="s">
        <v>17</v>
      </c>
      <c r="W9" s="771">
        <f t="shared" si="2"/>
        <v>100</v>
      </c>
      <c r="X9" s="772"/>
      <c r="Y9" s="3047" t="s">
        <v>2553</v>
      </c>
      <c r="Z9" s="2950" t="str">
        <f t="shared" ref="Z9:Z15" si="7">Q9</f>
        <v>用途</v>
      </c>
      <c r="AA9" s="773">
        <f t="shared" si="3"/>
        <v>1</v>
      </c>
      <c r="AB9" s="773">
        <f t="shared" si="4"/>
        <v>1</v>
      </c>
      <c r="AC9" s="773">
        <f t="shared" si="5"/>
        <v>1</v>
      </c>
    </row>
    <row r="10" spans="1:29" s="427" customFormat="1" ht="28.8">
      <c r="A10" s="421"/>
      <c r="B10" s="2955" t="s">
        <v>2554</v>
      </c>
      <c r="C10" s="423" t="s">
        <v>3464</v>
      </c>
      <c r="D10" s="136">
        <v>100</v>
      </c>
      <c r="E10" s="424" t="s">
        <v>3464</v>
      </c>
      <c r="F10" s="425">
        <f>SUMIF(65:65,E10,66:66)-SUMIF(65:65,C10,66:66)+100</f>
        <v>100</v>
      </c>
      <c r="G10" s="424" t="s">
        <v>3464</v>
      </c>
      <c r="H10" s="136">
        <f>SUMIF(65:65,G10,66:66)-SUMIF(65:65,C10,66:66)+100</f>
        <v>100</v>
      </c>
      <c r="I10" s="424" t="s">
        <v>3464</v>
      </c>
      <c r="J10" s="136">
        <f>SUMIF(65:65,I10,66:66)-SUMIF(65:65,C10,66:66)+100</f>
        <v>100</v>
      </c>
      <c r="K10" s="426">
        <v>1</v>
      </c>
      <c r="L10" s="1135"/>
      <c r="M10" s="1136"/>
      <c r="N10" s="1136"/>
      <c r="O10" s="1136"/>
      <c r="P10" s="3227"/>
      <c r="Q10" s="2949" t="str">
        <f t="shared" si="6"/>
        <v>土地使用年限（年）</v>
      </c>
      <c r="R10" s="770" t="s">
        <v>17</v>
      </c>
      <c r="S10" s="771">
        <f t="shared" si="0"/>
        <v>100</v>
      </c>
      <c r="T10" s="770" t="s">
        <v>17</v>
      </c>
      <c r="U10" s="771">
        <f t="shared" si="1"/>
        <v>100</v>
      </c>
      <c r="V10" s="770" t="s">
        <v>17</v>
      </c>
      <c r="W10" s="771">
        <f t="shared" si="2"/>
        <v>100</v>
      </c>
      <c r="X10" s="772"/>
      <c r="Y10" s="3047"/>
      <c r="Z10" s="2950" t="str">
        <f t="shared" si="7"/>
        <v>土地使用年限（年）</v>
      </c>
      <c r="AA10" s="773">
        <f t="shared" si="3"/>
        <v>1</v>
      </c>
      <c r="AB10" s="773">
        <f t="shared" si="4"/>
        <v>1</v>
      </c>
      <c r="AC10" s="773">
        <f t="shared" si="5"/>
        <v>1</v>
      </c>
    </row>
    <row r="11" spans="1:29" ht="15">
      <c r="A11" s="428"/>
      <c r="B11" s="2955" t="s">
        <v>2555</v>
      </c>
      <c r="C11" s="429">
        <f>'土地比较法-住宅、综合'!C11</f>
        <v>1.8</v>
      </c>
      <c r="D11" s="136">
        <v>100</v>
      </c>
      <c r="E11" s="430">
        <v>2</v>
      </c>
      <c r="F11" s="425">
        <f>LOOKUP(E11,68:68,69:69)-LOOKUP(C11,68:68,69:69)+100</f>
        <v>99.5</v>
      </c>
      <c r="G11" s="429">
        <v>1.5</v>
      </c>
      <c r="H11" s="136">
        <f>LOOKUP(G11,68:68,69:69)-LOOKUP(C11,68:68,69:69)+100</f>
        <v>100</v>
      </c>
      <c r="I11" s="429">
        <v>2</v>
      </c>
      <c r="J11" s="136">
        <f>LOOKUP(I11,68:68,69:69)-LOOKUP(C11,68:68,69:69)+100</f>
        <v>99.5</v>
      </c>
      <c r="K11" s="426">
        <v>0.5</v>
      </c>
      <c r="L11" s="1138"/>
      <c r="M11" s="1131"/>
      <c r="N11" s="1131"/>
      <c r="O11" s="1131"/>
      <c r="P11" s="3227"/>
      <c r="Q11" s="2949" t="str">
        <f t="shared" si="6"/>
        <v>容积率</v>
      </c>
      <c r="R11" s="770" t="s">
        <v>21</v>
      </c>
      <c r="S11" s="771">
        <f t="shared" si="0"/>
        <v>99.5</v>
      </c>
      <c r="T11" s="770" t="s">
        <v>21</v>
      </c>
      <c r="U11" s="771">
        <f t="shared" si="1"/>
        <v>100</v>
      </c>
      <c r="V11" s="770" t="s">
        <v>21</v>
      </c>
      <c r="W11" s="771">
        <f t="shared" si="2"/>
        <v>99.5</v>
      </c>
      <c r="X11" s="772"/>
      <c r="Y11" s="3047"/>
      <c r="Z11" s="2950" t="str">
        <f t="shared" si="7"/>
        <v>容积率</v>
      </c>
      <c r="AA11" s="773">
        <f t="shared" si="3"/>
        <v>1.0050251256281406</v>
      </c>
      <c r="AB11" s="773">
        <f t="shared" si="4"/>
        <v>1</v>
      </c>
      <c r="AC11" s="773">
        <f t="shared" si="5"/>
        <v>1.0050251256281406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27"/>
      <c r="Q12" s="2949">
        <f t="shared" si="6"/>
        <v>111</v>
      </c>
      <c r="R12" s="770" t="s">
        <v>21</v>
      </c>
      <c r="S12" s="771">
        <f t="shared" si="0"/>
        <v>100</v>
      </c>
      <c r="T12" s="770" t="s">
        <v>21</v>
      </c>
      <c r="U12" s="771">
        <f t="shared" si="1"/>
        <v>100</v>
      </c>
      <c r="V12" s="770" t="s">
        <v>21</v>
      </c>
      <c r="W12" s="771">
        <f t="shared" si="2"/>
        <v>100</v>
      </c>
      <c r="X12" s="772"/>
      <c r="Y12" s="3047"/>
      <c r="Z12" s="2950">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27"/>
      <c r="Q13" s="2949">
        <f t="shared" si="6"/>
        <v>111</v>
      </c>
      <c r="R13" s="770" t="s">
        <v>21</v>
      </c>
      <c r="S13" s="771">
        <f t="shared" si="0"/>
        <v>100</v>
      </c>
      <c r="T13" s="770" t="s">
        <v>21</v>
      </c>
      <c r="U13" s="771">
        <f t="shared" si="1"/>
        <v>100</v>
      </c>
      <c r="V13" s="770" t="s">
        <v>21</v>
      </c>
      <c r="W13" s="771">
        <f t="shared" si="2"/>
        <v>100</v>
      </c>
      <c r="X13" s="772"/>
      <c r="Y13" s="3047"/>
      <c r="Z13" s="2950">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27"/>
      <c r="Q14" s="2949">
        <f t="shared" si="6"/>
        <v>111</v>
      </c>
      <c r="R14" s="770" t="s">
        <v>21</v>
      </c>
      <c r="S14" s="771">
        <f t="shared" si="0"/>
        <v>100</v>
      </c>
      <c r="T14" s="770" t="s">
        <v>21</v>
      </c>
      <c r="U14" s="771">
        <f t="shared" si="1"/>
        <v>100</v>
      </c>
      <c r="V14" s="770" t="s">
        <v>21</v>
      </c>
      <c r="W14" s="771">
        <f t="shared" si="2"/>
        <v>100</v>
      </c>
      <c r="X14" s="772"/>
      <c r="Y14" s="3047"/>
      <c r="Z14" s="2950">
        <f t="shared" si="7"/>
        <v>111</v>
      </c>
      <c r="AA14" s="773">
        <f t="shared" si="3"/>
        <v>1</v>
      </c>
      <c r="AB14" s="773">
        <f t="shared" si="4"/>
        <v>1</v>
      </c>
      <c r="AC14" s="773">
        <f t="shared" si="5"/>
        <v>1</v>
      </c>
    </row>
    <row r="15" spans="1:29" ht="96.6">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0"/>
      <c r="M15" s="1131"/>
      <c r="N15" s="1131"/>
      <c r="O15" s="1131"/>
      <c r="P15" s="3228" t="s">
        <v>2557</v>
      </c>
      <c r="Q15" s="2961" t="str">
        <f t="shared" si="6"/>
        <v>居住社区成熟度</v>
      </c>
      <c r="R15" s="774" t="s">
        <v>21</v>
      </c>
      <c r="S15" s="775">
        <f t="shared" si="0"/>
        <v>100</v>
      </c>
      <c r="T15" s="774" t="s">
        <v>21</v>
      </c>
      <c r="U15" s="775">
        <f t="shared" si="1"/>
        <v>100</v>
      </c>
      <c r="V15" s="774" t="s">
        <v>21</v>
      </c>
      <c r="W15" s="775">
        <f t="shared" si="2"/>
        <v>100</v>
      </c>
      <c r="X15" s="2963"/>
      <c r="Y15" s="3230" t="s">
        <v>2557</v>
      </c>
      <c r="Z15" s="2964" t="str">
        <f t="shared" si="7"/>
        <v>居住社区成熟度</v>
      </c>
      <c r="AA15" s="2962">
        <f t="shared" si="3"/>
        <v>1</v>
      </c>
      <c r="AB15" s="2962">
        <f t="shared" si="4"/>
        <v>1</v>
      </c>
      <c r="AC15" s="2962">
        <f t="shared" si="5"/>
        <v>1</v>
      </c>
    </row>
    <row r="16" spans="1:29" ht="15">
      <c r="A16" s="428"/>
      <c r="B16" s="446"/>
      <c r="C16" s="447" t="s">
        <v>3436</v>
      </c>
      <c r="D16" s="448"/>
      <c r="E16" s="447" t="s">
        <v>3436</v>
      </c>
      <c r="F16" s="448"/>
      <c r="G16" s="447" t="s">
        <v>3436</v>
      </c>
      <c r="H16" s="450"/>
      <c r="I16" s="447" t="s">
        <v>3436</v>
      </c>
      <c r="J16" s="448"/>
      <c r="K16" s="2603"/>
      <c r="L16" s="1140"/>
      <c r="M16" s="1131"/>
      <c r="N16" s="1131"/>
      <c r="O16" s="1131"/>
      <c r="P16" s="3229"/>
      <c r="Q16" s="2961"/>
      <c r="R16" s="774"/>
      <c r="S16" s="775"/>
      <c r="T16" s="774"/>
      <c r="U16" s="775"/>
      <c r="V16" s="774"/>
      <c r="W16" s="775"/>
      <c r="X16" s="2963"/>
      <c r="Y16" s="3231"/>
      <c r="Z16" s="2964"/>
      <c r="AA16" s="2962">
        <v>1</v>
      </c>
      <c r="AB16" s="2962">
        <v>1</v>
      </c>
      <c r="AC16" s="2962">
        <v>1</v>
      </c>
    </row>
    <row r="17" spans="1:29" ht="82.8">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0"/>
      <c r="M17" s="1131"/>
      <c r="N17" s="1131"/>
      <c r="O17" s="1131"/>
      <c r="P17" s="3229"/>
      <c r="Q17" s="2961" t="str">
        <f>B17</f>
        <v>交通便捷度</v>
      </c>
      <c r="R17" s="774" t="s">
        <v>21</v>
      </c>
      <c r="S17" s="775">
        <f>F17</f>
        <v>100</v>
      </c>
      <c r="T17" s="774" t="s">
        <v>21</v>
      </c>
      <c r="U17" s="775">
        <f>H17</f>
        <v>100</v>
      </c>
      <c r="V17" s="774" t="s">
        <v>21</v>
      </c>
      <c r="W17" s="775">
        <f>J17</f>
        <v>100</v>
      </c>
      <c r="X17" s="2963"/>
      <c r="Y17" s="3231"/>
      <c r="Z17" s="2964" t="str">
        <f>Q17</f>
        <v>交通便捷度</v>
      </c>
      <c r="AA17" s="2962">
        <f t="shared" si="3"/>
        <v>1</v>
      </c>
      <c r="AB17" s="2962">
        <f t="shared" si="4"/>
        <v>1</v>
      </c>
      <c r="AC17" s="2962">
        <f t="shared" si="5"/>
        <v>1</v>
      </c>
    </row>
    <row r="18" spans="1:29" ht="15">
      <c r="A18" s="428"/>
      <c r="B18" s="456"/>
      <c r="C18" s="2605" t="s">
        <v>3437</v>
      </c>
      <c r="D18" s="450"/>
      <c r="E18" s="2605" t="s">
        <v>3437</v>
      </c>
      <c r="F18" s="450"/>
      <c r="G18" s="2605" t="s">
        <v>3437</v>
      </c>
      <c r="H18" s="448"/>
      <c r="I18" s="2605" t="s">
        <v>3437</v>
      </c>
      <c r="J18" s="448"/>
      <c r="K18" s="2603"/>
      <c r="L18" s="1140"/>
      <c r="M18" s="1131"/>
      <c r="N18" s="1131"/>
      <c r="O18" s="1131"/>
      <c r="P18" s="3229"/>
      <c r="Q18" s="2961"/>
      <c r="R18" s="774"/>
      <c r="S18" s="775"/>
      <c r="T18" s="774"/>
      <c r="U18" s="775"/>
      <c r="V18" s="774"/>
      <c r="W18" s="775"/>
      <c r="X18" s="2963"/>
      <c r="Y18" s="3231"/>
      <c r="Z18" s="2964"/>
      <c r="AA18" s="2962">
        <v>1</v>
      </c>
      <c r="AB18" s="2962">
        <v>1</v>
      </c>
      <c r="AC18" s="2962">
        <v>1</v>
      </c>
    </row>
    <row r="19" spans="1:29" ht="41.4">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29"/>
      <c r="Q19" s="2961" t="str">
        <f>B19</f>
        <v>公共配套设施</v>
      </c>
      <c r="R19" s="774" t="s">
        <v>21</v>
      </c>
      <c r="S19" s="775">
        <f>F19</f>
        <v>100</v>
      </c>
      <c r="T19" s="774" t="s">
        <v>21</v>
      </c>
      <c r="U19" s="775">
        <f>H19</f>
        <v>100</v>
      </c>
      <c r="V19" s="774" t="s">
        <v>21</v>
      </c>
      <c r="W19" s="775">
        <f>J19</f>
        <v>100</v>
      </c>
      <c r="X19" s="2963"/>
      <c r="Y19" s="3231"/>
      <c r="Z19" s="2964" t="str">
        <f>Q19</f>
        <v>公共配套设施</v>
      </c>
      <c r="AA19" s="2962">
        <f t="shared" si="3"/>
        <v>1</v>
      </c>
      <c r="AB19" s="2962">
        <f t="shared" si="4"/>
        <v>1</v>
      </c>
      <c r="AC19" s="2962">
        <f t="shared" si="5"/>
        <v>1</v>
      </c>
    </row>
    <row r="20" spans="1:29" ht="15">
      <c r="A20" s="428"/>
      <c r="B20" s="456"/>
      <c r="C20" s="447" t="s">
        <v>3437</v>
      </c>
      <c r="D20" s="448"/>
      <c r="E20" s="447" t="s">
        <v>3437</v>
      </c>
      <c r="F20" s="448"/>
      <c r="G20" s="447" t="s">
        <v>3437</v>
      </c>
      <c r="H20" s="448"/>
      <c r="I20" s="447" t="s">
        <v>3437</v>
      </c>
      <c r="J20" s="448"/>
      <c r="K20" s="2603"/>
      <c r="L20" s="1140"/>
      <c r="M20" s="1131"/>
      <c r="N20" s="1131"/>
      <c r="O20" s="1131"/>
      <c r="P20" s="3229"/>
      <c r="Q20" s="2961"/>
      <c r="R20" s="774"/>
      <c r="S20" s="775"/>
      <c r="T20" s="774"/>
      <c r="U20" s="775"/>
      <c r="V20" s="774"/>
      <c r="W20" s="775"/>
      <c r="X20" s="2963"/>
      <c r="Y20" s="3231"/>
      <c r="Z20" s="2964"/>
      <c r="AA20" s="2962">
        <v>1</v>
      </c>
      <c r="AB20" s="2962">
        <v>1</v>
      </c>
      <c r="AC20" s="2962">
        <v>1</v>
      </c>
    </row>
    <row r="21" spans="1:29" ht="27.6">
      <c r="A21" s="428"/>
      <c r="B21" s="1384"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29"/>
      <c r="Q21" s="2961" t="str">
        <f>B21</f>
        <v>基础设施水平</v>
      </c>
      <c r="R21" s="774" t="s">
        <v>17</v>
      </c>
      <c r="S21" s="775">
        <f>F21</f>
        <v>100</v>
      </c>
      <c r="T21" s="774" t="s">
        <v>17</v>
      </c>
      <c r="U21" s="775">
        <f>H21</f>
        <v>100</v>
      </c>
      <c r="V21" s="774" t="s">
        <v>17</v>
      </c>
      <c r="W21" s="775">
        <f>J21</f>
        <v>100</v>
      </c>
      <c r="X21" s="2963"/>
      <c r="Y21" s="3231"/>
      <c r="Z21" s="2964" t="str">
        <f>Q21</f>
        <v>基础设施水平</v>
      </c>
      <c r="AA21" s="2962">
        <f t="shared" ref="AA21" si="8">D21/F21</f>
        <v>1</v>
      </c>
      <c r="AB21" s="2962">
        <f t="shared" ref="AB21" si="9">D21/H21</f>
        <v>1</v>
      </c>
      <c r="AC21" s="2962">
        <f t="shared" ref="AC21" si="10">D21/J21</f>
        <v>1</v>
      </c>
    </row>
    <row r="22" spans="1:29" ht="15">
      <c r="A22" s="428"/>
      <c r="B22" s="1384"/>
      <c r="C22" s="2605" t="s">
        <v>3438</v>
      </c>
      <c r="D22" s="448"/>
      <c r="E22" s="2605" t="s">
        <v>3438</v>
      </c>
      <c r="F22" s="448"/>
      <c r="G22" s="2605" t="s">
        <v>3438</v>
      </c>
      <c r="H22" s="448"/>
      <c r="I22" s="2605" t="s">
        <v>3438</v>
      </c>
      <c r="J22" s="448"/>
      <c r="K22" s="2609"/>
      <c r="L22" s="1140"/>
      <c r="M22" s="1131"/>
      <c r="N22" s="1131"/>
      <c r="O22" s="1131"/>
      <c r="P22" s="3229"/>
      <c r="Q22" s="2961"/>
      <c r="R22" s="774"/>
      <c r="S22" s="775"/>
      <c r="T22" s="774"/>
      <c r="U22" s="775"/>
      <c r="V22" s="774"/>
      <c r="W22" s="775"/>
      <c r="X22" s="2963"/>
      <c r="Y22" s="3231"/>
      <c r="Z22" s="2964"/>
      <c r="AA22" s="2962">
        <v>1</v>
      </c>
      <c r="AB22" s="2962">
        <v>1</v>
      </c>
      <c r="AC22" s="2962">
        <v>1</v>
      </c>
    </row>
    <row r="23" spans="1:29" ht="55.2">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29"/>
      <c r="Q23" s="2961" t="str">
        <f>B23</f>
        <v>自然及人文环境</v>
      </c>
      <c r="R23" s="774" t="s">
        <v>21</v>
      </c>
      <c r="S23" s="775">
        <f>F23</f>
        <v>100</v>
      </c>
      <c r="T23" s="774" t="s">
        <v>21</v>
      </c>
      <c r="U23" s="775">
        <f>H23</f>
        <v>100</v>
      </c>
      <c r="V23" s="774" t="s">
        <v>21</v>
      </c>
      <c r="W23" s="775">
        <f>J23</f>
        <v>100</v>
      </c>
      <c r="X23" s="2963"/>
      <c r="Y23" s="3231"/>
      <c r="Z23" s="2964" t="str">
        <f>Q23</f>
        <v>自然及人文环境</v>
      </c>
      <c r="AA23" s="2962">
        <f>D23/F23</f>
        <v>1</v>
      </c>
      <c r="AB23" s="2962">
        <f>D23/H23</f>
        <v>1</v>
      </c>
      <c r="AC23" s="2962">
        <f>D23/J23</f>
        <v>1</v>
      </c>
    </row>
    <row r="24" spans="1:29" ht="15">
      <c r="A24" s="428"/>
      <c r="B24" s="456"/>
      <c r="C24" s="447" t="s">
        <v>3437</v>
      </c>
      <c r="D24" s="448"/>
      <c r="E24" s="447" t="s">
        <v>3437</v>
      </c>
      <c r="F24" s="448"/>
      <c r="G24" s="447" t="s">
        <v>3437</v>
      </c>
      <c r="H24" s="448"/>
      <c r="I24" s="447" t="s">
        <v>3437</v>
      </c>
      <c r="J24" s="448"/>
      <c r="K24" s="2603"/>
      <c r="L24" s="1140"/>
      <c r="M24" s="1131"/>
      <c r="N24" s="1131"/>
      <c r="O24" s="1131"/>
      <c r="P24" s="3229"/>
      <c r="Q24" s="2961"/>
      <c r="R24" s="774"/>
      <c r="S24" s="775"/>
      <c r="T24" s="774"/>
      <c r="U24" s="775"/>
      <c r="V24" s="774"/>
      <c r="W24" s="775"/>
      <c r="X24" s="2963"/>
      <c r="Y24" s="3231"/>
      <c r="Z24" s="2964"/>
      <c r="AA24" s="2962">
        <v>1</v>
      </c>
      <c r="AB24" s="2962">
        <v>1</v>
      </c>
      <c r="AC24" s="2962">
        <v>1</v>
      </c>
    </row>
    <row r="25" spans="1:29" ht="15">
      <c r="A25" s="428"/>
      <c r="B25" s="2955"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29"/>
      <c r="Q25" s="2961" t="str">
        <f t="shared" ref="Q25:Q46" si="11">B25</f>
        <v>楼层-1</v>
      </c>
      <c r="R25" s="774" t="s">
        <v>21</v>
      </c>
      <c r="S25" s="775">
        <f t="shared" ref="S25:S46" si="12">F25</f>
        <v>100</v>
      </c>
      <c r="T25" s="774" t="s">
        <v>21</v>
      </c>
      <c r="U25" s="775">
        <f t="shared" ref="U25:U46" si="13">H25</f>
        <v>100</v>
      </c>
      <c r="V25" s="774" t="s">
        <v>21</v>
      </c>
      <c r="W25" s="775">
        <f t="shared" ref="W25:W46" si="14">J25</f>
        <v>100</v>
      </c>
      <c r="X25" s="2963"/>
      <c r="Y25" s="3231"/>
      <c r="Z25" s="2964" t="str">
        <f>Q25</f>
        <v>楼层-1</v>
      </c>
      <c r="AA25" s="2962">
        <f t="shared" ref="AA25:AA46" si="15">D25/F25</f>
        <v>1</v>
      </c>
      <c r="AB25" s="2962">
        <f t="shared" ref="AB25:AB46" si="16">D25/H25</f>
        <v>1</v>
      </c>
      <c r="AC25" s="2962">
        <f t="shared" ref="AC25:AC46" si="17">D25/J25</f>
        <v>1</v>
      </c>
    </row>
    <row r="26" spans="1:29" ht="15">
      <c r="A26" s="428"/>
      <c r="B26" s="2955"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29"/>
      <c r="Q26" s="2961" t="str">
        <f t="shared" si="11"/>
        <v>朝向</v>
      </c>
      <c r="R26" s="774" t="s">
        <v>21</v>
      </c>
      <c r="S26" s="775">
        <f t="shared" si="12"/>
        <v>100</v>
      </c>
      <c r="T26" s="774" t="s">
        <v>21</v>
      </c>
      <c r="U26" s="775">
        <f t="shared" si="13"/>
        <v>100</v>
      </c>
      <c r="V26" s="774" t="s">
        <v>21</v>
      </c>
      <c r="W26" s="775">
        <f t="shared" si="14"/>
        <v>100</v>
      </c>
      <c r="X26" s="2963"/>
      <c r="Y26" s="3231"/>
      <c r="Z26" s="2964" t="str">
        <f>Q26</f>
        <v>朝向</v>
      </c>
      <c r="AA26" s="2962">
        <f t="shared" si="15"/>
        <v>1</v>
      </c>
      <c r="AB26" s="2962">
        <f t="shared" si="16"/>
        <v>1</v>
      </c>
      <c r="AC26" s="296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2949">
        <f t="shared" si="11"/>
        <v>111</v>
      </c>
      <c r="R27" s="770" t="s">
        <v>21</v>
      </c>
      <c r="S27" s="771">
        <f t="shared" si="12"/>
        <v>100</v>
      </c>
      <c r="T27" s="770" t="s">
        <v>21</v>
      </c>
      <c r="U27" s="771">
        <f t="shared" si="13"/>
        <v>100</v>
      </c>
      <c r="V27" s="770" t="s">
        <v>21</v>
      </c>
      <c r="W27" s="771">
        <f t="shared" si="14"/>
        <v>100</v>
      </c>
      <c r="X27" s="772"/>
      <c r="Y27" s="3231"/>
      <c r="Z27" s="2950">
        <f>Q27</f>
        <v>111</v>
      </c>
      <c r="AA27" s="2962">
        <f t="shared" si="15"/>
        <v>1</v>
      </c>
      <c r="AB27" s="2962">
        <f t="shared" si="16"/>
        <v>1</v>
      </c>
      <c r="AC27" s="2962">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2961">
        <f t="shared" si="11"/>
        <v>111</v>
      </c>
      <c r="R28" s="774" t="s">
        <v>21</v>
      </c>
      <c r="S28" s="775">
        <f t="shared" si="12"/>
        <v>100</v>
      </c>
      <c r="T28" s="774" t="s">
        <v>21</v>
      </c>
      <c r="U28" s="775">
        <f t="shared" si="13"/>
        <v>100</v>
      </c>
      <c r="V28" s="774" t="s">
        <v>21</v>
      </c>
      <c r="W28" s="775">
        <f t="shared" si="14"/>
        <v>100</v>
      </c>
      <c r="X28" s="2963"/>
      <c r="Y28" s="3231"/>
      <c r="Z28" s="2964">
        <f t="shared" ref="Z28:Z46" si="18">Q28</f>
        <v>111</v>
      </c>
      <c r="AA28" s="2962">
        <f t="shared" si="15"/>
        <v>1</v>
      </c>
      <c r="AB28" s="2962">
        <f t="shared" si="16"/>
        <v>1</v>
      </c>
      <c r="AC28" s="2962">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2961">
        <f t="shared" si="11"/>
        <v>111</v>
      </c>
      <c r="R29" s="774" t="s">
        <v>21</v>
      </c>
      <c r="S29" s="775">
        <f t="shared" si="12"/>
        <v>100</v>
      </c>
      <c r="T29" s="774" t="s">
        <v>21</v>
      </c>
      <c r="U29" s="775">
        <f t="shared" si="13"/>
        <v>100</v>
      </c>
      <c r="V29" s="774" t="s">
        <v>21</v>
      </c>
      <c r="W29" s="775">
        <f t="shared" si="14"/>
        <v>100</v>
      </c>
      <c r="X29" s="2963"/>
      <c r="Y29" s="3231"/>
      <c r="Z29" s="2964">
        <f t="shared" si="18"/>
        <v>111</v>
      </c>
      <c r="AA29" s="2962">
        <f t="shared" si="15"/>
        <v>1</v>
      </c>
      <c r="AB29" s="2962">
        <f t="shared" si="16"/>
        <v>1</v>
      </c>
      <c r="AC29" s="2962">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2961">
        <f t="shared" si="11"/>
        <v>111</v>
      </c>
      <c r="R30" s="774" t="s">
        <v>21</v>
      </c>
      <c r="S30" s="775">
        <f t="shared" si="12"/>
        <v>100</v>
      </c>
      <c r="T30" s="774" t="s">
        <v>21</v>
      </c>
      <c r="U30" s="775">
        <f t="shared" si="13"/>
        <v>100</v>
      </c>
      <c r="V30" s="774" t="s">
        <v>21</v>
      </c>
      <c r="W30" s="775">
        <f t="shared" si="14"/>
        <v>100</v>
      </c>
      <c r="X30" s="2963"/>
      <c r="Y30" s="3231"/>
      <c r="Z30" s="2964">
        <f t="shared" si="18"/>
        <v>111</v>
      </c>
      <c r="AA30" s="2962">
        <f t="shared" si="15"/>
        <v>1</v>
      </c>
      <c r="AB30" s="2962">
        <f t="shared" si="16"/>
        <v>1</v>
      </c>
      <c r="AC30" s="2962">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2961">
        <f t="shared" si="11"/>
        <v>111</v>
      </c>
      <c r="R31" s="774" t="s">
        <v>21</v>
      </c>
      <c r="S31" s="775">
        <f t="shared" si="12"/>
        <v>100</v>
      </c>
      <c r="T31" s="774" t="s">
        <v>21</v>
      </c>
      <c r="U31" s="775">
        <f t="shared" si="13"/>
        <v>100</v>
      </c>
      <c r="V31" s="774" t="s">
        <v>21</v>
      </c>
      <c r="W31" s="775">
        <f t="shared" si="14"/>
        <v>100</v>
      </c>
      <c r="X31" s="2963"/>
      <c r="Y31" s="3231"/>
      <c r="Z31" s="2964">
        <f t="shared" si="18"/>
        <v>111</v>
      </c>
      <c r="AA31" s="2962">
        <f t="shared" si="15"/>
        <v>1</v>
      </c>
      <c r="AB31" s="2962">
        <f t="shared" si="16"/>
        <v>1</v>
      </c>
      <c r="AC31" s="2962">
        <f t="shared" si="17"/>
        <v>1</v>
      </c>
    </row>
    <row r="32" spans="1:29" ht="15">
      <c r="A32" s="440" t="s">
        <v>2560</v>
      </c>
      <c r="B32" s="71" t="s">
        <v>2561</v>
      </c>
      <c r="C32" s="2614" t="s">
        <v>3089</v>
      </c>
      <c r="D32" s="467">
        <v>100</v>
      </c>
      <c r="E32" s="2614" t="s">
        <v>3089</v>
      </c>
      <c r="F32" s="461">
        <f>SUMIF(100:100,E32,101:101)-SUMIF(100:100,C32,101:101)+100</f>
        <v>100</v>
      </c>
      <c r="G32" s="2614" t="s">
        <v>3089</v>
      </c>
      <c r="H32" s="467">
        <f>SUMIF(100:100,G32,101:101)-SUMIF(100:100,C32,101:101)+100</f>
        <v>100</v>
      </c>
      <c r="I32" s="2614" t="s">
        <v>3089</v>
      </c>
      <c r="J32" s="435">
        <f>SUMIF(100:100,I32,101:101)-SUMIF(100:100,C32,101:101)+100</f>
        <v>100</v>
      </c>
      <c r="K32" s="426">
        <v>5</v>
      </c>
      <c r="L32" s="1140"/>
      <c r="M32" s="1131"/>
      <c r="N32" s="1131"/>
      <c r="O32" s="1131"/>
      <c r="P32" s="3232" t="s">
        <v>2562</v>
      </c>
      <c r="Q32" s="2961" t="str">
        <f t="shared" si="11"/>
        <v>建筑类型</v>
      </c>
      <c r="R32" s="774" t="s">
        <v>21</v>
      </c>
      <c r="S32" s="775">
        <f t="shared" si="12"/>
        <v>100</v>
      </c>
      <c r="T32" s="774" t="s">
        <v>21</v>
      </c>
      <c r="U32" s="775">
        <f t="shared" si="13"/>
        <v>100</v>
      </c>
      <c r="V32" s="774" t="s">
        <v>21</v>
      </c>
      <c r="W32" s="775">
        <f t="shared" si="14"/>
        <v>100</v>
      </c>
      <c r="X32" s="2963"/>
      <c r="Y32" s="3235" t="s">
        <v>2562</v>
      </c>
      <c r="Z32" s="2964" t="str">
        <f t="shared" si="18"/>
        <v>建筑类型</v>
      </c>
      <c r="AA32" s="2962">
        <f t="shared" si="15"/>
        <v>1</v>
      </c>
      <c r="AB32" s="2962">
        <f t="shared" si="16"/>
        <v>1</v>
      </c>
      <c r="AC32" s="2962">
        <f t="shared" si="17"/>
        <v>1</v>
      </c>
    </row>
    <row r="33" spans="1:29" s="471" customFormat="1" ht="15">
      <c r="A33" s="468"/>
      <c r="B33" s="2955" t="s">
        <v>2563</v>
      </c>
      <c r="C33" s="469">
        <f>'数据-基础表'!C14</f>
        <v>116624.16</v>
      </c>
      <c r="D33" s="136">
        <v>100</v>
      </c>
      <c r="E33" s="469">
        <v>300000</v>
      </c>
      <c r="F33" s="425">
        <f>LOOKUP(E33,103:103,104:104)-LOOKUP(C33,103:103,104:104)+100</f>
        <v>108</v>
      </c>
      <c r="G33" s="469">
        <v>202958.97</v>
      </c>
      <c r="H33" s="136">
        <f>LOOKUP(G33,103:103,104:104)-LOOKUP(C33,103:103,104:104)+100</f>
        <v>104</v>
      </c>
      <c r="I33" s="469">
        <f>'比较法-排屋'!E33</f>
        <v>220000</v>
      </c>
      <c r="J33" s="136">
        <f>LOOKUP(I33,103:103,104:104)-LOOKUP(C33,103:103,104:104)+100</f>
        <v>104</v>
      </c>
      <c r="K33" s="2598"/>
      <c r="L33" s="1138"/>
      <c r="M33" s="1141"/>
      <c r="N33" s="1141"/>
      <c r="O33" s="1141"/>
      <c r="P33" s="3233"/>
      <c r="Q33" s="776" t="str">
        <f t="shared" si="11"/>
        <v>项目建筑规模</v>
      </c>
      <c r="R33" s="777" t="s">
        <v>21</v>
      </c>
      <c r="S33" s="778">
        <f t="shared" si="12"/>
        <v>108</v>
      </c>
      <c r="T33" s="777" t="s">
        <v>21</v>
      </c>
      <c r="U33" s="778">
        <f t="shared" si="13"/>
        <v>104</v>
      </c>
      <c r="V33" s="777" t="s">
        <v>21</v>
      </c>
      <c r="W33" s="778">
        <f t="shared" si="14"/>
        <v>104</v>
      </c>
      <c r="X33" s="779"/>
      <c r="Y33" s="3235"/>
      <c r="Z33" s="780" t="str">
        <f t="shared" si="18"/>
        <v>项目建筑规模</v>
      </c>
      <c r="AA33" s="2962">
        <f t="shared" si="15"/>
        <v>0.92592592592592593</v>
      </c>
      <c r="AB33" s="2962">
        <f t="shared" si="16"/>
        <v>0.96153846153846156</v>
      </c>
      <c r="AC33" s="2962">
        <f t="shared" si="17"/>
        <v>0.96153846153846156</v>
      </c>
    </row>
    <row r="34" spans="1:29" ht="15">
      <c r="A34" s="472"/>
      <c r="B34" s="2955" t="s">
        <v>2564</v>
      </c>
      <c r="C34" s="2615" t="s">
        <v>3469</v>
      </c>
      <c r="D34" s="435">
        <v>100</v>
      </c>
      <c r="E34" s="2615" t="s">
        <v>3469</v>
      </c>
      <c r="F34" s="461">
        <f>SUMIF(105:105,E34,106:106)-SUMIF(105:105,C34,106:106)+100</f>
        <v>100</v>
      </c>
      <c r="G34" s="2615" t="s">
        <v>3469</v>
      </c>
      <c r="H34" s="435">
        <f>SUMIF(105:105,G34,106:106)-SUMIF(105:105,C34,106:106)+100</f>
        <v>100</v>
      </c>
      <c r="I34" s="2615" t="s">
        <v>3469</v>
      </c>
      <c r="J34" s="435">
        <f>SUMIF(105:105,I34,106:106)-SUMIF(105:105,C34,106:106)+100</f>
        <v>100</v>
      </c>
      <c r="K34" s="426">
        <v>1</v>
      </c>
      <c r="L34" s="1140"/>
      <c r="M34" s="1131"/>
      <c r="N34" s="1131"/>
      <c r="O34" s="1131"/>
      <c r="P34" s="3233"/>
      <c r="Q34" s="2961" t="str">
        <f t="shared" si="11"/>
        <v>建筑结构</v>
      </c>
      <c r="R34" s="774" t="s">
        <v>21</v>
      </c>
      <c r="S34" s="775">
        <f t="shared" si="12"/>
        <v>100</v>
      </c>
      <c r="T34" s="774" t="s">
        <v>21</v>
      </c>
      <c r="U34" s="775">
        <f t="shared" si="13"/>
        <v>100</v>
      </c>
      <c r="V34" s="774" t="s">
        <v>21</v>
      </c>
      <c r="W34" s="775">
        <f t="shared" si="14"/>
        <v>100</v>
      </c>
      <c r="X34" s="2963"/>
      <c r="Y34" s="3235"/>
      <c r="Z34" s="2964" t="str">
        <f t="shared" si="18"/>
        <v>建筑结构</v>
      </c>
      <c r="AA34" s="2962">
        <f t="shared" si="15"/>
        <v>1</v>
      </c>
      <c r="AB34" s="2962">
        <f t="shared" si="16"/>
        <v>1</v>
      </c>
      <c r="AC34" s="2962">
        <f t="shared" si="17"/>
        <v>1</v>
      </c>
    </row>
    <row r="35" spans="1:29" ht="15">
      <c r="A35" s="472"/>
      <c r="B35" s="2955" t="s">
        <v>2565</v>
      </c>
      <c r="C35" s="2610" t="s">
        <v>3436</v>
      </c>
      <c r="D35" s="435">
        <v>100</v>
      </c>
      <c r="E35" s="2610" t="s">
        <v>3436</v>
      </c>
      <c r="F35" s="461">
        <f>SUMIF(107:107,E35,108:108)-SUMIF(107:107,C35,108:108)+100</f>
        <v>100</v>
      </c>
      <c r="G35" s="2610" t="s">
        <v>3436</v>
      </c>
      <c r="H35" s="435">
        <f>SUMIF(107:107,G35,108:108)-SUMIF(107:107,C35,108:108)+100</f>
        <v>100</v>
      </c>
      <c r="I35" s="2610" t="s">
        <v>3436</v>
      </c>
      <c r="J35" s="435">
        <f>SUMIF(107:107,I35,108:108)-SUMIF(107:107,C35,108:108)+100</f>
        <v>100</v>
      </c>
      <c r="K35" s="426">
        <v>1</v>
      </c>
      <c r="L35" s="1140"/>
      <c r="M35" s="1131"/>
      <c r="N35" s="1131"/>
      <c r="O35" s="1131"/>
      <c r="P35" s="3233"/>
      <c r="Q35" s="2961" t="str">
        <f t="shared" si="11"/>
        <v>建筑品质</v>
      </c>
      <c r="R35" s="774" t="s">
        <v>21</v>
      </c>
      <c r="S35" s="775">
        <f t="shared" si="12"/>
        <v>100</v>
      </c>
      <c r="T35" s="774" t="s">
        <v>21</v>
      </c>
      <c r="U35" s="775">
        <f t="shared" si="13"/>
        <v>100</v>
      </c>
      <c r="V35" s="774" t="s">
        <v>21</v>
      </c>
      <c r="W35" s="775">
        <f t="shared" si="14"/>
        <v>100</v>
      </c>
      <c r="X35" s="2963"/>
      <c r="Y35" s="3235"/>
      <c r="Z35" s="2964" t="str">
        <f t="shared" si="18"/>
        <v>建筑品质</v>
      </c>
      <c r="AA35" s="2962">
        <f t="shared" si="15"/>
        <v>1</v>
      </c>
      <c r="AB35" s="2962">
        <f t="shared" si="16"/>
        <v>1</v>
      </c>
      <c r="AC35" s="2962">
        <f t="shared" si="17"/>
        <v>1</v>
      </c>
    </row>
    <row r="36" spans="1:29" ht="15">
      <c r="A36" s="472"/>
      <c r="B36" s="2955" t="s">
        <v>2566</v>
      </c>
      <c r="C36" s="2610" t="s">
        <v>3477</v>
      </c>
      <c r="D36" s="435">
        <v>100</v>
      </c>
      <c r="E36" s="2610" t="s">
        <v>3477</v>
      </c>
      <c r="F36" s="461">
        <f>SUMIF(109:109,E36,110:110)-SUMIF(109:109,C36,110:110)+100</f>
        <v>100</v>
      </c>
      <c r="G36" s="2610" t="s">
        <v>3477</v>
      </c>
      <c r="H36" s="435">
        <f>SUMIF(109:109,G36,110:110)-SUMIF(109:109,C36,110:110)+100</f>
        <v>100</v>
      </c>
      <c r="I36" s="2610" t="s">
        <v>3477</v>
      </c>
      <c r="J36" s="435">
        <f>SUMIF(109:109,I36,110:110)-SUMIF(109:109,C36,110:110)+100</f>
        <v>100</v>
      </c>
      <c r="K36" s="426">
        <v>2</v>
      </c>
      <c r="L36" s="1140"/>
      <c r="M36" s="1131"/>
      <c r="N36" s="1131"/>
      <c r="O36" s="1131"/>
      <c r="P36" s="3233"/>
      <c r="Q36" s="2961" t="str">
        <f t="shared" si="11"/>
        <v>公共部分装修</v>
      </c>
      <c r="R36" s="774" t="s">
        <v>21</v>
      </c>
      <c r="S36" s="775">
        <f t="shared" si="12"/>
        <v>100</v>
      </c>
      <c r="T36" s="774" t="s">
        <v>21</v>
      </c>
      <c r="U36" s="775">
        <f t="shared" si="13"/>
        <v>100</v>
      </c>
      <c r="V36" s="774" t="s">
        <v>21</v>
      </c>
      <c r="W36" s="775">
        <f t="shared" si="14"/>
        <v>100</v>
      </c>
      <c r="X36" s="2963"/>
      <c r="Y36" s="3235"/>
      <c r="Z36" s="2964" t="str">
        <f t="shared" si="18"/>
        <v>公共部分装修</v>
      </c>
      <c r="AA36" s="2962">
        <f t="shared" si="15"/>
        <v>1</v>
      </c>
      <c r="AB36" s="2962">
        <f t="shared" si="16"/>
        <v>1</v>
      </c>
      <c r="AC36" s="2962">
        <f t="shared" si="17"/>
        <v>1</v>
      </c>
    </row>
    <row r="37" spans="1:29" s="117" customFormat="1" ht="15">
      <c r="A37" s="473"/>
      <c r="B37" s="2955" t="s">
        <v>2567</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49" t="str">
        <f t="shared" si="11"/>
        <v>成新度</v>
      </c>
      <c r="R37" s="770" t="s">
        <v>21</v>
      </c>
      <c r="S37" s="771">
        <f t="shared" si="12"/>
        <v>100</v>
      </c>
      <c r="T37" s="770" t="s">
        <v>21</v>
      </c>
      <c r="U37" s="771">
        <f t="shared" si="13"/>
        <v>100</v>
      </c>
      <c r="V37" s="770" t="s">
        <v>21</v>
      </c>
      <c r="W37" s="771">
        <f t="shared" si="14"/>
        <v>100</v>
      </c>
      <c r="X37" s="772"/>
      <c r="Y37" s="3235"/>
      <c r="Z37" s="2950" t="str">
        <f t="shared" si="18"/>
        <v>成新度</v>
      </c>
      <c r="AA37" s="773">
        <f t="shared" si="15"/>
        <v>1</v>
      </c>
      <c r="AB37" s="773">
        <f t="shared" si="16"/>
        <v>1</v>
      </c>
      <c r="AC37" s="773">
        <f t="shared" si="17"/>
        <v>1</v>
      </c>
    </row>
    <row r="38" spans="1:29" ht="15">
      <c r="A38" s="472"/>
      <c r="B38" s="2955" t="s">
        <v>2568</v>
      </c>
      <c r="C38" s="2610" t="s">
        <v>3436</v>
      </c>
      <c r="D38" s="435">
        <v>100</v>
      </c>
      <c r="E38" s="2610" t="s">
        <v>3443</v>
      </c>
      <c r="F38" s="461">
        <f>SUMIF(114:114,E38,115:115)-SUMIF(114:114,C38,115:115)+100</f>
        <v>102</v>
      </c>
      <c r="G38" s="2610" t="s">
        <v>3436</v>
      </c>
      <c r="H38" s="435">
        <f>SUMIF(114:114,G38,115:115)-SUMIF(114:114,C38,115:115)+100</f>
        <v>100</v>
      </c>
      <c r="I38" s="2610" t="s">
        <v>3436</v>
      </c>
      <c r="J38" s="435">
        <f>SUMIF(114:114,I38,115:115)-SUMIF(114:114,C38,115:115)+100</f>
        <v>100</v>
      </c>
      <c r="K38" s="426">
        <v>2</v>
      </c>
      <c r="L38" s="1140"/>
      <c r="M38" s="1131"/>
      <c r="N38" s="1131"/>
      <c r="O38" s="1131"/>
      <c r="P38" s="3233" t="s">
        <v>2562</v>
      </c>
      <c r="Q38" s="2961" t="str">
        <f t="shared" si="11"/>
        <v>物业管理</v>
      </c>
      <c r="R38" s="774" t="s">
        <v>21</v>
      </c>
      <c r="S38" s="775">
        <f t="shared" si="12"/>
        <v>102</v>
      </c>
      <c r="T38" s="774" t="s">
        <v>21</v>
      </c>
      <c r="U38" s="775">
        <f t="shared" si="13"/>
        <v>100</v>
      </c>
      <c r="V38" s="774" t="s">
        <v>21</v>
      </c>
      <c r="W38" s="775">
        <f t="shared" si="14"/>
        <v>100</v>
      </c>
      <c r="X38" s="2963"/>
      <c r="Y38" s="3235" t="s">
        <v>2562</v>
      </c>
      <c r="Z38" s="2964" t="str">
        <f t="shared" si="18"/>
        <v>物业管理</v>
      </c>
      <c r="AA38" s="2962">
        <f t="shared" si="15"/>
        <v>0.98039215686274506</v>
      </c>
      <c r="AB38" s="2962">
        <f t="shared" si="16"/>
        <v>1</v>
      </c>
      <c r="AC38" s="2962">
        <f t="shared" si="17"/>
        <v>1</v>
      </c>
    </row>
    <row r="39" spans="1:29" ht="15">
      <c r="A39" s="472"/>
      <c r="B39" s="2955" t="s">
        <v>2569</v>
      </c>
      <c r="C39" s="2610" t="s">
        <v>3438</v>
      </c>
      <c r="D39" s="435">
        <v>100</v>
      </c>
      <c r="E39" s="2610" t="s">
        <v>3438</v>
      </c>
      <c r="F39" s="461">
        <f>SUMIF(116:116,E39,117:117)-SUMIF(116:116,C39,117:117)+100</f>
        <v>100</v>
      </c>
      <c r="G39" s="2610" t="s">
        <v>3438</v>
      </c>
      <c r="H39" s="435">
        <f>SUMIF(116:116,G39,117:117)-SUMIF(116:116,C39,117:117)+100</f>
        <v>100</v>
      </c>
      <c r="I39" s="2610" t="s">
        <v>3438</v>
      </c>
      <c r="J39" s="435">
        <f>SUMIF(116:116,I39,117:117)-SUMIF(116:116,C39,117:117)+100</f>
        <v>100</v>
      </c>
      <c r="K39" s="426">
        <v>1</v>
      </c>
      <c r="L39" s="1140"/>
      <c r="M39" s="1131"/>
      <c r="N39" s="1131"/>
      <c r="O39" s="1131"/>
      <c r="P39" s="3233"/>
      <c r="Q39" s="2961" t="str">
        <f t="shared" si="11"/>
        <v>市政基础设施</v>
      </c>
      <c r="R39" s="774" t="s">
        <v>21</v>
      </c>
      <c r="S39" s="775">
        <f t="shared" si="12"/>
        <v>100</v>
      </c>
      <c r="T39" s="774" t="s">
        <v>21</v>
      </c>
      <c r="U39" s="775">
        <f t="shared" si="13"/>
        <v>100</v>
      </c>
      <c r="V39" s="774" t="s">
        <v>21</v>
      </c>
      <c r="W39" s="775">
        <f t="shared" si="14"/>
        <v>100</v>
      </c>
      <c r="X39" s="2963"/>
      <c r="Y39" s="3235"/>
      <c r="Z39" s="2964" t="str">
        <f t="shared" si="18"/>
        <v>市政基础设施</v>
      </c>
      <c r="AA39" s="2962">
        <f t="shared" si="15"/>
        <v>1</v>
      </c>
      <c r="AB39" s="2962">
        <f t="shared" si="16"/>
        <v>1</v>
      </c>
      <c r="AC39" s="2962">
        <f t="shared" si="17"/>
        <v>1</v>
      </c>
    </row>
    <row r="40" spans="1:29" ht="15">
      <c r="A40" s="472"/>
      <c r="B40" s="2955" t="s">
        <v>2570</v>
      </c>
      <c r="C40" s="2610" t="s">
        <v>3483</v>
      </c>
      <c r="D40" s="435">
        <v>100</v>
      </c>
      <c r="E40" s="2610" t="s">
        <v>3483</v>
      </c>
      <c r="F40" s="461">
        <f>SUMIF(118:118,E40,119:119)-SUMIF(118:118,C40,119:119)+100</f>
        <v>100</v>
      </c>
      <c r="G40" s="2610" t="s">
        <v>3483</v>
      </c>
      <c r="H40" s="435">
        <f>SUMIF(118:118,G40,119:119)-SUMIF(118:118,C40,119:119)+100</f>
        <v>100</v>
      </c>
      <c r="I40" s="2610" t="s">
        <v>3483</v>
      </c>
      <c r="J40" s="435">
        <f>SUMIF(118:118,I40,119:119)-SUMIF(118:118,C40,119:119)+100</f>
        <v>100</v>
      </c>
      <c r="K40" s="426">
        <v>2</v>
      </c>
      <c r="L40" s="1140"/>
      <c r="M40" s="1131"/>
      <c r="N40" s="1131"/>
      <c r="O40" s="1131"/>
      <c r="P40" s="3233"/>
      <c r="Q40" s="2961" t="str">
        <f t="shared" si="11"/>
        <v>房型</v>
      </c>
      <c r="R40" s="774" t="s">
        <v>21</v>
      </c>
      <c r="S40" s="775">
        <f t="shared" si="12"/>
        <v>100</v>
      </c>
      <c r="T40" s="774" t="s">
        <v>21</v>
      </c>
      <c r="U40" s="775">
        <f t="shared" si="13"/>
        <v>100</v>
      </c>
      <c r="V40" s="774" t="s">
        <v>21</v>
      </c>
      <c r="W40" s="775">
        <f t="shared" si="14"/>
        <v>100</v>
      </c>
      <c r="X40" s="2963"/>
      <c r="Y40" s="3235"/>
      <c r="Z40" s="2964" t="str">
        <f t="shared" si="18"/>
        <v>房型</v>
      </c>
      <c r="AA40" s="2962">
        <f t="shared" si="15"/>
        <v>1</v>
      </c>
      <c r="AB40" s="2962">
        <f t="shared" si="16"/>
        <v>1</v>
      </c>
      <c r="AC40" s="2962">
        <f t="shared" si="17"/>
        <v>1</v>
      </c>
    </row>
    <row r="41" spans="1:29" s="471" customFormat="1" ht="28.8">
      <c r="A41" s="468"/>
      <c r="B41" s="2955" t="s">
        <v>2571</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8"/>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2962">
        <f t="shared" si="15"/>
        <v>1</v>
      </c>
      <c r="AB41" s="2962">
        <f t="shared" si="16"/>
        <v>1</v>
      </c>
      <c r="AC41" s="2962">
        <f t="shared" si="17"/>
        <v>1</v>
      </c>
    </row>
    <row r="42" spans="1:29" ht="15">
      <c r="A42" s="472"/>
      <c r="B42" s="2955" t="s">
        <v>2572</v>
      </c>
      <c r="C42" s="2610" t="s">
        <v>3477</v>
      </c>
      <c r="D42" s="435">
        <v>100</v>
      </c>
      <c r="E42" s="2610" t="s">
        <v>3520</v>
      </c>
      <c r="F42" s="461">
        <f>SUMIF(122:122,E42,123:123)-SUMIF(122:122,C42,123:123)+100</f>
        <v>102</v>
      </c>
      <c r="G42" s="2610" t="s">
        <v>3477</v>
      </c>
      <c r="H42" s="435">
        <f>SUMIF(122:122,G42,123:123)-SUMIF(122:122,C42,123:123)+100</f>
        <v>100</v>
      </c>
      <c r="I42" s="2610" t="s">
        <v>3477</v>
      </c>
      <c r="J42" s="435">
        <f>SUMIF(122:122,I42,123:123)-SUMIF(122:122,C42,123:123)+100</f>
        <v>100</v>
      </c>
      <c r="K42" s="426">
        <v>2</v>
      </c>
      <c r="L42" s="1140"/>
      <c r="M42" s="1131"/>
      <c r="N42" s="1131"/>
      <c r="O42" s="1131"/>
      <c r="P42" s="3233"/>
      <c r="Q42" s="2961" t="str">
        <f t="shared" si="11"/>
        <v>内部装修</v>
      </c>
      <c r="R42" s="774" t="s">
        <v>21</v>
      </c>
      <c r="S42" s="775">
        <f t="shared" si="12"/>
        <v>102</v>
      </c>
      <c r="T42" s="774" t="s">
        <v>21</v>
      </c>
      <c r="U42" s="775">
        <f t="shared" si="13"/>
        <v>100</v>
      </c>
      <c r="V42" s="774" t="s">
        <v>21</v>
      </c>
      <c r="W42" s="775">
        <f t="shared" si="14"/>
        <v>100</v>
      </c>
      <c r="X42" s="2963"/>
      <c r="Y42" s="3235"/>
      <c r="Z42" s="2964" t="str">
        <f t="shared" si="18"/>
        <v>内部装修</v>
      </c>
      <c r="AA42" s="2962">
        <f t="shared" si="15"/>
        <v>0.98039215686274506</v>
      </c>
      <c r="AB42" s="2962">
        <f t="shared" si="16"/>
        <v>1</v>
      </c>
      <c r="AC42" s="2962">
        <f t="shared" si="17"/>
        <v>1</v>
      </c>
    </row>
    <row r="43" spans="1:29" ht="28.8">
      <c r="A43" s="472"/>
      <c r="B43" s="2955" t="s">
        <v>2573</v>
      </c>
      <c r="C43" s="2610" t="s">
        <v>3436</v>
      </c>
      <c r="D43" s="435">
        <v>100</v>
      </c>
      <c r="E43" s="2610" t="s">
        <v>3436</v>
      </c>
      <c r="F43" s="461">
        <f>SUMIF(124:124,E43,125:125)-SUMIF(124:124,C43,125:125)+100</f>
        <v>100</v>
      </c>
      <c r="G43" s="2610" t="s">
        <v>3436</v>
      </c>
      <c r="H43" s="435">
        <f>SUMIF(124:124,G43,125:125)-SUMIF(124:124,C43,125:125)+100</f>
        <v>100</v>
      </c>
      <c r="I43" s="2610" t="s">
        <v>3436</v>
      </c>
      <c r="J43" s="435">
        <f>SUMIF(124:124,I43,125:125)-SUMIF(124:124,C43,125:125)+100</f>
        <v>100</v>
      </c>
      <c r="K43" s="426">
        <v>1</v>
      </c>
      <c r="L43" s="1140"/>
      <c r="M43" s="1131"/>
      <c r="N43" s="1131"/>
      <c r="O43" s="1131"/>
      <c r="P43" s="3233"/>
      <c r="Q43" s="2961" t="str">
        <f t="shared" si="11"/>
        <v>内部装修维护情况</v>
      </c>
      <c r="R43" s="774" t="s">
        <v>21</v>
      </c>
      <c r="S43" s="775">
        <f t="shared" si="12"/>
        <v>100</v>
      </c>
      <c r="T43" s="774" t="s">
        <v>21</v>
      </c>
      <c r="U43" s="775">
        <f t="shared" si="13"/>
        <v>100</v>
      </c>
      <c r="V43" s="774" t="s">
        <v>21</v>
      </c>
      <c r="W43" s="775">
        <f t="shared" si="14"/>
        <v>100</v>
      </c>
      <c r="X43" s="2963"/>
      <c r="Y43" s="3235"/>
      <c r="Z43" s="2964" t="str">
        <f t="shared" si="18"/>
        <v>内部装修维护情况</v>
      </c>
      <c r="AA43" s="2962">
        <f t="shared" si="15"/>
        <v>1</v>
      </c>
      <c r="AB43" s="2962">
        <f t="shared" si="16"/>
        <v>1</v>
      </c>
      <c r="AC43" s="296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3"/>
      <c r="Q44" s="2949">
        <f t="shared" si="11"/>
        <v>111</v>
      </c>
      <c r="R44" s="770" t="s">
        <v>21</v>
      </c>
      <c r="S44" s="771">
        <f t="shared" si="12"/>
        <v>100</v>
      </c>
      <c r="T44" s="770" t="s">
        <v>21</v>
      </c>
      <c r="U44" s="771">
        <f t="shared" si="13"/>
        <v>100</v>
      </c>
      <c r="V44" s="770" t="s">
        <v>21</v>
      </c>
      <c r="W44" s="771">
        <f t="shared" si="14"/>
        <v>100</v>
      </c>
      <c r="X44" s="772"/>
      <c r="Y44" s="3235"/>
      <c r="Z44" s="2950">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3"/>
      <c r="Q45" s="2961">
        <f t="shared" si="11"/>
        <v>111</v>
      </c>
      <c r="R45" s="774" t="s">
        <v>21</v>
      </c>
      <c r="S45" s="775">
        <f t="shared" si="12"/>
        <v>100</v>
      </c>
      <c r="T45" s="774" t="s">
        <v>21</v>
      </c>
      <c r="U45" s="775">
        <f t="shared" si="13"/>
        <v>100</v>
      </c>
      <c r="V45" s="774" t="s">
        <v>21</v>
      </c>
      <c r="W45" s="775">
        <f t="shared" si="14"/>
        <v>100</v>
      </c>
      <c r="X45" s="2963"/>
      <c r="Y45" s="3235"/>
      <c r="Z45" s="2964">
        <f t="shared" si="18"/>
        <v>111</v>
      </c>
      <c r="AA45" s="2962">
        <f t="shared" si="15"/>
        <v>1</v>
      </c>
      <c r="AB45" s="2962">
        <f t="shared" si="16"/>
        <v>1</v>
      </c>
      <c r="AC45" s="2962">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4"/>
      <c r="Q46" s="2961">
        <f t="shared" si="11"/>
        <v>111</v>
      </c>
      <c r="R46" s="774" t="s">
        <v>20</v>
      </c>
      <c r="S46" s="775">
        <f t="shared" si="12"/>
        <v>100</v>
      </c>
      <c r="T46" s="774" t="s">
        <v>20</v>
      </c>
      <c r="U46" s="775">
        <f t="shared" si="13"/>
        <v>100</v>
      </c>
      <c r="V46" s="774" t="s">
        <v>20</v>
      </c>
      <c r="W46" s="775">
        <f t="shared" si="14"/>
        <v>100</v>
      </c>
      <c r="X46" s="2963"/>
      <c r="Y46" s="3236"/>
      <c r="Z46" s="2964">
        <f t="shared" si="18"/>
        <v>111</v>
      </c>
      <c r="AA46" s="2962">
        <f t="shared" si="15"/>
        <v>1</v>
      </c>
      <c r="AB46" s="2962">
        <f t="shared" si="16"/>
        <v>1</v>
      </c>
      <c r="AC46" s="2962">
        <f t="shared" si="17"/>
        <v>1</v>
      </c>
    </row>
    <row r="47" spans="1:29" ht="14.4">
      <c r="A47" s="479" t="s">
        <v>2574</v>
      </c>
      <c r="B47" s="480"/>
      <c r="C47" s="1407" t="s">
        <v>19</v>
      </c>
      <c r="D47" s="1408"/>
      <c r="E47" s="1409">
        <v>15000</v>
      </c>
      <c r="F47" s="1410"/>
      <c r="G47" s="1411">
        <v>14500</v>
      </c>
      <c r="H47" s="1412"/>
      <c r="I47" s="1409">
        <v>15000</v>
      </c>
      <c r="J47" s="1412"/>
      <c r="K47" s="2616"/>
      <c r="L47" s="1143"/>
      <c r="M47" s="1144"/>
      <c r="N47" s="1131"/>
      <c r="O47" s="1144"/>
      <c r="P47" s="3237" t="str">
        <f>A47</f>
        <v>成交单价（元/平方米）</v>
      </c>
      <c r="Q47" s="3237"/>
      <c r="R47" s="3238">
        <f>E47</f>
        <v>15000</v>
      </c>
      <c r="S47" s="3238"/>
      <c r="T47" s="3238">
        <f>G47</f>
        <v>14500</v>
      </c>
      <c r="U47" s="3238"/>
      <c r="V47" s="3238">
        <f>I47</f>
        <v>15000</v>
      </c>
      <c r="W47" s="3238"/>
      <c r="X47" s="759"/>
      <c r="Y47" s="781"/>
      <c r="Z47" s="759"/>
      <c r="AA47" s="759"/>
      <c r="AB47" s="759"/>
      <c r="AC47" s="759"/>
    </row>
    <row r="48" spans="1:29" ht="15" thickBot="1">
      <c r="A48" s="486" t="s">
        <v>2575</v>
      </c>
      <c r="B48" s="487"/>
      <c r="C48" s="1413">
        <f>R49</f>
        <v>13952</v>
      </c>
      <c r="D48" s="1414"/>
      <c r="E48" s="1415">
        <f>R48</f>
        <v>13417</v>
      </c>
      <c r="F48" s="1415"/>
      <c r="G48" s="1413">
        <f>T48</f>
        <v>13942</v>
      </c>
      <c r="H48" s="1414"/>
      <c r="I48" s="1415">
        <f>V48</f>
        <v>14496</v>
      </c>
      <c r="J48" s="1414"/>
      <c r="K48" s="2617"/>
      <c r="L48" s="1143"/>
      <c r="M48" s="1144"/>
      <c r="N48" s="1144"/>
      <c r="O48" s="1144"/>
      <c r="P48" s="3237" t="str">
        <f>A48</f>
        <v>比较价值（元/平方米）</v>
      </c>
      <c r="Q48" s="3237"/>
      <c r="R48" s="3238">
        <f>IF(F1="售价",ROUND(PRODUCT(R47,AA7:AA46),0),ROUND(PRODUCT(R47,AA7:AA46),1))</f>
        <v>13417</v>
      </c>
      <c r="S48" s="3238"/>
      <c r="T48" s="3238">
        <f>IF(F1="售价",ROUND(PRODUCT(T47,AB7:AB46),0),ROUND(PRODUCT(T47,AB7:AB46),1))</f>
        <v>13942</v>
      </c>
      <c r="U48" s="3238"/>
      <c r="V48" s="3238">
        <f>IF(F1="售价",ROUND(PRODUCT(V47,AC7:AC46),0),ROUND(PRODUCT(V47,AC7:AC46),1))</f>
        <v>14496</v>
      </c>
      <c r="W48" s="3238"/>
      <c r="X48" s="759"/>
      <c r="Y48" s="759"/>
      <c r="Z48" s="759"/>
      <c r="AA48" s="759"/>
      <c r="AB48" s="759"/>
      <c r="AC48" s="759"/>
    </row>
    <row r="49" spans="1:29" ht="15" thickBot="1">
      <c r="A49" s="492" t="s">
        <v>2576</v>
      </c>
      <c r="B49" s="493"/>
      <c r="C49" s="1416">
        <f>R49</f>
        <v>13952</v>
      </c>
      <c r="D49" s="1417"/>
      <c r="E49" s="1417"/>
      <c r="F49" s="1417"/>
      <c r="G49" s="1417"/>
      <c r="H49" s="1417"/>
      <c r="I49" s="1417"/>
      <c r="J49" s="1417"/>
      <c r="K49" s="2618"/>
      <c r="L49" s="1143"/>
      <c r="M49" s="1144"/>
      <c r="N49" s="1144"/>
      <c r="O49" s="1144"/>
      <c r="P49" s="3239" t="str">
        <f>A49</f>
        <v>估价对象XX用房的比较价值（楼面单价，元/平方米）</v>
      </c>
      <c r="Q49" s="3240"/>
      <c r="R49" s="3241">
        <f>IF(F1="售价",ROUND(AVERAGE(R48:V48),0),ROUND(AVERAGE(R48:V48),1))</f>
        <v>13952</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f>IF(E47&lt;E48,E48/E47-1,E47/E48-1)</f>
        <v>0.11798464634419026</v>
      </c>
      <c r="F52" s="500" t="str">
        <f>IF(OR(E52&gt;=0.3,E52&lt;=-0.3),"超过30%","")</f>
        <v/>
      </c>
      <c r="G52" s="499">
        <f>IF(G47&lt;G48,G48/G47-1,G47/G48-1)</f>
        <v>4.0022952230669873E-2</v>
      </c>
      <c r="H52" s="500" t="str">
        <f>IF(OR(G52&gt;=0.3,G52&lt;=-0.3),"超过30%","")</f>
        <v/>
      </c>
      <c r="I52" s="499">
        <f>IF(I47&lt;I48,I48/I47-1,I47/I48-1)</f>
        <v>3.4768211920529701E-2</v>
      </c>
      <c r="J52" s="500" t="str">
        <f>IF(OR(I52&gt;=0.3,I52&lt;=-0.3),"超过30%","")</f>
        <v/>
      </c>
      <c r="K52" s="1105"/>
      <c r="L52" s="1106"/>
      <c r="M52" s="1144"/>
      <c r="N52" s="1144"/>
      <c r="O52" s="1144"/>
    </row>
    <row r="53" spans="1:29" ht="13.5" customHeight="1">
      <c r="A53" s="1144"/>
      <c r="B53" s="1144"/>
      <c r="C53" s="497" t="s">
        <v>2578</v>
      </c>
      <c r="D53" s="501"/>
      <c r="E53" s="499">
        <f>IF(E48&lt;G48,G48/E48-1,E48/G48-1)</f>
        <v>3.912946262204664E-2</v>
      </c>
      <c r="F53" s="500" t="str">
        <f>IF(OR(E53&gt;=0.2,E53&lt;=-0.2),"超过20%","")</f>
        <v/>
      </c>
      <c r="G53" s="499">
        <f>IF(G48&lt;I48,I48/G48-1,G48/I48-1)</f>
        <v>3.9736049347296021E-2</v>
      </c>
      <c r="H53" s="500" t="str">
        <f>IF(OR(G53&gt;=0.2,G53&lt;=-0.2),"超过20%","")</f>
        <v/>
      </c>
      <c r="I53" s="499">
        <f>IF(I48&lt;E48,E48/I48-1,I48/E48-1)</f>
        <v>8.0420362227025421E-2</v>
      </c>
      <c r="J53" s="500" t="str">
        <f>IF(OR(I53&gt;=0.2,I53&lt;=-0.2),"超过20%","")</f>
        <v/>
      </c>
      <c r="K53" s="1105"/>
      <c r="L53" s="1106"/>
      <c r="M53" s="1144"/>
      <c r="N53" s="1144"/>
      <c r="O53" s="1144"/>
    </row>
    <row r="54" spans="1:29" s="502" customFormat="1" ht="13.5" customHeight="1">
      <c r="A54" s="1145"/>
      <c r="B54" s="1145"/>
      <c r="C54" s="497" t="s">
        <v>2579</v>
      </c>
      <c r="D54" s="501"/>
      <c r="E54" s="499">
        <f>IF(E47&lt;G47,G47/E47-1,E47/G47-1)</f>
        <v>3.4482758620689724E-2</v>
      </c>
      <c r="F54" s="500" t="str">
        <f>IF(OR(E54&gt;=0.3,E54&lt;=-0.3),"超过30%","")</f>
        <v/>
      </c>
      <c r="G54" s="499">
        <f>IF(G47&lt;I47,I47/G47-1,G47/I47-1)</f>
        <v>3.4482758620689724E-2</v>
      </c>
      <c r="H54" s="500" t="str">
        <f>IF(OR(G54&gt;=0.3,G54&lt;=-0.3),"超过30%","")</f>
        <v/>
      </c>
      <c r="I54" s="499">
        <f>IF(I47&lt;E47,E47/I47-1,I47/E47-1)</f>
        <v>0</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1"/>
      <c r="Q57" s="504"/>
    </row>
    <row r="58" spans="1:29" s="508" customFormat="1" ht="14.4">
      <c r="A58" s="505" t="s">
        <v>2545</v>
      </c>
      <c r="B58" s="506"/>
      <c r="C58" s="1576" t="str">
        <f>YEAR(C7)&amp;"-"&amp;MONTH(C7)</f>
        <v>2018-9</v>
      </c>
      <c r="D58" s="1575">
        <f>EDATE(C58,-1)</f>
        <v>43313</v>
      </c>
      <c r="E58" s="1575">
        <f>EDATE(D58,-1)</f>
        <v>43282</v>
      </c>
      <c r="F58" s="1575">
        <f t="shared" ref="F58:O58" si="19">EDATE(E58,-1)</f>
        <v>43252</v>
      </c>
      <c r="G58" s="1575">
        <f t="shared" si="19"/>
        <v>43221</v>
      </c>
      <c r="H58" s="1575">
        <f t="shared" si="19"/>
        <v>43191</v>
      </c>
      <c r="I58" s="1575">
        <f t="shared" si="19"/>
        <v>43160</v>
      </c>
      <c r="J58" s="1575">
        <f t="shared" si="19"/>
        <v>43132</v>
      </c>
      <c r="K58" s="1575">
        <f t="shared" si="19"/>
        <v>43101</v>
      </c>
      <c r="L58" s="1575">
        <f t="shared" si="19"/>
        <v>43070</v>
      </c>
      <c r="M58" s="1575">
        <f t="shared" si="19"/>
        <v>43040</v>
      </c>
      <c r="N58" s="1575">
        <f t="shared" si="19"/>
        <v>43009</v>
      </c>
      <c r="O58" s="1575">
        <f t="shared" si="19"/>
        <v>42979</v>
      </c>
      <c r="P58" s="1570"/>
    </row>
    <row r="59" spans="1:29" s="117" customFormat="1">
      <c r="A59" s="509"/>
      <c r="B59" s="2622"/>
      <c r="C59" s="1573">
        <v>100</v>
      </c>
      <c r="D59" s="511">
        <v>99.5</v>
      </c>
      <c r="E59" s="512">
        <v>99.5</v>
      </c>
      <c r="F59" s="512">
        <v>99.5</v>
      </c>
      <c r="G59" s="512">
        <v>99</v>
      </c>
      <c r="H59" s="512">
        <v>99</v>
      </c>
      <c r="I59" s="512">
        <v>99</v>
      </c>
      <c r="J59" s="512"/>
      <c r="K59" s="512"/>
      <c r="L59" s="512"/>
      <c r="M59" s="513"/>
      <c r="N59" s="512"/>
      <c r="O59" s="513"/>
      <c r="P59" s="2623"/>
    </row>
    <row r="60" spans="1:29" s="117" customFormat="1" ht="15" thickBot="1">
      <c r="A60" s="515" t="s">
        <v>2582</v>
      </c>
      <c r="B60" s="516"/>
      <c r="C60" s="517"/>
      <c r="D60" s="518"/>
      <c r="E60" s="518"/>
      <c r="F60" s="518"/>
      <c r="G60" s="518"/>
      <c r="H60" s="518"/>
      <c r="I60" s="518"/>
      <c r="J60" s="518"/>
      <c r="K60" s="518"/>
      <c r="L60" s="518"/>
      <c r="M60" s="519"/>
      <c r="N60" s="518"/>
      <c r="O60" s="519"/>
      <c r="P60" s="2623"/>
      <c r="Q60" s="504"/>
    </row>
    <row r="61" spans="1:29" s="117" customFormat="1" ht="14.4">
      <c r="A61" s="521" t="s">
        <v>2547</v>
      </c>
      <c r="B61" s="510"/>
      <c r="C61" s="522" t="s">
        <v>2584</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2585</v>
      </c>
      <c r="B63" s="528" t="s">
        <v>2551</v>
      </c>
      <c r="C63" s="529" t="str">
        <f>C9</f>
        <v>住宅</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5"/>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5"/>
      <c r="Q66" s="504"/>
    </row>
    <row r="67" spans="1:17" ht="15" thickTop="1">
      <c r="A67" s="534"/>
      <c r="B67" s="546" t="s">
        <v>2555</v>
      </c>
      <c r="C67" s="547" t="str">
        <f>C68&amp;"（含）"&amp;"-"&amp;D68</f>
        <v>0.5（含）-1</v>
      </c>
      <c r="D67" s="547" t="str">
        <f t="shared" ref="D67:L67" si="21">D68&amp;"（含）"&amp;"-"&amp;E68</f>
        <v>1（含）-1.5</v>
      </c>
      <c r="E67" s="547" t="str">
        <f t="shared" si="21"/>
        <v>1.5（含）-2</v>
      </c>
      <c r="F67" s="547" t="str">
        <f t="shared" si="21"/>
        <v>2（含）-2.5</v>
      </c>
      <c r="G67" s="547" t="str">
        <f t="shared" si="21"/>
        <v>2.5（含）-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c r="A68" s="534"/>
      <c r="B68" s="548"/>
      <c r="C68" s="549">
        <v>0.5</v>
      </c>
      <c r="D68" s="549">
        <v>1</v>
      </c>
      <c r="E68" s="549">
        <v>1.5</v>
      </c>
      <c r="F68" s="549">
        <v>2</v>
      </c>
      <c r="G68" s="549">
        <v>2.5</v>
      </c>
      <c r="H68" s="549"/>
      <c r="I68" s="549"/>
      <c r="J68" s="549"/>
      <c r="K68" s="550"/>
      <c r="L68" s="551"/>
      <c r="M68" s="552"/>
      <c r="N68" s="1152"/>
      <c r="O68" s="1152"/>
      <c r="P68" s="2625"/>
      <c r="Q68" s="504"/>
    </row>
    <row r="69" spans="1:17" ht="14.4"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60"/>
      <c r="E73" s="560"/>
      <c r="F73" s="560"/>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5"/>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3"/>
      <c r="O79" s="1153"/>
      <c r="P79" s="2625"/>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 thickTop="1">
      <c r="A82" s="534"/>
      <c r="B82" s="546" t="s">
        <v>2096</v>
      </c>
      <c r="C82" s="539" t="s">
        <v>2601</v>
      </c>
      <c r="D82" s="539" t="s">
        <v>2602</v>
      </c>
      <c r="E82" s="539" t="s">
        <v>2603</v>
      </c>
      <c r="F82" s="539" t="s">
        <v>2604</v>
      </c>
      <c r="G82" s="539" t="s">
        <v>2605</v>
      </c>
      <c r="H82" s="539"/>
      <c r="I82" s="539"/>
      <c r="J82" s="539"/>
      <c r="K82" s="539"/>
      <c r="L82" s="539"/>
      <c r="M82" s="1382"/>
      <c r="N82" s="1153"/>
      <c r="O82" s="1153"/>
      <c r="P82" s="2625"/>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5"/>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 thickTop="1">
      <c r="A86" s="579"/>
      <c r="B86" s="538" t="s">
        <v>2607</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 thickTop="1">
      <c r="A88" s="579"/>
      <c r="B88" s="538" t="s">
        <v>2608</v>
      </c>
      <c r="C88" s="554"/>
      <c r="D88" s="554"/>
      <c r="E88" s="554"/>
      <c r="F88" s="2630"/>
      <c r="G88" s="554"/>
      <c r="H88" s="554"/>
      <c r="I88" s="554"/>
      <c r="J88" s="554"/>
      <c r="K88" s="554"/>
      <c r="L88" s="554"/>
      <c r="M88" s="581"/>
      <c r="N88" s="1151"/>
      <c r="O88" s="1151"/>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4.4" thickTop="1">
      <c r="A90" s="553"/>
      <c r="B90" s="538">
        <f>B27</f>
        <v>111</v>
      </c>
      <c r="C90" s="554"/>
      <c r="D90" s="554"/>
      <c r="E90" s="554"/>
      <c r="F90" s="554"/>
      <c r="G90" s="554"/>
      <c r="H90" s="555"/>
      <c r="I90" s="555"/>
      <c r="J90" s="555"/>
      <c r="K90" s="555"/>
      <c r="L90" s="556"/>
      <c r="M90" s="557"/>
      <c r="N90" s="1154"/>
      <c r="O90" s="1154"/>
      <c r="P90" s="2626"/>
      <c r="Q90" s="559"/>
    </row>
    <row r="91" spans="1:17" s="471" customFormat="1" ht="14.4" thickBot="1">
      <c r="A91" s="553"/>
      <c r="B91" s="543"/>
      <c r="C91" s="560"/>
      <c r="D91" s="560"/>
      <c r="E91" s="560"/>
      <c r="F91" s="560"/>
      <c r="G91" s="560"/>
      <c r="H91" s="562"/>
      <c r="I91" s="562"/>
      <c r="J91" s="562"/>
      <c r="K91" s="562"/>
      <c r="L91" s="562"/>
      <c r="M91" s="563"/>
      <c r="N91" s="1154"/>
      <c r="O91" s="1154"/>
      <c r="P91" s="2626"/>
      <c r="Q91" s="559"/>
    </row>
    <row r="92" spans="1:17" ht="14.4" thickTop="1">
      <c r="A92" s="534"/>
      <c r="B92" s="538">
        <f>B28</f>
        <v>111</v>
      </c>
      <c r="C92" s="554"/>
      <c r="D92" s="554"/>
      <c r="E92" s="554"/>
      <c r="F92" s="554"/>
      <c r="G92" s="583"/>
      <c r="H92" s="583"/>
      <c r="I92" s="583"/>
      <c r="J92" s="583"/>
      <c r="K92" s="584"/>
      <c r="L92" s="585"/>
      <c r="M92" s="586"/>
      <c r="N92" s="1152"/>
      <c r="O92" s="1152"/>
      <c r="P92" s="2625"/>
      <c r="Q92" s="504"/>
    </row>
    <row r="93" spans="1:17" ht="14.4" thickBot="1">
      <c r="A93" s="534"/>
      <c r="B93" s="543"/>
      <c r="C93" s="560"/>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60"/>
      <c r="E95" s="560"/>
      <c r="F95" s="560"/>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70"/>
      <c r="D97" s="570"/>
      <c r="E97" s="570"/>
      <c r="F97" s="570"/>
      <c r="G97" s="536"/>
      <c r="H97" s="536"/>
      <c r="I97" s="536"/>
      <c r="J97" s="536"/>
      <c r="K97" s="536"/>
      <c r="L97" s="536"/>
      <c r="M97" s="537"/>
      <c r="N97" s="1153"/>
      <c r="O97" s="1153"/>
      <c r="P97" s="2625"/>
      <c r="Q97" s="504"/>
    </row>
    <row r="98" spans="1:17" ht="14.4" thickTop="1">
      <c r="A98" s="534"/>
      <c r="B98" s="546">
        <f>B31</f>
        <v>111</v>
      </c>
      <c r="C98" s="587"/>
      <c r="D98" s="587"/>
      <c r="E98" s="587"/>
      <c r="F98" s="587"/>
      <c r="G98" s="587"/>
      <c r="H98" s="587"/>
      <c r="I98" s="587"/>
      <c r="J98" s="587"/>
      <c r="K98" s="588"/>
      <c r="L98" s="589"/>
      <c r="M98" s="590"/>
      <c r="N98" s="1152"/>
      <c r="O98" s="1152"/>
      <c r="P98" s="2625"/>
      <c r="Q98" s="504"/>
    </row>
    <row r="99" spans="1:17" ht="14.4" thickBot="1">
      <c r="A99" s="2631"/>
      <c r="B99" s="569"/>
      <c r="C99" s="591"/>
      <c r="D99" s="591"/>
      <c r="E99" s="591"/>
      <c r="F99" s="591"/>
      <c r="G99" s="591"/>
      <c r="H99" s="591"/>
      <c r="I99" s="591"/>
      <c r="J99" s="591"/>
      <c r="K99" s="591"/>
      <c r="L99" s="591"/>
      <c r="M99" s="592"/>
      <c r="N99" s="1153"/>
      <c r="O99" s="1153"/>
      <c r="P99" s="2625"/>
      <c r="Q99" s="504"/>
    </row>
    <row r="100" spans="1:17" ht="14.4">
      <c r="A100" s="527" t="s">
        <v>2560</v>
      </c>
      <c r="B100" s="528" t="s">
        <v>2609</v>
      </c>
      <c r="C100" s="2948" t="s">
        <v>3466</v>
      </c>
      <c r="D100" s="2948" t="s">
        <v>3467</v>
      </c>
      <c r="E100" s="2948" t="s">
        <v>3468</v>
      </c>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5"/>
      <c r="Q101" s="504"/>
    </row>
    <row r="102" spans="1:17" ht="28.2" thickTop="1">
      <c r="A102" s="534"/>
      <c r="B102" s="538" t="s">
        <v>2610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50000</v>
      </c>
      <c r="E103" s="595">
        <v>100000</v>
      </c>
      <c r="F103" s="595">
        <v>150000</v>
      </c>
      <c r="G103" s="595">
        <v>200000</v>
      </c>
      <c r="H103" s="595">
        <v>250000</v>
      </c>
      <c r="I103" s="595">
        <v>300000</v>
      </c>
      <c r="J103" s="596"/>
      <c r="K103" s="596"/>
      <c r="L103" s="597"/>
      <c r="M103" s="598"/>
      <c r="N103" s="1154"/>
      <c r="O103" s="1154"/>
      <c r="P103" s="2626"/>
      <c r="Q103" s="559"/>
    </row>
    <row r="104" spans="1:17" s="471" customFormat="1" ht="14.4" thickBot="1">
      <c r="A104" s="553"/>
      <c r="B104" s="543"/>
      <c r="C104" s="560">
        <v>100</v>
      </c>
      <c r="D104" s="536">
        <f>C104+2</f>
        <v>102</v>
      </c>
      <c r="E104" s="536">
        <f t="shared" ref="E104:I104" si="28">D104+2</f>
        <v>104</v>
      </c>
      <c r="F104" s="536">
        <f t="shared" si="28"/>
        <v>106</v>
      </c>
      <c r="G104" s="536">
        <f t="shared" si="28"/>
        <v>108</v>
      </c>
      <c r="H104" s="536">
        <f t="shared" si="28"/>
        <v>110</v>
      </c>
      <c r="I104" s="536">
        <f t="shared" si="28"/>
        <v>112</v>
      </c>
      <c r="J104" s="536"/>
      <c r="K104" s="536"/>
      <c r="L104" s="536"/>
      <c r="M104" s="536"/>
      <c r="N104" s="1153"/>
      <c r="O104" s="1153"/>
      <c r="P104" s="2626"/>
      <c r="Q104" s="559"/>
    </row>
    <row r="105" spans="1:17" ht="15" thickTop="1">
      <c r="A105" s="599"/>
      <c r="B105" s="538" t="s">
        <v>2611</v>
      </c>
      <c r="C105" s="2965" t="s">
        <v>3470</v>
      </c>
      <c r="D105" s="2965" t="s">
        <v>3471</v>
      </c>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5"/>
      <c r="Q106" s="504"/>
    </row>
    <row r="107" spans="1:17" ht="15" thickTop="1">
      <c r="A107" s="599"/>
      <c r="B107" s="538" t="s">
        <v>2612</v>
      </c>
      <c r="C107" s="2966" t="s">
        <v>3472</v>
      </c>
      <c r="D107" s="2966" t="s">
        <v>3473</v>
      </c>
      <c r="E107" s="2966" t="s">
        <v>3474</v>
      </c>
      <c r="F107" s="2966" t="s">
        <v>3475</v>
      </c>
      <c r="G107" s="2966" t="s">
        <v>3476</v>
      </c>
      <c r="H107" s="583"/>
      <c r="I107" s="583"/>
      <c r="J107" s="583"/>
      <c r="K107" s="584"/>
      <c r="L107" s="585"/>
      <c r="M107" s="586"/>
      <c r="N107" s="1152"/>
      <c r="O107" s="1152"/>
      <c r="P107" s="2625"/>
      <c r="Q107" s="504"/>
    </row>
    <row r="108" spans="1:17" ht="14.4"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3"/>
      <c r="O108" s="1153"/>
      <c r="P108" s="2625"/>
      <c r="Q108" s="504"/>
    </row>
    <row r="109" spans="1:17" ht="15" thickTop="1">
      <c r="A109" s="599"/>
      <c r="B109" s="538" t="s">
        <v>2613</v>
      </c>
      <c r="C109" s="2965" t="s">
        <v>3478</v>
      </c>
      <c r="D109" s="2965" t="s">
        <v>3479</v>
      </c>
      <c r="E109" s="2965" t="s">
        <v>3480</v>
      </c>
      <c r="F109" s="2966" t="s">
        <v>3482</v>
      </c>
      <c r="G109" s="583"/>
      <c r="H109" s="583"/>
      <c r="I109" s="583"/>
      <c r="J109" s="583"/>
      <c r="K109" s="584"/>
      <c r="L109" s="585"/>
      <c r="M109" s="586"/>
      <c r="N109" s="1152"/>
      <c r="O109" s="1152"/>
      <c r="P109" s="2625"/>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6"/>
      <c r="Q113" s="559"/>
    </row>
    <row r="114" spans="1:17" ht="15" thickTop="1">
      <c r="A114" s="599"/>
      <c r="B114" s="538" t="s">
        <v>2614</v>
      </c>
      <c r="C114" s="2966" t="s">
        <v>3472</v>
      </c>
      <c r="D114" s="2966" t="s">
        <v>3473</v>
      </c>
      <c r="E114" s="2966" t="s">
        <v>3474</v>
      </c>
      <c r="F114" s="2966" t="s">
        <v>3475</v>
      </c>
      <c r="G114" s="2966" t="s">
        <v>3476</v>
      </c>
      <c r="H114" s="583"/>
      <c r="I114" s="583"/>
      <c r="J114" s="583"/>
      <c r="K114" s="584"/>
      <c r="L114" s="585"/>
      <c r="M114" s="586"/>
      <c r="N114" s="1152"/>
      <c r="O114" s="1152"/>
      <c r="P114" s="2625"/>
      <c r="Q114" s="504"/>
    </row>
    <row r="115" spans="1:17" ht="14.4"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3"/>
      <c r="O115" s="1153"/>
      <c r="P115" s="2625"/>
      <c r="Q115" s="504"/>
    </row>
    <row r="116" spans="1:17" ht="15" thickTop="1">
      <c r="A116" s="599"/>
      <c r="B116" s="538" t="s">
        <v>2615</v>
      </c>
      <c r="C116" s="2965" t="s">
        <v>3485</v>
      </c>
      <c r="D116" s="2965" t="s">
        <v>3486</v>
      </c>
      <c r="E116" s="2965" t="s">
        <v>3487</v>
      </c>
      <c r="F116" s="2965" t="s">
        <v>3488</v>
      </c>
      <c r="G116" s="554"/>
      <c r="H116" s="583"/>
      <c r="I116" s="583"/>
      <c r="J116" s="583"/>
      <c r="K116" s="584"/>
      <c r="L116" s="585"/>
      <c r="M116" s="586"/>
      <c r="N116" s="1152"/>
      <c r="O116" s="1152"/>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5"/>
      <c r="Q117" s="504"/>
    </row>
    <row r="118" spans="1:17" ht="15" thickTop="1">
      <c r="A118" s="599"/>
      <c r="B118" s="538" t="s">
        <v>2616</v>
      </c>
      <c r="C118" s="2966" t="s">
        <v>3484</v>
      </c>
      <c r="D118" s="583"/>
      <c r="E118" s="583"/>
      <c r="F118" s="583"/>
      <c r="G118" s="583"/>
      <c r="H118" s="583"/>
      <c r="I118" s="583"/>
      <c r="J118" s="583"/>
      <c r="K118" s="584"/>
      <c r="L118" s="585"/>
      <c r="M118" s="586"/>
      <c r="N118" s="1152"/>
      <c r="O118" s="1152"/>
      <c r="P118" s="2625"/>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5"/>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6"/>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2617</v>
      </c>
      <c r="C122" s="2965" t="s">
        <v>3521</v>
      </c>
      <c r="D122" s="2965" t="s">
        <v>3478</v>
      </c>
      <c r="E122" s="2965" t="s">
        <v>3479</v>
      </c>
      <c r="F122" s="2965" t="s">
        <v>3480</v>
      </c>
      <c r="G122" s="2966" t="s">
        <v>3482</v>
      </c>
      <c r="H122" s="583"/>
      <c r="I122" s="583"/>
      <c r="J122" s="583"/>
      <c r="K122" s="584"/>
      <c r="L122" s="585"/>
      <c r="M122" s="586"/>
      <c r="N122" s="1152"/>
      <c r="O122" s="1152"/>
      <c r="P122" s="2625"/>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5"/>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60"/>
      <c r="E129" s="560"/>
      <c r="F129" s="560"/>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2619</v>
      </c>
    </row>
    <row r="137" spans="1:17" ht="15">
      <c r="B137" s="2633" t="s">
        <v>2620</v>
      </c>
      <c r="C137" s="2634"/>
      <c r="D137" s="2634"/>
      <c r="E137" s="2634"/>
      <c r="F137" s="2634"/>
      <c r="G137" s="2635"/>
      <c r="H137" s="2636"/>
      <c r="I137" s="2637" t="s">
        <v>2621</v>
      </c>
      <c r="J137" s="2634"/>
      <c r="K137" s="2638"/>
    </row>
    <row r="138" spans="1:17" ht="15">
      <c r="B138" s="2639"/>
      <c r="C138" s="146" t="s">
        <v>2622</v>
      </c>
      <c r="D138" s="146" t="s">
        <v>2623</v>
      </c>
      <c r="E138" s="2640" t="s">
        <v>2624</v>
      </c>
      <c r="F138" s="2641" t="s">
        <v>2625</v>
      </c>
      <c r="G138" s="146" t="s">
        <v>2623</v>
      </c>
      <c r="H138" s="147" t="s">
        <v>2624</v>
      </c>
      <c r="I138" s="2642"/>
      <c r="J138" s="146" t="s">
        <v>2626</v>
      </c>
      <c r="K138" s="147" t="s">
        <v>2627</v>
      </c>
    </row>
    <row r="139" spans="1:17" ht="15">
      <c r="B139" s="1084">
        <v>6</v>
      </c>
      <c r="C139" s="1085">
        <v>96</v>
      </c>
      <c r="D139" s="2643" t="s">
        <v>2628</v>
      </c>
      <c r="E139" s="1086">
        <v>100</v>
      </c>
      <c r="F139" s="1087">
        <v>102.5</v>
      </c>
      <c r="G139" s="2643" t="s">
        <v>2628</v>
      </c>
      <c r="H139" s="1088">
        <v>105</v>
      </c>
      <c r="I139" s="2644" t="s">
        <v>2629</v>
      </c>
      <c r="J139" s="1085">
        <v>20</v>
      </c>
      <c r="K139" s="1089">
        <f>C145/(J139-2)</f>
        <v>4.0555555555555553E-3</v>
      </c>
    </row>
    <row r="140" spans="1:17" ht="15">
      <c r="B140" s="1090">
        <v>5</v>
      </c>
      <c r="C140" s="1091">
        <v>100</v>
      </c>
      <c r="D140" s="1091"/>
      <c r="E140" s="1092"/>
      <c r="F140" s="1093">
        <v>102</v>
      </c>
      <c r="G140" s="1091"/>
      <c r="H140" s="1094"/>
      <c r="I140" s="2645" t="s">
        <v>2630</v>
      </c>
      <c r="J140" s="315">
        <f>ROUNDUP((J139-1)/2,0)</f>
        <v>10</v>
      </c>
      <c r="K140" s="1095">
        <v>100</v>
      </c>
    </row>
    <row r="141" spans="1:17" ht="15">
      <c r="B141" s="1090">
        <v>4</v>
      </c>
      <c r="C141" s="1091">
        <v>102</v>
      </c>
      <c r="D141" s="1091"/>
      <c r="E141" s="1092"/>
      <c r="F141" s="1093">
        <v>101.5</v>
      </c>
      <c r="G141" s="1091"/>
      <c r="H141" s="1094"/>
      <c r="I141" s="2645" t="s">
        <v>2631</v>
      </c>
      <c r="J141" s="315">
        <v>1</v>
      </c>
      <c r="K141" s="1096">
        <f>ROUND(100+(J141-J140)*K139*100,1)</f>
        <v>96.4</v>
      </c>
    </row>
    <row r="142" spans="1:17" ht="15">
      <c r="B142" s="1090">
        <v>3</v>
      </c>
      <c r="C142" s="1091">
        <v>103</v>
      </c>
      <c r="D142" s="1091"/>
      <c r="E142" s="1092"/>
      <c r="F142" s="1093">
        <v>101</v>
      </c>
      <c r="G142" s="1091"/>
      <c r="H142" s="1094"/>
      <c r="I142" s="2645" t="s">
        <v>2632</v>
      </c>
      <c r="J142" s="315">
        <f>J139</f>
        <v>20</v>
      </c>
      <c r="K142" s="1097">
        <v>95</v>
      </c>
    </row>
    <row r="143" spans="1:17" ht="15">
      <c r="B143" s="1090">
        <v>2</v>
      </c>
      <c r="C143" s="1091">
        <v>100</v>
      </c>
      <c r="D143" s="1091"/>
      <c r="E143" s="1092"/>
      <c r="F143" s="1093">
        <v>100.5</v>
      </c>
      <c r="G143" s="1091"/>
      <c r="H143" s="1094"/>
      <c r="I143" s="2645" t="s">
        <v>2633</v>
      </c>
      <c r="J143" s="1091">
        <v>15</v>
      </c>
      <c r="K143" s="1096">
        <f>ROUND(100+(J143-J140)*K139*100,1)</f>
        <v>102</v>
      </c>
    </row>
    <row r="144" spans="1:17" ht="15">
      <c r="B144" s="1090">
        <v>1</v>
      </c>
      <c r="C144" s="1091">
        <v>98</v>
      </c>
      <c r="D144" s="2646" t="s">
        <v>2634</v>
      </c>
      <c r="E144" s="1092">
        <v>102</v>
      </c>
      <c r="F144" s="1098">
        <v>100</v>
      </c>
      <c r="G144" s="2646" t="s">
        <v>2634</v>
      </c>
      <c r="H144" s="1094">
        <v>105</v>
      </c>
      <c r="I144" s="2645" t="s">
        <v>2633</v>
      </c>
      <c r="J144" s="1091">
        <v>18</v>
      </c>
      <c r="K144" s="1096">
        <f>ROUND(100+(J144-J140)*K139*100,1)</f>
        <v>103.2</v>
      </c>
    </row>
    <row r="145" spans="2:11" ht="16.2" thickBot="1">
      <c r="B145" s="2647" t="s">
        <v>2635</v>
      </c>
      <c r="C145" s="1099">
        <f>ROUND(MAX(C139:C144)/MIN(C139:C144)-1,3)</f>
        <v>7.2999999999999995E-2</v>
      </c>
      <c r="D145" s="1100"/>
      <c r="E145" s="1100"/>
      <c r="F145" s="2648" t="s">
        <v>2636</v>
      </c>
      <c r="G145" s="2649"/>
      <c r="H145" s="2650"/>
      <c r="I145" s="2651" t="s">
        <v>2633</v>
      </c>
      <c r="J145" s="1101">
        <v>8</v>
      </c>
      <c r="K145" s="1102">
        <f>ROUND(100+(J145-J140)*K139*100,1)</f>
        <v>99.2</v>
      </c>
    </row>
    <row r="147" spans="2:11" ht="14.4">
      <c r="B147" s="2632" t="s">
        <v>2637</v>
      </c>
    </row>
    <row r="148" spans="2:11" ht="14.4">
      <c r="B148" s="2632" t="s">
        <v>2638</v>
      </c>
    </row>
  </sheetData>
  <sheetProtection algorithmName="SHA-512" hashValue="4/svMjlkBEmIKYptgo378+f7VQgiZf8squq+Woh7p3/a30dBWkUlcVXhuiQ4Iod8l6QTxmfs9lF3mm2DJhpd3g==" saltValue="SmybcL3+dR4ra7OSIC4Vr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I47" sqref="I47:I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2526</v>
      </c>
      <c r="C1" s="1634" t="s">
        <v>2527</v>
      </c>
      <c r="D1" s="1621" t="s">
        <v>3080</v>
      </c>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44425</v>
      </c>
      <c r="C2" s="2584" t="s">
        <v>70</v>
      </c>
      <c r="D2" s="1365" t="e">
        <f ca="1">SUMIF(INDIRECT("'"&amp;F2&amp;"'"&amp;"!A:A"),"承租人权益价值",INDIRECT("'"&amp;F2&amp;"'"&amp;"!c:c"))</f>
        <v>#REF!</v>
      </c>
      <c r="E2" s="2585" t="s">
        <v>2328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16927</v>
      </c>
      <c r="C3" s="400" t="s">
        <v>2531</v>
      </c>
      <c r="D3" s="399">
        <f>IF(D1="",'数据-汇总表'!E3,SUMIF('数据-汇总表'!$C19:$C33,D1,'数据-汇总表'!$E19:$E33))</f>
        <v>26245.119999999999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2532</v>
      </c>
      <c r="B4" s="402"/>
      <c r="C4" s="3201" t="s">
        <v>2533</v>
      </c>
      <c r="D4" s="3202"/>
      <c r="E4" s="3203" t="s">
        <v>2534</v>
      </c>
      <c r="F4" s="3204"/>
      <c r="G4" s="3201" t="s">
        <v>2535</v>
      </c>
      <c r="H4" s="3202"/>
      <c r="I4" s="3201" t="s">
        <v>2536</v>
      </c>
      <c r="J4" s="3202"/>
      <c r="K4" s="2594" t="s">
        <v>2537</v>
      </c>
      <c r="L4" s="1130"/>
      <c r="M4" s="1131"/>
      <c r="N4" s="1131"/>
      <c r="O4" s="1131"/>
      <c r="P4" s="3205" t="s">
        <v>2538</v>
      </c>
      <c r="Q4" s="3206"/>
      <c r="R4" s="3211" t="s">
        <v>2534</v>
      </c>
      <c r="S4" s="3212"/>
      <c r="T4" s="3211" t="s">
        <v>2535</v>
      </c>
      <c r="U4" s="3212"/>
      <c r="V4" s="3223" t="s">
        <v>2536</v>
      </c>
      <c r="W4" s="3223"/>
      <c r="X4" s="2963"/>
      <c r="Y4" s="3211" t="s">
        <v>2538</v>
      </c>
      <c r="Z4" s="3212"/>
      <c r="AA4" s="3198" t="s">
        <v>2534</v>
      </c>
      <c r="AB4" s="3198" t="s">
        <v>2535</v>
      </c>
      <c r="AC4" s="3198" t="s">
        <v>2536</v>
      </c>
    </row>
    <row r="5" spans="1:29">
      <c r="A5" s="404"/>
      <c r="B5" s="405"/>
      <c r="C5" s="3215" t="s">
        <v>3462</v>
      </c>
      <c r="D5" s="3216"/>
      <c r="E5" s="3217" t="s">
        <v>3491</v>
      </c>
      <c r="F5" s="3218"/>
      <c r="G5" s="3215" t="s">
        <v>3489</v>
      </c>
      <c r="H5" s="3216"/>
      <c r="I5" s="3215" t="s">
        <v>3492</v>
      </c>
      <c r="J5" s="3216"/>
      <c r="K5" s="2595"/>
      <c r="L5" s="1130"/>
      <c r="M5" s="1131"/>
      <c r="N5" s="1131"/>
      <c r="O5" s="1131"/>
      <c r="P5" s="3207"/>
      <c r="Q5" s="3208"/>
      <c r="R5" s="3213"/>
      <c r="S5" s="3214"/>
      <c r="T5" s="3213"/>
      <c r="U5" s="3214"/>
      <c r="V5" s="3223"/>
      <c r="W5" s="3223"/>
      <c r="X5" s="2963"/>
      <c r="Y5" s="3213"/>
      <c r="Z5" s="3214"/>
      <c r="AA5" s="3199"/>
      <c r="AB5" s="3199"/>
      <c r="AC5" s="3199"/>
    </row>
    <row r="6" spans="1:29" ht="15" thickBot="1">
      <c r="A6" s="406"/>
      <c r="B6" s="407"/>
      <c r="C6" s="3219" t="s">
        <v>3433</v>
      </c>
      <c r="D6" s="3220"/>
      <c r="E6" s="3219" t="s">
        <v>3433</v>
      </c>
      <c r="F6" s="3220"/>
      <c r="G6" s="3219" t="s">
        <v>3433</v>
      </c>
      <c r="H6" s="3220"/>
      <c r="I6" s="3219" t="s">
        <v>3433</v>
      </c>
      <c r="J6" s="3220"/>
      <c r="K6" s="2595" t="s">
        <v>2544</v>
      </c>
      <c r="L6" s="1130"/>
      <c r="M6" s="1131"/>
      <c r="N6" s="1131"/>
      <c r="O6" s="1131"/>
      <c r="P6" s="3209"/>
      <c r="Q6" s="3210"/>
      <c r="R6" s="3213"/>
      <c r="S6" s="3214"/>
      <c r="T6" s="3221"/>
      <c r="U6" s="3222"/>
      <c r="V6" s="3223"/>
      <c r="W6" s="3223"/>
      <c r="X6" s="2963"/>
      <c r="Y6" s="3221"/>
      <c r="Z6" s="3222"/>
      <c r="AA6" s="3200"/>
      <c r="AB6" s="3200"/>
      <c r="AC6" s="3200"/>
    </row>
    <row r="7" spans="1:29" s="117" customFormat="1" ht="15" thickBot="1">
      <c r="A7" s="408" t="s">
        <v>2545</v>
      </c>
      <c r="B7" s="409"/>
      <c r="C7" s="410">
        <f>'数据-取费表'!B2</f>
        <v>43356</v>
      </c>
      <c r="D7" s="411">
        <v>100</v>
      </c>
      <c r="E7" s="412">
        <v>43344</v>
      </c>
      <c r="F7" s="413">
        <f>SUMIF(58:58,YEAR(E7)&amp;"-"&amp;MONTH(E7),59:59)</f>
        <v>100</v>
      </c>
      <c r="G7" s="412">
        <v>43344</v>
      </c>
      <c r="H7" s="411">
        <f>SUMIF(58:58,YEAR(G7)&amp;"-"&amp;MONTH(G7),59:59)</f>
        <v>100</v>
      </c>
      <c r="I7" s="412">
        <v>43344</v>
      </c>
      <c r="J7" s="411">
        <f>SUMIF(58:58,YEAR(I7)&amp;"-"&amp;MONTH(I7),59:59)</f>
        <v>100</v>
      </c>
      <c r="K7" s="2596"/>
      <c r="L7" s="1132"/>
      <c r="M7" s="1133"/>
      <c r="N7" s="1133"/>
      <c r="O7" s="1133"/>
      <c r="P7" s="3224" t="s">
        <v>2546</v>
      </c>
      <c r="Q7" s="3225"/>
      <c r="R7" s="770" t="s">
        <v>23</v>
      </c>
      <c r="S7" s="771">
        <f t="shared" ref="S7:S15" si="0">F7</f>
        <v>100</v>
      </c>
      <c r="T7" s="770" t="s">
        <v>23</v>
      </c>
      <c r="U7" s="771">
        <f t="shared" ref="U7:U15" si="1">H7</f>
        <v>100</v>
      </c>
      <c r="V7" s="770" t="s">
        <v>23</v>
      </c>
      <c r="W7" s="771">
        <f t="shared" ref="W7:W15" si="2">J7</f>
        <v>100</v>
      </c>
      <c r="X7" s="772"/>
      <c r="Y7" s="3224" t="s">
        <v>2546</v>
      </c>
      <c r="Z7" s="3226"/>
      <c r="AA7" s="773">
        <f>D7/F7</f>
        <v>1</v>
      </c>
      <c r="AB7" s="773">
        <f>D7/H7</f>
        <v>1</v>
      </c>
      <c r="AC7" s="773">
        <f>D7/J7</f>
        <v>1</v>
      </c>
    </row>
    <row r="8" spans="1:29" s="117" customFormat="1" ht="15" thickBot="1">
      <c r="A8" s="408" t="s">
        <v>2547</v>
      </c>
      <c r="B8" s="409"/>
      <c r="C8" s="414" t="s">
        <v>2548</v>
      </c>
      <c r="D8" s="411">
        <v>100</v>
      </c>
      <c r="E8" s="414" t="s">
        <v>2548</v>
      </c>
      <c r="F8" s="413">
        <f>SUMIF(61:61,E8,62:62)-SUMIF(61:61,C8,62:62)+100</f>
        <v>100</v>
      </c>
      <c r="G8" s="414" t="s">
        <v>2548</v>
      </c>
      <c r="H8" s="411">
        <f>SUMIF(61:61,G8,62:62)-SUMIF(61:61,C8,62:62)+100</f>
        <v>100</v>
      </c>
      <c r="I8" s="414" t="s">
        <v>2548</v>
      </c>
      <c r="J8" s="411">
        <f>SUMIF(61:61,I8,62:62)-SUMIF(61:61,C8,62:62)+100</f>
        <v>100</v>
      </c>
      <c r="K8" s="2596"/>
      <c r="L8" s="1132"/>
      <c r="M8" s="1133"/>
      <c r="N8" s="1133"/>
      <c r="O8" s="1133"/>
      <c r="P8" s="3224" t="s">
        <v>2549</v>
      </c>
      <c r="Q8" s="3226"/>
      <c r="R8" s="770" t="s">
        <v>23</v>
      </c>
      <c r="S8" s="771">
        <f t="shared" si="0"/>
        <v>100</v>
      </c>
      <c r="T8" s="770" t="s">
        <v>23</v>
      </c>
      <c r="U8" s="771">
        <f t="shared" si="1"/>
        <v>100</v>
      </c>
      <c r="V8" s="770" t="s">
        <v>23</v>
      </c>
      <c r="W8" s="771">
        <f t="shared" si="2"/>
        <v>100</v>
      </c>
      <c r="X8" s="772"/>
      <c r="Y8" s="3224" t="s">
        <v>2549</v>
      </c>
      <c r="Z8" s="3226"/>
      <c r="AA8" s="773">
        <f t="shared" ref="AA8:AA19" si="3">D8/F8</f>
        <v>1</v>
      </c>
      <c r="AB8" s="773">
        <f t="shared" ref="AB8:AB19" si="4">D8/H8</f>
        <v>1</v>
      </c>
      <c r="AC8" s="773">
        <f t="shared" ref="AC8:AC19" si="5">D8/J8</f>
        <v>1</v>
      </c>
    </row>
    <row r="9" spans="1:29" s="117" customFormat="1" ht="14.4">
      <c r="A9" s="415" t="s">
        <v>2550</v>
      </c>
      <c r="B9" s="71" t="s">
        <v>2551</v>
      </c>
      <c r="C9" s="2967" t="s">
        <v>3463</v>
      </c>
      <c r="D9" s="135">
        <v>100</v>
      </c>
      <c r="E9" s="417" t="s">
        <v>3057</v>
      </c>
      <c r="F9" s="418">
        <f>SUMIF(63:63,E9,64:64)-SUMIF(63:63,C9,64:64)+100</f>
        <v>100</v>
      </c>
      <c r="G9" s="417" t="s">
        <v>3057</v>
      </c>
      <c r="H9" s="135">
        <f>SUMIF(63:63,G9,64:64)-SUMIF(63:63,C9,64:64)+100</f>
        <v>100</v>
      </c>
      <c r="I9" s="417" t="s">
        <v>3057</v>
      </c>
      <c r="J9" s="135">
        <f>SUMIF(63:63,I9,64:64)-SUMIF(63:63,C9,64:64)+100</f>
        <v>100</v>
      </c>
      <c r="K9" s="2596"/>
      <c r="L9" s="1132"/>
      <c r="M9" s="1133"/>
      <c r="N9" s="1133"/>
      <c r="O9" s="1133"/>
      <c r="P9" s="3227" t="s">
        <v>2552</v>
      </c>
      <c r="Q9" s="2949" t="str">
        <f t="shared" ref="Q9:Q15" si="6">B9</f>
        <v>用途</v>
      </c>
      <c r="R9" s="770" t="s">
        <v>17</v>
      </c>
      <c r="S9" s="771">
        <f t="shared" si="0"/>
        <v>100</v>
      </c>
      <c r="T9" s="770" t="s">
        <v>17</v>
      </c>
      <c r="U9" s="771">
        <f t="shared" si="1"/>
        <v>100</v>
      </c>
      <c r="V9" s="770" t="s">
        <v>17</v>
      </c>
      <c r="W9" s="771">
        <f t="shared" si="2"/>
        <v>100</v>
      </c>
      <c r="X9" s="772"/>
      <c r="Y9" s="3047" t="s">
        <v>2553</v>
      </c>
      <c r="Z9" s="2950" t="str">
        <f t="shared" ref="Z9:Z15" si="7">Q9</f>
        <v>用途</v>
      </c>
      <c r="AA9" s="773">
        <f t="shared" si="3"/>
        <v>1</v>
      </c>
      <c r="AB9" s="773">
        <f t="shared" si="4"/>
        <v>1</v>
      </c>
      <c r="AC9" s="773">
        <f t="shared" si="5"/>
        <v>1</v>
      </c>
    </row>
    <row r="10" spans="1:29" s="427" customFormat="1" ht="28.8">
      <c r="A10" s="421"/>
      <c r="B10" s="2955" t="s">
        <v>2554</v>
      </c>
      <c r="C10" s="423" t="s">
        <v>3464</v>
      </c>
      <c r="D10" s="136">
        <v>100</v>
      </c>
      <c r="E10" s="424" t="s">
        <v>3464</v>
      </c>
      <c r="F10" s="425">
        <f>SUMIF(65:65,E10,66:66)-SUMIF(65:65,C10,66:66)+100</f>
        <v>100</v>
      </c>
      <c r="G10" s="424" t="s">
        <v>3464</v>
      </c>
      <c r="H10" s="136">
        <f>SUMIF(65:65,G10,66:66)-SUMIF(65:65,C10,66:66)+100</f>
        <v>100</v>
      </c>
      <c r="I10" s="424" t="s">
        <v>3464</v>
      </c>
      <c r="J10" s="136">
        <f>SUMIF(65:65,I10,66:66)-SUMIF(65:65,C10,66:66)+100</f>
        <v>100</v>
      </c>
      <c r="K10" s="426">
        <v>1</v>
      </c>
      <c r="L10" s="1135"/>
      <c r="M10" s="1136"/>
      <c r="N10" s="1136"/>
      <c r="O10" s="1136"/>
      <c r="P10" s="3227"/>
      <c r="Q10" s="2949" t="str">
        <f t="shared" si="6"/>
        <v>土地使用年限（年）</v>
      </c>
      <c r="R10" s="770" t="s">
        <v>17</v>
      </c>
      <c r="S10" s="771">
        <f t="shared" si="0"/>
        <v>100</v>
      </c>
      <c r="T10" s="770" t="s">
        <v>17</v>
      </c>
      <c r="U10" s="771">
        <f t="shared" si="1"/>
        <v>100</v>
      </c>
      <c r="V10" s="770" t="s">
        <v>17</v>
      </c>
      <c r="W10" s="771">
        <f t="shared" si="2"/>
        <v>100</v>
      </c>
      <c r="X10" s="772"/>
      <c r="Y10" s="3047"/>
      <c r="Z10" s="2950" t="str">
        <f t="shared" si="7"/>
        <v>土地使用年限（年）</v>
      </c>
      <c r="AA10" s="773">
        <f t="shared" si="3"/>
        <v>1</v>
      </c>
      <c r="AB10" s="773">
        <f t="shared" si="4"/>
        <v>1</v>
      </c>
      <c r="AC10" s="773">
        <f t="shared" si="5"/>
        <v>1</v>
      </c>
    </row>
    <row r="11" spans="1:29" ht="15">
      <c r="A11" s="428"/>
      <c r="B11" s="2955" t="s">
        <v>2555</v>
      </c>
      <c r="C11" s="429">
        <f>'土地比较法-住宅、综合'!C11</f>
        <v>1.8</v>
      </c>
      <c r="D11" s="136">
        <v>100</v>
      </c>
      <c r="E11" s="430">
        <v>2</v>
      </c>
      <c r="F11" s="425">
        <f>LOOKUP(E11,68:68,69:69)-LOOKUP(C11,68:68,69:69)+100</f>
        <v>99.5</v>
      </c>
      <c r="G11" s="429">
        <v>1.5</v>
      </c>
      <c r="H11" s="136">
        <f>LOOKUP(G11,68:68,69:69)-LOOKUP(C11,68:68,69:69)+100</f>
        <v>100</v>
      </c>
      <c r="I11" s="429">
        <v>2</v>
      </c>
      <c r="J11" s="136">
        <f>LOOKUP(I11,68:68,69:69)-LOOKUP(C11,68:68,69:69)+100</f>
        <v>99.5</v>
      </c>
      <c r="K11" s="426">
        <v>0.5</v>
      </c>
      <c r="L11" s="1138"/>
      <c r="M11" s="1131"/>
      <c r="N11" s="1131"/>
      <c r="O11" s="1131"/>
      <c r="P11" s="3227"/>
      <c r="Q11" s="2949" t="str">
        <f t="shared" si="6"/>
        <v>容积率</v>
      </c>
      <c r="R11" s="770" t="s">
        <v>21</v>
      </c>
      <c r="S11" s="771">
        <f t="shared" si="0"/>
        <v>99.5</v>
      </c>
      <c r="T11" s="770" t="s">
        <v>21</v>
      </c>
      <c r="U11" s="771">
        <f t="shared" si="1"/>
        <v>100</v>
      </c>
      <c r="V11" s="770" t="s">
        <v>21</v>
      </c>
      <c r="W11" s="771">
        <f t="shared" si="2"/>
        <v>99.5</v>
      </c>
      <c r="X11" s="772"/>
      <c r="Y11" s="3047"/>
      <c r="Z11" s="2950" t="str">
        <f t="shared" si="7"/>
        <v>容积率</v>
      </c>
      <c r="AA11" s="773">
        <f t="shared" si="3"/>
        <v>1.0050251256281406</v>
      </c>
      <c r="AB11" s="773">
        <f t="shared" si="4"/>
        <v>1</v>
      </c>
      <c r="AC11" s="773">
        <f t="shared" si="5"/>
        <v>1.0050251256281406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27"/>
      <c r="Q12" s="2949">
        <f t="shared" si="6"/>
        <v>111</v>
      </c>
      <c r="R12" s="770" t="s">
        <v>21</v>
      </c>
      <c r="S12" s="771">
        <f t="shared" si="0"/>
        <v>100</v>
      </c>
      <c r="T12" s="770" t="s">
        <v>21</v>
      </c>
      <c r="U12" s="771">
        <f t="shared" si="1"/>
        <v>100</v>
      </c>
      <c r="V12" s="770" t="s">
        <v>21</v>
      </c>
      <c r="W12" s="771">
        <f t="shared" si="2"/>
        <v>100</v>
      </c>
      <c r="X12" s="772"/>
      <c r="Y12" s="3047"/>
      <c r="Z12" s="2950">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27"/>
      <c r="Q13" s="2949">
        <f t="shared" si="6"/>
        <v>111</v>
      </c>
      <c r="R13" s="770" t="s">
        <v>21</v>
      </c>
      <c r="S13" s="771">
        <f t="shared" si="0"/>
        <v>100</v>
      </c>
      <c r="T13" s="770" t="s">
        <v>21</v>
      </c>
      <c r="U13" s="771">
        <f t="shared" si="1"/>
        <v>100</v>
      </c>
      <c r="V13" s="770" t="s">
        <v>21</v>
      </c>
      <c r="W13" s="771">
        <f t="shared" si="2"/>
        <v>100</v>
      </c>
      <c r="X13" s="772"/>
      <c r="Y13" s="3047"/>
      <c r="Z13" s="2950">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27"/>
      <c r="Q14" s="2949">
        <f t="shared" si="6"/>
        <v>111</v>
      </c>
      <c r="R14" s="770" t="s">
        <v>21</v>
      </c>
      <c r="S14" s="771">
        <f t="shared" si="0"/>
        <v>100</v>
      </c>
      <c r="T14" s="770" t="s">
        <v>21</v>
      </c>
      <c r="U14" s="771">
        <f t="shared" si="1"/>
        <v>100</v>
      </c>
      <c r="V14" s="770" t="s">
        <v>21</v>
      </c>
      <c r="W14" s="771">
        <f t="shared" si="2"/>
        <v>100</v>
      </c>
      <c r="X14" s="772"/>
      <c r="Y14" s="3047"/>
      <c r="Z14" s="2950">
        <f t="shared" si="7"/>
        <v>111</v>
      </c>
      <c r="AA14" s="773">
        <f t="shared" si="3"/>
        <v>1</v>
      </c>
      <c r="AB14" s="773">
        <f t="shared" si="4"/>
        <v>1</v>
      </c>
      <c r="AC14" s="773">
        <f t="shared" si="5"/>
        <v>1</v>
      </c>
    </row>
    <row r="15" spans="1:29" ht="96.6">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0"/>
      <c r="M15" s="1131"/>
      <c r="N15" s="1131"/>
      <c r="O15" s="1131"/>
      <c r="P15" s="3228" t="s">
        <v>2557</v>
      </c>
      <c r="Q15" s="2961" t="str">
        <f t="shared" si="6"/>
        <v>居住社区成熟度</v>
      </c>
      <c r="R15" s="774" t="s">
        <v>21</v>
      </c>
      <c r="S15" s="775">
        <f t="shared" si="0"/>
        <v>100</v>
      </c>
      <c r="T15" s="774" t="s">
        <v>21</v>
      </c>
      <c r="U15" s="775">
        <f t="shared" si="1"/>
        <v>100</v>
      </c>
      <c r="V15" s="774" t="s">
        <v>21</v>
      </c>
      <c r="W15" s="775">
        <f t="shared" si="2"/>
        <v>100</v>
      </c>
      <c r="X15" s="2963"/>
      <c r="Y15" s="3230" t="s">
        <v>2557</v>
      </c>
      <c r="Z15" s="2964" t="str">
        <f t="shared" si="7"/>
        <v>居住社区成熟度</v>
      </c>
      <c r="AA15" s="2962">
        <f t="shared" si="3"/>
        <v>1</v>
      </c>
      <c r="AB15" s="2962">
        <f t="shared" si="4"/>
        <v>1</v>
      </c>
      <c r="AC15" s="2962">
        <f t="shared" si="5"/>
        <v>1</v>
      </c>
    </row>
    <row r="16" spans="1:29" ht="15">
      <c r="A16" s="428"/>
      <c r="B16" s="446"/>
      <c r="C16" s="447" t="s">
        <v>3436</v>
      </c>
      <c r="D16" s="448"/>
      <c r="E16" s="447" t="s">
        <v>3436</v>
      </c>
      <c r="F16" s="448"/>
      <c r="G16" s="447" t="s">
        <v>3436</v>
      </c>
      <c r="H16" s="450"/>
      <c r="I16" s="447" t="s">
        <v>3436</v>
      </c>
      <c r="J16" s="448"/>
      <c r="K16" s="2603"/>
      <c r="L16" s="1140"/>
      <c r="M16" s="1131"/>
      <c r="N16" s="1131"/>
      <c r="O16" s="1131"/>
      <c r="P16" s="3229"/>
      <c r="Q16" s="2961"/>
      <c r="R16" s="774"/>
      <c r="S16" s="775"/>
      <c r="T16" s="774"/>
      <c r="U16" s="775"/>
      <c r="V16" s="774"/>
      <c r="W16" s="775"/>
      <c r="X16" s="2963"/>
      <c r="Y16" s="3231"/>
      <c r="Z16" s="2964"/>
      <c r="AA16" s="2962">
        <v>1</v>
      </c>
      <c r="AB16" s="2962">
        <v>1</v>
      </c>
      <c r="AC16" s="2962">
        <v>1</v>
      </c>
    </row>
    <row r="17" spans="1:29" ht="82.8">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0"/>
      <c r="M17" s="1131"/>
      <c r="N17" s="1131"/>
      <c r="O17" s="1131"/>
      <c r="P17" s="3229"/>
      <c r="Q17" s="2961" t="str">
        <f>B17</f>
        <v>交通便捷度</v>
      </c>
      <c r="R17" s="774" t="s">
        <v>21</v>
      </c>
      <c r="S17" s="775">
        <f>F17</f>
        <v>100</v>
      </c>
      <c r="T17" s="774" t="s">
        <v>21</v>
      </c>
      <c r="U17" s="775">
        <f>H17</f>
        <v>100</v>
      </c>
      <c r="V17" s="774" t="s">
        <v>21</v>
      </c>
      <c r="W17" s="775">
        <f>J17</f>
        <v>100</v>
      </c>
      <c r="X17" s="2963"/>
      <c r="Y17" s="3231"/>
      <c r="Z17" s="2964" t="str">
        <f>Q17</f>
        <v>交通便捷度</v>
      </c>
      <c r="AA17" s="2962">
        <f t="shared" si="3"/>
        <v>1</v>
      </c>
      <c r="AB17" s="2962">
        <f t="shared" si="4"/>
        <v>1</v>
      </c>
      <c r="AC17" s="2962">
        <f t="shared" si="5"/>
        <v>1</v>
      </c>
    </row>
    <row r="18" spans="1:29" ht="15">
      <c r="A18" s="428"/>
      <c r="B18" s="456"/>
      <c r="C18" s="2605" t="s">
        <v>3437</v>
      </c>
      <c r="D18" s="450"/>
      <c r="E18" s="2605" t="s">
        <v>3437</v>
      </c>
      <c r="F18" s="450"/>
      <c r="G18" s="2605" t="s">
        <v>3437</v>
      </c>
      <c r="H18" s="448"/>
      <c r="I18" s="2605" t="s">
        <v>3437</v>
      </c>
      <c r="J18" s="448"/>
      <c r="K18" s="2603"/>
      <c r="L18" s="1140"/>
      <c r="M18" s="1131"/>
      <c r="N18" s="1131"/>
      <c r="O18" s="1131"/>
      <c r="P18" s="3229"/>
      <c r="Q18" s="2961"/>
      <c r="R18" s="774"/>
      <c r="S18" s="775"/>
      <c r="T18" s="774"/>
      <c r="U18" s="775"/>
      <c r="V18" s="774"/>
      <c r="W18" s="775"/>
      <c r="X18" s="2963"/>
      <c r="Y18" s="3231"/>
      <c r="Z18" s="2964"/>
      <c r="AA18" s="2962">
        <v>1</v>
      </c>
      <c r="AB18" s="2962">
        <v>1</v>
      </c>
      <c r="AC18" s="2962">
        <v>1</v>
      </c>
    </row>
    <row r="19" spans="1:29" ht="41.4">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29"/>
      <c r="Q19" s="2961" t="str">
        <f>B19</f>
        <v>公共配套设施</v>
      </c>
      <c r="R19" s="774" t="s">
        <v>21</v>
      </c>
      <c r="S19" s="775">
        <f>F19</f>
        <v>100</v>
      </c>
      <c r="T19" s="774" t="s">
        <v>21</v>
      </c>
      <c r="U19" s="775">
        <f>H19</f>
        <v>100</v>
      </c>
      <c r="V19" s="774" t="s">
        <v>21</v>
      </c>
      <c r="W19" s="775">
        <f>J19</f>
        <v>100</v>
      </c>
      <c r="X19" s="2963"/>
      <c r="Y19" s="3231"/>
      <c r="Z19" s="2964" t="str">
        <f>Q19</f>
        <v>公共配套设施</v>
      </c>
      <c r="AA19" s="2962">
        <f t="shared" si="3"/>
        <v>1</v>
      </c>
      <c r="AB19" s="2962">
        <f t="shared" si="4"/>
        <v>1</v>
      </c>
      <c r="AC19" s="2962">
        <f t="shared" si="5"/>
        <v>1</v>
      </c>
    </row>
    <row r="20" spans="1:29" ht="15">
      <c r="A20" s="428"/>
      <c r="B20" s="456"/>
      <c r="C20" s="447" t="s">
        <v>3437</v>
      </c>
      <c r="D20" s="448"/>
      <c r="E20" s="447" t="s">
        <v>3437</v>
      </c>
      <c r="F20" s="448"/>
      <c r="G20" s="447" t="s">
        <v>3437</v>
      </c>
      <c r="H20" s="448"/>
      <c r="I20" s="447" t="s">
        <v>3437</v>
      </c>
      <c r="J20" s="448"/>
      <c r="K20" s="2603"/>
      <c r="L20" s="1140"/>
      <c r="M20" s="1131"/>
      <c r="N20" s="1131"/>
      <c r="O20" s="1131"/>
      <c r="P20" s="3229"/>
      <c r="Q20" s="2961"/>
      <c r="R20" s="774"/>
      <c r="S20" s="775"/>
      <c r="T20" s="774"/>
      <c r="U20" s="775"/>
      <c r="V20" s="774"/>
      <c r="W20" s="775"/>
      <c r="X20" s="2963"/>
      <c r="Y20" s="3231"/>
      <c r="Z20" s="2964"/>
      <c r="AA20" s="2962">
        <v>1</v>
      </c>
      <c r="AB20" s="2962">
        <v>1</v>
      </c>
      <c r="AC20" s="2962">
        <v>1</v>
      </c>
    </row>
    <row r="21" spans="1:29" ht="27.6">
      <c r="A21" s="428"/>
      <c r="B21" s="1384"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29"/>
      <c r="Q21" s="2961" t="str">
        <f>B21</f>
        <v>基础设施水平</v>
      </c>
      <c r="R21" s="774" t="s">
        <v>17</v>
      </c>
      <c r="S21" s="775">
        <f>F21</f>
        <v>100</v>
      </c>
      <c r="T21" s="774" t="s">
        <v>17</v>
      </c>
      <c r="U21" s="775">
        <f>H21</f>
        <v>100</v>
      </c>
      <c r="V21" s="774" t="s">
        <v>17</v>
      </c>
      <c r="W21" s="775">
        <f>J21</f>
        <v>100</v>
      </c>
      <c r="X21" s="2963"/>
      <c r="Y21" s="3231"/>
      <c r="Z21" s="2964" t="str">
        <f>Q21</f>
        <v>基础设施水平</v>
      </c>
      <c r="AA21" s="2962">
        <f t="shared" ref="AA21" si="8">D21/F21</f>
        <v>1</v>
      </c>
      <c r="AB21" s="2962">
        <f t="shared" ref="AB21" si="9">D21/H21</f>
        <v>1</v>
      </c>
      <c r="AC21" s="2962">
        <f t="shared" ref="AC21" si="10">D21/J21</f>
        <v>1</v>
      </c>
    </row>
    <row r="22" spans="1:29" ht="15">
      <c r="A22" s="428"/>
      <c r="B22" s="1384"/>
      <c r="C22" s="2605" t="s">
        <v>3438</v>
      </c>
      <c r="D22" s="448"/>
      <c r="E22" s="2605" t="s">
        <v>3438</v>
      </c>
      <c r="F22" s="448"/>
      <c r="G22" s="2605" t="s">
        <v>3438</v>
      </c>
      <c r="H22" s="448"/>
      <c r="I22" s="2605" t="s">
        <v>3438</v>
      </c>
      <c r="J22" s="448"/>
      <c r="K22" s="2609"/>
      <c r="L22" s="1140"/>
      <c r="M22" s="1131"/>
      <c r="N22" s="1131"/>
      <c r="O22" s="1131"/>
      <c r="P22" s="3229"/>
      <c r="Q22" s="2961"/>
      <c r="R22" s="774"/>
      <c r="S22" s="775"/>
      <c r="T22" s="774"/>
      <c r="U22" s="775"/>
      <c r="V22" s="774"/>
      <c r="W22" s="775"/>
      <c r="X22" s="2963"/>
      <c r="Y22" s="3231"/>
      <c r="Z22" s="2964"/>
      <c r="AA22" s="2962">
        <v>1</v>
      </c>
      <c r="AB22" s="2962">
        <v>1</v>
      </c>
      <c r="AC22" s="2962">
        <v>1</v>
      </c>
    </row>
    <row r="23" spans="1:29" ht="55.2">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29"/>
      <c r="Q23" s="2961" t="str">
        <f>B23</f>
        <v>自然及人文环境</v>
      </c>
      <c r="R23" s="774" t="s">
        <v>21</v>
      </c>
      <c r="S23" s="775">
        <f>F23</f>
        <v>100</v>
      </c>
      <c r="T23" s="774" t="s">
        <v>21</v>
      </c>
      <c r="U23" s="775">
        <f>H23</f>
        <v>100</v>
      </c>
      <c r="V23" s="774" t="s">
        <v>21</v>
      </c>
      <c r="W23" s="775">
        <f>J23</f>
        <v>100</v>
      </c>
      <c r="X23" s="2963"/>
      <c r="Y23" s="3231"/>
      <c r="Z23" s="2964" t="str">
        <f>Q23</f>
        <v>自然及人文环境</v>
      </c>
      <c r="AA23" s="2962">
        <f>D23/F23</f>
        <v>1</v>
      </c>
      <c r="AB23" s="2962">
        <f>D23/H23</f>
        <v>1</v>
      </c>
      <c r="AC23" s="2962">
        <f>D23/J23</f>
        <v>1</v>
      </c>
    </row>
    <row r="24" spans="1:29" ht="15">
      <c r="A24" s="428"/>
      <c r="B24" s="456"/>
      <c r="C24" s="447" t="s">
        <v>3437</v>
      </c>
      <c r="D24" s="448"/>
      <c r="E24" s="447" t="s">
        <v>3437</v>
      </c>
      <c r="F24" s="448"/>
      <c r="G24" s="447" t="s">
        <v>3437</v>
      </c>
      <c r="H24" s="448"/>
      <c r="I24" s="447" t="s">
        <v>3437</v>
      </c>
      <c r="J24" s="448"/>
      <c r="K24" s="2603"/>
      <c r="L24" s="1140"/>
      <c r="M24" s="1131"/>
      <c r="N24" s="1131"/>
      <c r="O24" s="1131"/>
      <c r="P24" s="3229"/>
      <c r="Q24" s="2961"/>
      <c r="R24" s="774"/>
      <c r="S24" s="775"/>
      <c r="T24" s="774"/>
      <c r="U24" s="775"/>
      <c r="V24" s="774"/>
      <c r="W24" s="775"/>
      <c r="X24" s="2963"/>
      <c r="Y24" s="3231"/>
      <c r="Z24" s="2964"/>
      <c r="AA24" s="2962">
        <v>1</v>
      </c>
      <c r="AB24" s="2962">
        <v>1</v>
      </c>
      <c r="AC24" s="2962">
        <v>1</v>
      </c>
    </row>
    <row r="25" spans="1:29" ht="15">
      <c r="A25" s="428"/>
      <c r="B25" s="2955"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29"/>
      <c r="Q25" s="2961" t="str">
        <f t="shared" ref="Q25:Q46" si="11">B25</f>
        <v>楼层-1</v>
      </c>
      <c r="R25" s="774" t="s">
        <v>21</v>
      </c>
      <c r="S25" s="775">
        <f t="shared" ref="S25:S46" si="12">F25</f>
        <v>100</v>
      </c>
      <c r="T25" s="774" t="s">
        <v>21</v>
      </c>
      <c r="U25" s="775">
        <f t="shared" ref="U25:U46" si="13">H25</f>
        <v>100</v>
      </c>
      <c r="V25" s="774" t="s">
        <v>21</v>
      </c>
      <c r="W25" s="775">
        <f t="shared" ref="W25:W46" si="14">J25</f>
        <v>100</v>
      </c>
      <c r="X25" s="2963"/>
      <c r="Y25" s="3231"/>
      <c r="Z25" s="2964" t="str">
        <f>Q25</f>
        <v>楼层-1</v>
      </c>
      <c r="AA25" s="2962">
        <f t="shared" ref="AA25:AA46" si="15">D25/F25</f>
        <v>1</v>
      </c>
      <c r="AB25" s="2962">
        <f t="shared" ref="AB25:AB46" si="16">D25/H25</f>
        <v>1</v>
      </c>
      <c r="AC25" s="2962">
        <f t="shared" ref="AC25:AC46" si="17">D25/J25</f>
        <v>1</v>
      </c>
    </row>
    <row r="26" spans="1:29" ht="15">
      <c r="A26" s="428"/>
      <c r="B26" s="2955"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29"/>
      <c r="Q26" s="2961" t="str">
        <f t="shared" si="11"/>
        <v>朝向</v>
      </c>
      <c r="R26" s="774" t="s">
        <v>21</v>
      </c>
      <c r="S26" s="775">
        <f t="shared" si="12"/>
        <v>100</v>
      </c>
      <c r="T26" s="774" t="s">
        <v>21</v>
      </c>
      <c r="U26" s="775">
        <f t="shared" si="13"/>
        <v>100</v>
      </c>
      <c r="V26" s="774" t="s">
        <v>21</v>
      </c>
      <c r="W26" s="775">
        <f t="shared" si="14"/>
        <v>100</v>
      </c>
      <c r="X26" s="2963"/>
      <c r="Y26" s="3231"/>
      <c r="Z26" s="2964" t="str">
        <f>Q26</f>
        <v>朝向</v>
      </c>
      <c r="AA26" s="2962">
        <f t="shared" si="15"/>
        <v>1</v>
      </c>
      <c r="AB26" s="2962">
        <f t="shared" si="16"/>
        <v>1</v>
      </c>
      <c r="AC26" s="296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2949">
        <f t="shared" si="11"/>
        <v>111</v>
      </c>
      <c r="R27" s="770" t="s">
        <v>21</v>
      </c>
      <c r="S27" s="771">
        <f t="shared" si="12"/>
        <v>100</v>
      </c>
      <c r="T27" s="770" t="s">
        <v>21</v>
      </c>
      <c r="U27" s="771">
        <f t="shared" si="13"/>
        <v>100</v>
      </c>
      <c r="V27" s="770" t="s">
        <v>21</v>
      </c>
      <c r="W27" s="771">
        <f t="shared" si="14"/>
        <v>100</v>
      </c>
      <c r="X27" s="772"/>
      <c r="Y27" s="3231"/>
      <c r="Z27" s="2950">
        <f>Q27</f>
        <v>111</v>
      </c>
      <c r="AA27" s="2962">
        <f t="shared" si="15"/>
        <v>1</v>
      </c>
      <c r="AB27" s="2962">
        <f t="shared" si="16"/>
        <v>1</v>
      </c>
      <c r="AC27" s="2962">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2961">
        <f t="shared" si="11"/>
        <v>111</v>
      </c>
      <c r="R28" s="774" t="s">
        <v>21</v>
      </c>
      <c r="S28" s="775">
        <f t="shared" si="12"/>
        <v>100</v>
      </c>
      <c r="T28" s="774" t="s">
        <v>21</v>
      </c>
      <c r="U28" s="775">
        <f t="shared" si="13"/>
        <v>100</v>
      </c>
      <c r="V28" s="774" t="s">
        <v>21</v>
      </c>
      <c r="W28" s="775">
        <f t="shared" si="14"/>
        <v>100</v>
      </c>
      <c r="X28" s="2963"/>
      <c r="Y28" s="3231"/>
      <c r="Z28" s="2964">
        <f t="shared" ref="Z28:Z46" si="18">Q28</f>
        <v>111</v>
      </c>
      <c r="AA28" s="2962">
        <f t="shared" si="15"/>
        <v>1</v>
      </c>
      <c r="AB28" s="2962">
        <f t="shared" si="16"/>
        <v>1</v>
      </c>
      <c r="AC28" s="2962">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2961">
        <f t="shared" si="11"/>
        <v>111</v>
      </c>
      <c r="R29" s="774" t="s">
        <v>21</v>
      </c>
      <c r="S29" s="775">
        <f t="shared" si="12"/>
        <v>100</v>
      </c>
      <c r="T29" s="774" t="s">
        <v>21</v>
      </c>
      <c r="U29" s="775">
        <f t="shared" si="13"/>
        <v>100</v>
      </c>
      <c r="V29" s="774" t="s">
        <v>21</v>
      </c>
      <c r="W29" s="775">
        <f t="shared" si="14"/>
        <v>100</v>
      </c>
      <c r="X29" s="2963"/>
      <c r="Y29" s="3231"/>
      <c r="Z29" s="2964">
        <f t="shared" si="18"/>
        <v>111</v>
      </c>
      <c r="AA29" s="2962">
        <f t="shared" si="15"/>
        <v>1</v>
      </c>
      <c r="AB29" s="2962">
        <f t="shared" si="16"/>
        <v>1</v>
      </c>
      <c r="AC29" s="2962">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2961">
        <f t="shared" si="11"/>
        <v>111</v>
      </c>
      <c r="R30" s="774" t="s">
        <v>21</v>
      </c>
      <c r="S30" s="775">
        <f t="shared" si="12"/>
        <v>100</v>
      </c>
      <c r="T30" s="774" t="s">
        <v>21</v>
      </c>
      <c r="U30" s="775">
        <f t="shared" si="13"/>
        <v>100</v>
      </c>
      <c r="V30" s="774" t="s">
        <v>21</v>
      </c>
      <c r="W30" s="775">
        <f t="shared" si="14"/>
        <v>100</v>
      </c>
      <c r="X30" s="2963"/>
      <c r="Y30" s="3231"/>
      <c r="Z30" s="2964">
        <f t="shared" si="18"/>
        <v>111</v>
      </c>
      <c r="AA30" s="2962">
        <f t="shared" si="15"/>
        <v>1</v>
      </c>
      <c r="AB30" s="2962">
        <f t="shared" si="16"/>
        <v>1</v>
      </c>
      <c r="AC30" s="2962">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2961">
        <f t="shared" si="11"/>
        <v>111</v>
      </c>
      <c r="R31" s="774" t="s">
        <v>21</v>
      </c>
      <c r="S31" s="775">
        <f t="shared" si="12"/>
        <v>100</v>
      </c>
      <c r="T31" s="774" t="s">
        <v>21</v>
      </c>
      <c r="U31" s="775">
        <f t="shared" si="13"/>
        <v>100</v>
      </c>
      <c r="V31" s="774" t="s">
        <v>21</v>
      </c>
      <c r="W31" s="775">
        <f t="shared" si="14"/>
        <v>100</v>
      </c>
      <c r="X31" s="2963"/>
      <c r="Y31" s="3231"/>
      <c r="Z31" s="2964">
        <f t="shared" si="18"/>
        <v>111</v>
      </c>
      <c r="AA31" s="2962">
        <f t="shared" si="15"/>
        <v>1</v>
      </c>
      <c r="AB31" s="2962">
        <f t="shared" si="16"/>
        <v>1</v>
      </c>
      <c r="AC31" s="2962">
        <f t="shared" si="17"/>
        <v>1</v>
      </c>
    </row>
    <row r="32" spans="1:29" ht="15">
      <c r="A32" s="440" t="s">
        <v>2560</v>
      </c>
      <c r="B32" s="71" t="s">
        <v>2561</v>
      </c>
      <c r="C32" s="2614" t="s">
        <v>3080</v>
      </c>
      <c r="D32" s="467">
        <v>100</v>
      </c>
      <c r="E32" s="2614" t="s">
        <v>3080</v>
      </c>
      <c r="F32" s="461">
        <f>SUMIF(100:100,E32,101:101)-SUMIF(100:100,C32,101:101)+100</f>
        <v>100</v>
      </c>
      <c r="G32" s="2614" t="s">
        <v>3080</v>
      </c>
      <c r="H32" s="467">
        <f>SUMIF(100:100,G32,101:101)-SUMIF(100:100,C32,101:101)+100</f>
        <v>100</v>
      </c>
      <c r="I32" s="2614" t="s">
        <v>3080</v>
      </c>
      <c r="J32" s="435">
        <f>SUMIF(100:100,I32,101:101)-SUMIF(100:100,C32,101:101)+100</f>
        <v>100</v>
      </c>
      <c r="K32" s="426">
        <v>5</v>
      </c>
      <c r="L32" s="1140"/>
      <c r="M32" s="1131"/>
      <c r="N32" s="1131"/>
      <c r="O32" s="1131"/>
      <c r="P32" s="3232" t="s">
        <v>2562</v>
      </c>
      <c r="Q32" s="2961" t="str">
        <f t="shared" si="11"/>
        <v>建筑类型</v>
      </c>
      <c r="R32" s="774" t="s">
        <v>21</v>
      </c>
      <c r="S32" s="775">
        <f t="shared" si="12"/>
        <v>100</v>
      </c>
      <c r="T32" s="774" t="s">
        <v>21</v>
      </c>
      <c r="U32" s="775">
        <f t="shared" si="13"/>
        <v>100</v>
      </c>
      <c r="V32" s="774" t="s">
        <v>21</v>
      </c>
      <c r="W32" s="775">
        <f t="shared" si="14"/>
        <v>100</v>
      </c>
      <c r="X32" s="2963"/>
      <c r="Y32" s="3235" t="s">
        <v>2562</v>
      </c>
      <c r="Z32" s="2964" t="str">
        <f t="shared" si="18"/>
        <v>建筑类型</v>
      </c>
      <c r="AA32" s="2962">
        <f t="shared" si="15"/>
        <v>1</v>
      </c>
      <c r="AB32" s="2962">
        <f t="shared" si="16"/>
        <v>1</v>
      </c>
      <c r="AC32" s="2962">
        <f t="shared" si="17"/>
        <v>1</v>
      </c>
    </row>
    <row r="33" spans="1:29" s="471" customFormat="1" ht="15">
      <c r="A33" s="468"/>
      <c r="B33" s="2955" t="s">
        <v>2563</v>
      </c>
      <c r="C33" s="469">
        <f>'数据-基础表'!C14</f>
        <v>116624.16</v>
      </c>
      <c r="D33" s="136">
        <v>100</v>
      </c>
      <c r="E33" s="469">
        <v>300000</v>
      </c>
      <c r="F33" s="425">
        <f>LOOKUP(E33,103:103,104:104)-LOOKUP(C33,103:103,104:104)+100</f>
        <v>108</v>
      </c>
      <c r="G33" s="469">
        <v>202958.97</v>
      </c>
      <c r="H33" s="136">
        <f>LOOKUP(G33,103:103,104:104)-LOOKUP(C33,103:103,104:104)+100</f>
        <v>104</v>
      </c>
      <c r="I33" s="469">
        <v>95000</v>
      </c>
      <c r="J33" s="136">
        <f>LOOKUP(I33,103:103,104:104)-LOOKUP(C33,103:103,104:104)+100</f>
        <v>98</v>
      </c>
      <c r="K33" s="2598"/>
      <c r="L33" s="1138"/>
      <c r="M33" s="1141"/>
      <c r="N33" s="1141"/>
      <c r="O33" s="1141"/>
      <c r="P33" s="3233"/>
      <c r="Q33" s="776" t="str">
        <f t="shared" si="11"/>
        <v>项目建筑规模</v>
      </c>
      <c r="R33" s="777" t="s">
        <v>21</v>
      </c>
      <c r="S33" s="778">
        <f t="shared" si="12"/>
        <v>108</v>
      </c>
      <c r="T33" s="777" t="s">
        <v>21</v>
      </c>
      <c r="U33" s="778">
        <f t="shared" si="13"/>
        <v>104</v>
      </c>
      <c r="V33" s="777" t="s">
        <v>21</v>
      </c>
      <c r="W33" s="778">
        <f t="shared" si="14"/>
        <v>98</v>
      </c>
      <c r="X33" s="779"/>
      <c r="Y33" s="3235"/>
      <c r="Z33" s="780" t="str">
        <f t="shared" si="18"/>
        <v>项目建筑规模</v>
      </c>
      <c r="AA33" s="2962">
        <f t="shared" si="15"/>
        <v>0.92592592592592593</v>
      </c>
      <c r="AB33" s="2962">
        <f t="shared" si="16"/>
        <v>0.96153846153846156</v>
      </c>
      <c r="AC33" s="2962">
        <f t="shared" si="17"/>
        <v>1.0204081632653061</v>
      </c>
    </row>
    <row r="34" spans="1:29" ht="15">
      <c r="A34" s="472"/>
      <c r="B34" s="2955" t="s">
        <v>2564</v>
      </c>
      <c r="C34" s="2615" t="s">
        <v>3469</v>
      </c>
      <c r="D34" s="435">
        <v>100</v>
      </c>
      <c r="E34" s="2615" t="s">
        <v>3469</v>
      </c>
      <c r="F34" s="461">
        <f>SUMIF(105:105,E34,106:106)-SUMIF(105:105,C34,106:106)+100</f>
        <v>100</v>
      </c>
      <c r="G34" s="2615" t="s">
        <v>3469</v>
      </c>
      <c r="H34" s="435">
        <f>SUMIF(105:105,G34,106:106)-SUMIF(105:105,C34,106:106)+100</f>
        <v>100</v>
      </c>
      <c r="I34" s="2615" t="s">
        <v>3469</v>
      </c>
      <c r="J34" s="435">
        <f>SUMIF(105:105,I34,106:106)-SUMIF(105:105,C34,106:106)+100</f>
        <v>100</v>
      </c>
      <c r="K34" s="426">
        <v>1</v>
      </c>
      <c r="L34" s="1140"/>
      <c r="M34" s="1131"/>
      <c r="N34" s="1131"/>
      <c r="O34" s="1131"/>
      <c r="P34" s="3233"/>
      <c r="Q34" s="2961" t="str">
        <f t="shared" si="11"/>
        <v>建筑结构</v>
      </c>
      <c r="R34" s="774" t="s">
        <v>21</v>
      </c>
      <c r="S34" s="775">
        <f t="shared" si="12"/>
        <v>100</v>
      </c>
      <c r="T34" s="774" t="s">
        <v>21</v>
      </c>
      <c r="U34" s="775">
        <f t="shared" si="13"/>
        <v>100</v>
      </c>
      <c r="V34" s="774" t="s">
        <v>21</v>
      </c>
      <c r="W34" s="775">
        <f t="shared" si="14"/>
        <v>100</v>
      </c>
      <c r="X34" s="2963"/>
      <c r="Y34" s="3235"/>
      <c r="Z34" s="2964" t="str">
        <f t="shared" si="18"/>
        <v>建筑结构</v>
      </c>
      <c r="AA34" s="2962">
        <f t="shared" si="15"/>
        <v>1</v>
      </c>
      <c r="AB34" s="2962">
        <f t="shared" si="16"/>
        <v>1</v>
      </c>
      <c r="AC34" s="2962">
        <f t="shared" si="17"/>
        <v>1</v>
      </c>
    </row>
    <row r="35" spans="1:29" ht="15">
      <c r="A35" s="472"/>
      <c r="B35" s="2955" t="s">
        <v>2565</v>
      </c>
      <c r="C35" s="2610" t="s">
        <v>3436</v>
      </c>
      <c r="D35" s="435">
        <v>100</v>
      </c>
      <c r="E35" s="2610" t="s">
        <v>3443</v>
      </c>
      <c r="F35" s="461">
        <f>SUMIF(107:107,E35,108:108)-SUMIF(107:107,C35,108:108)+100</f>
        <v>105</v>
      </c>
      <c r="G35" s="2610" t="s">
        <v>3436</v>
      </c>
      <c r="H35" s="435">
        <f>SUMIF(107:107,G35,108:108)-SUMIF(107:107,C35,108:108)+100</f>
        <v>100</v>
      </c>
      <c r="I35" s="2610" t="s">
        <v>3436</v>
      </c>
      <c r="J35" s="435">
        <f>SUMIF(107:107,I35,108:108)-SUMIF(107:107,C35,108:108)+100</f>
        <v>100</v>
      </c>
      <c r="K35" s="426">
        <v>5</v>
      </c>
      <c r="L35" s="1140"/>
      <c r="M35" s="1131"/>
      <c r="N35" s="1131"/>
      <c r="O35" s="1131"/>
      <c r="P35" s="3233"/>
      <c r="Q35" s="2961" t="str">
        <f t="shared" si="11"/>
        <v>建筑品质</v>
      </c>
      <c r="R35" s="774" t="s">
        <v>21</v>
      </c>
      <c r="S35" s="775">
        <f t="shared" si="12"/>
        <v>105</v>
      </c>
      <c r="T35" s="774" t="s">
        <v>21</v>
      </c>
      <c r="U35" s="775">
        <f t="shared" si="13"/>
        <v>100</v>
      </c>
      <c r="V35" s="774" t="s">
        <v>21</v>
      </c>
      <c r="W35" s="775">
        <f t="shared" si="14"/>
        <v>100</v>
      </c>
      <c r="X35" s="2963"/>
      <c r="Y35" s="3235"/>
      <c r="Z35" s="2964" t="str">
        <f t="shared" si="18"/>
        <v>建筑品质</v>
      </c>
      <c r="AA35" s="2962">
        <f t="shared" si="15"/>
        <v>0.95238095238095233</v>
      </c>
      <c r="AB35" s="2962">
        <f t="shared" si="16"/>
        <v>1</v>
      </c>
      <c r="AC35" s="2962">
        <f t="shared" si="17"/>
        <v>1</v>
      </c>
    </row>
    <row r="36" spans="1:29" ht="15">
      <c r="A36" s="472"/>
      <c r="B36" s="2955" t="s">
        <v>2566</v>
      </c>
      <c r="C36" s="2610" t="s">
        <v>3477</v>
      </c>
      <c r="D36" s="435">
        <v>100</v>
      </c>
      <c r="E36" s="2610" t="s">
        <v>3477</v>
      </c>
      <c r="F36" s="461">
        <f>SUMIF(109:109,E36,110:110)-SUMIF(109:109,C36,110:110)+100</f>
        <v>100</v>
      </c>
      <c r="G36" s="2610" t="s">
        <v>3477</v>
      </c>
      <c r="H36" s="435">
        <f>SUMIF(109:109,G36,110:110)-SUMIF(109:109,C36,110:110)+100</f>
        <v>100</v>
      </c>
      <c r="I36" s="2610" t="s">
        <v>3477</v>
      </c>
      <c r="J36" s="435">
        <f>SUMIF(109:109,I36,110:110)-SUMIF(109:109,C36,110:110)+100</f>
        <v>100</v>
      </c>
      <c r="K36" s="426">
        <v>2</v>
      </c>
      <c r="L36" s="1140"/>
      <c r="M36" s="1131"/>
      <c r="N36" s="1131"/>
      <c r="O36" s="1131"/>
      <c r="P36" s="3233"/>
      <c r="Q36" s="2961" t="str">
        <f t="shared" si="11"/>
        <v>公共部分装修</v>
      </c>
      <c r="R36" s="774" t="s">
        <v>21</v>
      </c>
      <c r="S36" s="775">
        <f t="shared" si="12"/>
        <v>100</v>
      </c>
      <c r="T36" s="774" t="s">
        <v>21</v>
      </c>
      <c r="U36" s="775">
        <f t="shared" si="13"/>
        <v>100</v>
      </c>
      <c r="V36" s="774" t="s">
        <v>21</v>
      </c>
      <c r="W36" s="775">
        <f t="shared" si="14"/>
        <v>100</v>
      </c>
      <c r="X36" s="2963"/>
      <c r="Y36" s="3235"/>
      <c r="Z36" s="2964" t="str">
        <f t="shared" si="18"/>
        <v>公共部分装修</v>
      </c>
      <c r="AA36" s="2962">
        <f t="shared" si="15"/>
        <v>1</v>
      </c>
      <c r="AB36" s="2962">
        <f t="shared" si="16"/>
        <v>1</v>
      </c>
      <c r="AC36" s="2962">
        <f t="shared" si="17"/>
        <v>1</v>
      </c>
    </row>
    <row r="37" spans="1:29" s="117" customFormat="1" ht="15">
      <c r="A37" s="473"/>
      <c r="B37" s="2955" t="s">
        <v>2567</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49" t="str">
        <f t="shared" si="11"/>
        <v>成新度</v>
      </c>
      <c r="R37" s="770" t="s">
        <v>21</v>
      </c>
      <c r="S37" s="771">
        <f t="shared" si="12"/>
        <v>100</v>
      </c>
      <c r="T37" s="770" t="s">
        <v>21</v>
      </c>
      <c r="U37" s="771">
        <f t="shared" si="13"/>
        <v>100</v>
      </c>
      <c r="V37" s="770" t="s">
        <v>21</v>
      </c>
      <c r="W37" s="771">
        <f t="shared" si="14"/>
        <v>100</v>
      </c>
      <c r="X37" s="772"/>
      <c r="Y37" s="3235"/>
      <c r="Z37" s="2950" t="str">
        <f t="shared" si="18"/>
        <v>成新度</v>
      </c>
      <c r="AA37" s="773">
        <f t="shared" si="15"/>
        <v>1</v>
      </c>
      <c r="AB37" s="773">
        <f t="shared" si="16"/>
        <v>1</v>
      </c>
      <c r="AC37" s="773">
        <f t="shared" si="17"/>
        <v>1</v>
      </c>
    </row>
    <row r="38" spans="1:29" ht="15">
      <c r="A38" s="472"/>
      <c r="B38" s="2955" t="s">
        <v>2568</v>
      </c>
      <c r="C38" s="2610" t="s">
        <v>3436</v>
      </c>
      <c r="D38" s="435">
        <v>100</v>
      </c>
      <c r="E38" s="2610" t="s">
        <v>3443</v>
      </c>
      <c r="F38" s="461">
        <f>SUMIF(114:114,E38,115:115)-SUMIF(114:114,C38,115:115)+100</f>
        <v>102</v>
      </c>
      <c r="G38" s="2610" t="s">
        <v>3436</v>
      </c>
      <c r="H38" s="435">
        <f>SUMIF(114:114,G38,115:115)-SUMIF(114:114,C38,115:115)+100</f>
        <v>100</v>
      </c>
      <c r="I38" s="2610" t="s">
        <v>3436</v>
      </c>
      <c r="J38" s="435">
        <f>SUMIF(114:114,I38,115:115)-SUMIF(114:114,C38,115:115)+100</f>
        <v>100</v>
      </c>
      <c r="K38" s="426">
        <v>2</v>
      </c>
      <c r="L38" s="1140"/>
      <c r="M38" s="1131"/>
      <c r="N38" s="1131"/>
      <c r="O38" s="1131"/>
      <c r="P38" s="3233" t="s">
        <v>2562</v>
      </c>
      <c r="Q38" s="2961" t="str">
        <f t="shared" si="11"/>
        <v>物业管理</v>
      </c>
      <c r="R38" s="774" t="s">
        <v>21</v>
      </c>
      <c r="S38" s="775">
        <f t="shared" si="12"/>
        <v>102</v>
      </c>
      <c r="T38" s="774" t="s">
        <v>21</v>
      </c>
      <c r="U38" s="775">
        <f t="shared" si="13"/>
        <v>100</v>
      </c>
      <c r="V38" s="774" t="s">
        <v>21</v>
      </c>
      <c r="W38" s="775">
        <f t="shared" si="14"/>
        <v>100</v>
      </c>
      <c r="X38" s="2963"/>
      <c r="Y38" s="3235" t="s">
        <v>2562</v>
      </c>
      <c r="Z38" s="2964" t="str">
        <f t="shared" si="18"/>
        <v>物业管理</v>
      </c>
      <c r="AA38" s="2962">
        <f t="shared" si="15"/>
        <v>0.98039215686274506</v>
      </c>
      <c r="AB38" s="2962">
        <f t="shared" si="16"/>
        <v>1</v>
      </c>
      <c r="AC38" s="2962">
        <f t="shared" si="17"/>
        <v>1</v>
      </c>
    </row>
    <row r="39" spans="1:29" ht="15">
      <c r="A39" s="472"/>
      <c r="B39" s="2955" t="s">
        <v>2569</v>
      </c>
      <c r="C39" s="2605" t="s">
        <v>3438</v>
      </c>
      <c r="D39" s="435">
        <v>100</v>
      </c>
      <c r="E39" s="2605" t="s">
        <v>3438</v>
      </c>
      <c r="F39" s="461">
        <f>SUMIF(116:116,E39,117:117)-SUMIF(116:116,C39,117:117)+100</f>
        <v>100</v>
      </c>
      <c r="G39" s="2605" t="s">
        <v>3438</v>
      </c>
      <c r="H39" s="435">
        <f>SUMIF(116:116,G39,117:117)-SUMIF(116:116,C39,117:117)+100</f>
        <v>100</v>
      </c>
      <c r="I39" s="2605" t="s">
        <v>3438</v>
      </c>
      <c r="J39" s="435">
        <f>SUMIF(116:116,I39,117:117)-SUMIF(116:116,C39,117:117)+100</f>
        <v>100</v>
      </c>
      <c r="K39" s="426">
        <v>1</v>
      </c>
      <c r="L39" s="1140"/>
      <c r="M39" s="1131"/>
      <c r="N39" s="1131"/>
      <c r="O39" s="1131"/>
      <c r="P39" s="3233"/>
      <c r="Q39" s="2961" t="str">
        <f t="shared" si="11"/>
        <v>市政基础设施</v>
      </c>
      <c r="R39" s="774" t="s">
        <v>21</v>
      </c>
      <c r="S39" s="775">
        <f t="shared" si="12"/>
        <v>100</v>
      </c>
      <c r="T39" s="774" t="s">
        <v>21</v>
      </c>
      <c r="U39" s="775">
        <f t="shared" si="13"/>
        <v>100</v>
      </c>
      <c r="V39" s="774" t="s">
        <v>21</v>
      </c>
      <c r="W39" s="775">
        <f t="shared" si="14"/>
        <v>100</v>
      </c>
      <c r="X39" s="2963"/>
      <c r="Y39" s="3235"/>
      <c r="Z39" s="2964" t="str">
        <f t="shared" si="18"/>
        <v>市政基础设施</v>
      </c>
      <c r="AA39" s="2962">
        <f t="shared" si="15"/>
        <v>1</v>
      </c>
      <c r="AB39" s="2962">
        <f t="shared" si="16"/>
        <v>1</v>
      </c>
      <c r="AC39" s="2962">
        <f t="shared" si="17"/>
        <v>1</v>
      </c>
    </row>
    <row r="40" spans="1:29" ht="15">
      <c r="A40" s="472"/>
      <c r="B40" s="2955" t="s">
        <v>2570</v>
      </c>
      <c r="C40" s="2610" t="s">
        <v>3483</v>
      </c>
      <c r="D40" s="435">
        <v>100</v>
      </c>
      <c r="E40" s="2610" t="s">
        <v>3483</v>
      </c>
      <c r="F40" s="461">
        <f>SUMIF(118:118,E40,119:119)-SUMIF(118:118,C40,119:119)+100</f>
        <v>100</v>
      </c>
      <c r="G40" s="2610" t="s">
        <v>3483</v>
      </c>
      <c r="H40" s="435">
        <f>SUMIF(118:118,G40,119:119)-SUMIF(118:118,C40,119:119)+100</f>
        <v>100</v>
      </c>
      <c r="I40" s="2610" t="s">
        <v>3483</v>
      </c>
      <c r="J40" s="435">
        <f>SUMIF(118:118,I40,119:119)-SUMIF(118:118,C40,119:119)+100</f>
        <v>100</v>
      </c>
      <c r="K40" s="426">
        <v>2</v>
      </c>
      <c r="L40" s="1140"/>
      <c r="M40" s="1131"/>
      <c r="N40" s="1131"/>
      <c r="O40" s="1131"/>
      <c r="P40" s="3233"/>
      <c r="Q40" s="2961" t="str">
        <f t="shared" si="11"/>
        <v>房型</v>
      </c>
      <c r="R40" s="774" t="s">
        <v>21</v>
      </c>
      <c r="S40" s="775">
        <f t="shared" si="12"/>
        <v>100</v>
      </c>
      <c r="T40" s="774" t="s">
        <v>21</v>
      </c>
      <c r="U40" s="775">
        <f t="shared" si="13"/>
        <v>100</v>
      </c>
      <c r="V40" s="774" t="s">
        <v>21</v>
      </c>
      <c r="W40" s="775">
        <f t="shared" si="14"/>
        <v>100</v>
      </c>
      <c r="X40" s="2963"/>
      <c r="Y40" s="3235"/>
      <c r="Z40" s="2964" t="str">
        <f t="shared" si="18"/>
        <v>房型</v>
      </c>
      <c r="AA40" s="2962">
        <f t="shared" si="15"/>
        <v>1</v>
      </c>
      <c r="AB40" s="2962">
        <f t="shared" si="16"/>
        <v>1</v>
      </c>
      <c r="AC40" s="2962">
        <f t="shared" si="17"/>
        <v>1</v>
      </c>
    </row>
    <row r="41" spans="1:29" s="471" customFormat="1" ht="28.8">
      <c r="A41" s="468"/>
      <c r="B41" s="2955" t="s">
        <v>2571</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8"/>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2962">
        <f t="shared" si="15"/>
        <v>1</v>
      </c>
      <c r="AB41" s="2962">
        <f t="shared" si="16"/>
        <v>1</v>
      </c>
      <c r="AC41" s="2962">
        <f t="shared" si="17"/>
        <v>1</v>
      </c>
    </row>
    <row r="42" spans="1:29" ht="15">
      <c r="A42" s="472"/>
      <c r="B42" s="2955" t="s">
        <v>2572</v>
      </c>
      <c r="C42" s="2610" t="s">
        <v>3477</v>
      </c>
      <c r="D42" s="435">
        <v>100</v>
      </c>
      <c r="E42" s="2610" t="s">
        <v>3520</v>
      </c>
      <c r="F42" s="461">
        <f>SUMIF(122:122,E42,123:123)-SUMIF(122:122,C42,123:123)+100</f>
        <v>102</v>
      </c>
      <c r="G42" s="2610" t="s">
        <v>3477</v>
      </c>
      <c r="H42" s="435">
        <f>SUMIF(122:122,G42,123:123)-SUMIF(122:122,C42,123:123)+100</f>
        <v>100</v>
      </c>
      <c r="I42" s="2610" t="s">
        <v>3477</v>
      </c>
      <c r="J42" s="435">
        <f>SUMIF(122:122,I42,123:123)-SUMIF(122:122,C42,123:123)+100</f>
        <v>100</v>
      </c>
      <c r="K42" s="426">
        <v>2</v>
      </c>
      <c r="L42" s="1140"/>
      <c r="M42" s="1131"/>
      <c r="N42" s="1131"/>
      <c r="O42" s="1131"/>
      <c r="P42" s="3233"/>
      <c r="Q42" s="2961" t="str">
        <f t="shared" si="11"/>
        <v>内部装修</v>
      </c>
      <c r="R42" s="774" t="s">
        <v>21</v>
      </c>
      <c r="S42" s="775">
        <f t="shared" si="12"/>
        <v>102</v>
      </c>
      <c r="T42" s="774" t="s">
        <v>21</v>
      </c>
      <c r="U42" s="775">
        <f t="shared" si="13"/>
        <v>100</v>
      </c>
      <c r="V42" s="774" t="s">
        <v>21</v>
      </c>
      <c r="W42" s="775">
        <f t="shared" si="14"/>
        <v>100</v>
      </c>
      <c r="X42" s="2963"/>
      <c r="Y42" s="3235"/>
      <c r="Z42" s="2964" t="str">
        <f t="shared" si="18"/>
        <v>内部装修</v>
      </c>
      <c r="AA42" s="2962">
        <f t="shared" si="15"/>
        <v>0.98039215686274506</v>
      </c>
      <c r="AB42" s="2962">
        <f t="shared" si="16"/>
        <v>1</v>
      </c>
      <c r="AC42" s="2962">
        <f t="shared" si="17"/>
        <v>1</v>
      </c>
    </row>
    <row r="43" spans="1:29" ht="28.8">
      <c r="A43" s="472"/>
      <c r="B43" s="2955" t="s">
        <v>2573</v>
      </c>
      <c r="C43" s="2610" t="s">
        <v>3436</v>
      </c>
      <c r="D43" s="435">
        <v>100</v>
      </c>
      <c r="E43" s="2610" t="s">
        <v>3436</v>
      </c>
      <c r="F43" s="461">
        <f>SUMIF(124:124,E43,125:125)-SUMIF(124:124,C43,125:125)+100</f>
        <v>100</v>
      </c>
      <c r="G43" s="2610" t="s">
        <v>3436</v>
      </c>
      <c r="H43" s="435">
        <f>SUMIF(124:124,G43,125:125)-SUMIF(124:124,C43,125:125)+100</f>
        <v>100</v>
      </c>
      <c r="I43" s="2610" t="s">
        <v>3436</v>
      </c>
      <c r="J43" s="435">
        <f>SUMIF(124:124,I43,125:125)-SUMIF(124:124,C43,125:125)+100</f>
        <v>100</v>
      </c>
      <c r="K43" s="426">
        <v>1</v>
      </c>
      <c r="L43" s="1140"/>
      <c r="M43" s="1131"/>
      <c r="N43" s="1131"/>
      <c r="O43" s="1131"/>
      <c r="P43" s="3233"/>
      <c r="Q43" s="2961" t="str">
        <f t="shared" si="11"/>
        <v>内部装修维护情况</v>
      </c>
      <c r="R43" s="774" t="s">
        <v>21</v>
      </c>
      <c r="S43" s="775">
        <f t="shared" si="12"/>
        <v>100</v>
      </c>
      <c r="T43" s="774" t="s">
        <v>21</v>
      </c>
      <c r="U43" s="775">
        <f t="shared" si="13"/>
        <v>100</v>
      </c>
      <c r="V43" s="774" t="s">
        <v>21</v>
      </c>
      <c r="W43" s="775">
        <f t="shared" si="14"/>
        <v>100</v>
      </c>
      <c r="X43" s="2963"/>
      <c r="Y43" s="3235"/>
      <c r="Z43" s="2964" t="str">
        <f t="shared" si="18"/>
        <v>内部装修维护情况</v>
      </c>
      <c r="AA43" s="2962">
        <f t="shared" si="15"/>
        <v>1</v>
      </c>
      <c r="AB43" s="2962">
        <f t="shared" si="16"/>
        <v>1</v>
      </c>
      <c r="AC43" s="296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3"/>
      <c r="Q44" s="2949">
        <f t="shared" si="11"/>
        <v>111</v>
      </c>
      <c r="R44" s="770" t="s">
        <v>21</v>
      </c>
      <c r="S44" s="771">
        <f t="shared" si="12"/>
        <v>100</v>
      </c>
      <c r="T44" s="770" t="s">
        <v>21</v>
      </c>
      <c r="U44" s="771">
        <f t="shared" si="13"/>
        <v>100</v>
      </c>
      <c r="V44" s="770" t="s">
        <v>21</v>
      </c>
      <c r="W44" s="771">
        <f t="shared" si="14"/>
        <v>100</v>
      </c>
      <c r="X44" s="772"/>
      <c r="Y44" s="3235"/>
      <c r="Z44" s="2950">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3"/>
      <c r="Q45" s="2961">
        <f t="shared" si="11"/>
        <v>111</v>
      </c>
      <c r="R45" s="774" t="s">
        <v>21</v>
      </c>
      <c r="S45" s="775">
        <f t="shared" si="12"/>
        <v>100</v>
      </c>
      <c r="T45" s="774" t="s">
        <v>21</v>
      </c>
      <c r="U45" s="775">
        <f t="shared" si="13"/>
        <v>100</v>
      </c>
      <c r="V45" s="774" t="s">
        <v>21</v>
      </c>
      <c r="W45" s="775">
        <f t="shared" si="14"/>
        <v>100</v>
      </c>
      <c r="X45" s="2963"/>
      <c r="Y45" s="3235"/>
      <c r="Z45" s="2964">
        <f t="shared" si="18"/>
        <v>111</v>
      </c>
      <c r="AA45" s="2962">
        <f t="shared" si="15"/>
        <v>1</v>
      </c>
      <c r="AB45" s="2962">
        <f t="shared" si="16"/>
        <v>1</v>
      </c>
      <c r="AC45" s="2962">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4"/>
      <c r="Q46" s="2961">
        <f t="shared" si="11"/>
        <v>111</v>
      </c>
      <c r="R46" s="774" t="s">
        <v>20</v>
      </c>
      <c r="S46" s="775">
        <f t="shared" si="12"/>
        <v>100</v>
      </c>
      <c r="T46" s="774" t="s">
        <v>20</v>
      </c>
      <c r="U46" s="775">
        <f t="shared" si="13"/>
        <v>100</v>
      </c>
      <c r="V46" s="774" t="s">
        <v>20</v>
      </c>
      <c r="W46" s="775">
        <f t="shared" si="14"/>
        <v>100</v>
      </c>
      <c r="X46" s="2963"/>
      <c r="Y46" s="3236"/>
      <c r="Z46" s="2964">
        <f t="shared" si="18"/>
        <v>111</v>
      </c>
      <c r="AA46" s="2962">
        <f t="shared" si="15"/>
        <v>1</v>
      </c>
      <c r="AB46" s="2962">
        <f t="shared" si="16"/>
        <v>1</v>
      </c>
      <c r="AC46" s="2962">
        <f t="shared" si="17"/>
        <v>1</v>
      </c>
    </row>
    <row r="47" spans="1:29" ht="14.4">
      <c r="A47" s="479" t="s">
        <v>2574</v>
      </c>
      <c r="B47" s="480"/>
      <c r="C47" s="1407" t="s">
        <v>19</v>
      </c>
      <c r="D47" s="1408"/>
      <c r="E47" s="1409">
        <v>19000</v>
      </c>
      <c r="F47" s="1410"/>
      <c r="G47" s="1411">
        <v>17850</v>
      </c>
      <c r="H47" s="1412"/>
      <c r="I47" s="1409">
        <v>17000</v>
      </c>
      <c r="J47" s="1412"/>
      <c r="K47" s="2616"/>
      <c r="L47" s="1143"/>
      <c r="M47" s="1144"/>
      <c r="N47" s="1131"/>
      <c r="O47" s="1144"/>
      <c r="P47" s="3237" t="str">
        <f>A47</f>
        <v>成交单价（元/平方米）</v>
      </c>
      <c r="Q47" s="3237"/>
      <c r="R47" s="3238">
        <f>E47</f>
        <v>19000</v>
      </c>
      <c r="S47" s="3238"/>
      <c r="T47" s="3238">
        <f>G47</f>
        <v>17850</v>
      </c>
      <c r="U47" s="3238"/>
      <c r="V47" s="3238">
        <f>I47</f>
        <v>17000</v>
      </c>
      <c r="W47" s="3238"/>
      <c r="X47" s="759"/>
      <c r="Y47" s="781"/>
      <c r="Z47" s="759"/>
      <c r="AA47" s="759"/>
      <c r="AB47" s="759"/>
      <c r="AC47" s="759"/>
    </row>
    <row r="48" spans="1:29" ht="15" thickBot="1">
      <c r="A48" s="486" t="s">
        <v>2575</v>
      </c>
      <c r="B48" s="487"/>
      <c r="C48" s="1413">
        <f>R49</f>
        <v>16927</v>
      </c>
      <c r="D48" s="1414"/>
      <c r="E48" s="1415">
        <f>R48</f>
        <v>16185</v>
      </c>
      <c r="F48" s="1415"/>
      <c r="G48" s="1413">
        <f>T48</f>
        <v>17163</v>
      </c>
      <c r="H48" s="1414"/>
      <c r="I48" s="1415">
        <f>V48</f>
        <v>17434</v>
      </c>
      <c r="J48" s="1414"/>
      <c r="K48" s="2617"/>
      <c r="L48" s="1143"/>
      <c r="M48" s="1144"/>
      <c r="N48" s="1144"/>
      <c r="O48" s="1144"/>
      <c r="P48" s="3237" t="str">
        <f>A48</f>
        <v>比较价值（元/平方米）</v>
      </c>
      <c r="Q48" s="3237"/>
      <c r="R48" s="3238">
        <f>IF(F1="售价",ROUND(PRODUCT(R47,AA7:AA46),0),ROUND(PRODUCT(R47,AA7:AA46),1))</f>
        <v>16185</v>
      </c>
      <c r="S48" s="3238"/>
      <c r="T48" s="3238">
        <f>IF(F1="售价",ROUND(PRODUCT(T47,AB7:AB46),0),ROUND(PRODUCT(T47,AB7:AB46),1))</f>
        <v>17163</v>
      </c>
      <c r="U48" s="3238"/>
      <c r="V48" s="3238">
        <f>IF(F1="售价",ROUND(PRODUCT(V47,AC7:AC46),0),ROUND(PRODUCT(V47,AC7:AC46),1))</f>
        <v>17434</v>
      </c>
      <c r="W48" s="3238"/>
      <c r="X48" s="759"/>
      <c r="Y48" s="759"/>
      <c r="Z48" s="759"/>
      <c r="AA48" s="759"/>
      <c r="AB48" s="759"/>
      <c r="AC48" s="759"/>
    </row>
    <row r="49" spans="1:29" ht="15" thickBot="1">
      <c r="A49" s="492" t="s">
        <v>2576</v>
      </c>
      <c r="B49" s="493"/>
      <c r="C49" s="1416">
        <f>R49</f>
        <v>16927</v>
      </c>
      <c r="D49" s="1417"/>
      <c r="E49" s="1417"/>
      <c r="F49" s="1417"/>
      <c r="G49" s="1417"/>
      <c r="H49" s="1417"/>
      <c r="I49" s="1417"/>
      <c r="J49" s="1417"/>
      <c r="K49" s="2618"/>
      <c r="L49" s="1143"/>
      <c r="M49" s="1144"/>
      <c r="N49" s="1144"/>
      <c r="O49" s="1144"/>
      <c r="P49" s="3239" t="str">
        <f>A49</f>
        <v>估价对象XX用房的比较价值（楼面单价，元/平方米）</v>
      </c>
      <c r="Q49" s="3240"/>
      <c r="R49" s="3241">
        <f>IF(F1="售价",ROUND(AVERAGE(R48:V48),0),ROUND(AVERAGE(R48:V48),1))</f>
        <v>16927</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f>IF(E47&lt;E48,E48/E47-1,E47/E48-1)</f>
        <v>0.17392647513129433</v>
      </c>
      <c r="F52" s="500" t="str">
        <f>IF(OR(E52&gt;=0.3,E52&lt;=-0.3),"超过30%","")</f>
        <v/>
      </c>
      <c r="G52" s="499">
        <f>IF(G47&lt;G48,G48/G47-1,G47/G48-1)</f>
        <v>4.0027967138612119E-2</v>
      </c>
      <c r="H52" s="500" t="str">
        <f>IF(OR(G52&gt;=0.3,G52&lt;=-0.3),"超过30%","")</f>
        <v/>
      </c>
      <c r="I52" s="499">
        <f>IF(I47&lt;I48,I48/I47-1,I47/I48-1)</f>
        <v>2.5529411764705801E-2</v>
      </c>
      <c r="J52" s="500" t="str">
        <f>IF(OR(I52&gt;=0.3,I52&lt;=-0.3),"超过30%","")</f>
        <v/>
      </c>
      <c r="K52" s="1105"/>
      <c r="L52" s="1106"/>
      <c r="M52" s="1144"/>
      <c r="N52" s="1144"/>
      <c r="O52" s="1144"/>
    </row>
    <row r="53" spans="1:29" ht="13.5" customHeight="1">
      <c r="A53" s="1144"/>
      <c r="B53" s="1144"/>
      <c r="C53" s="497" t="s">
        <v>2578</v>
      </c>
      <c r="D53" s="501"/>
      <c r="E53" s="499">
        <f>IF(E48&lt;G48,G48/E48-1,E48/G48-1)</f>
        <v>6.0426320667284594E-2</v>
      </c>
      <c r="F53" s="500" t="str">
        <f>IF(OR(E53&gt;=0.2,E53&lt;=-0.2),"超过20%","")</f>
        <v/>
      </c>
      <c r="G53" s="499">
        <f>IF(G48&lt;I48,I48/G48-1,G48/I48-1)</f>
        <v>1.5789780341432191E-2</v>
      </c>
      <c r="H53" s="500" t="str">
        <f>IF(OR(G53&gt;=0.2,G53&lt;=-0.2),"超过20%","")</f>
        <v/>
      </c>
      <c r="I53" s="499">
        <f>IF(I48&lt;E48,E48/I48-1,I48/E48-1)</f>
        <v>7.7170219338894119E-2</v>
      </c>
      <c r="J53" s="500" t="str">
        <f>IF(OR(I53&gt;=0.2,I53&lt;=-0.2),"超过20%","")</f>
        <v/>
      </c>
      <c r="K53" s="1105"/>
      <c r="L53" s="1106"/>
      <c r="M53" s="1144"/>
      <c r="N53" s="1144"/>
      <c r="O53" s="1144"/>
    </row>
    <row r="54" spans="1:29" s="502" customFormat="1" ht="13.5" customHeight="1">
      <c r="A54" s="1145"/>
      <c r="B54" s="1145"/>
      <c r="C54" s="497" t="s">
        <v>2579</v>
      </c>
      <c r="D54" s="501"/>
      <c r="E54" s="499">
        <f>IF(E47&lt;G47,G47/E47-1,E47/G47-1)</f>
        <v>6.4425770308123242E-2</v>
      </c>
      <c r="F54" s="500" t="str">
        <f>IF(OR(E54&gt;=0.3,E54&lt;=-0.3),"超过30%","")</f>
        <v/>
      </c>
      <c r="G54" s="499">
        <f>IF(G47&lt;I47,I47/G47-1,G47/I47-1)</f>
        <v>5.0000000000000044E-2</v>
      </c>
      <c r="H54" s="500" t="str">
        <f>IF(OR(G54&gt;=0.3,G54&lt;=-0.3),"超过30%","")</f>
        <v/>
      </c>
      <c r="I54" s="499">
        <f>IF(I47&lt;E47,E47/I47-1,I47/E47-1)</f>
        <v>0.11764705882352944</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1"/>
      <c r="Q57" s="504"/>
    </row>
    <row r="58" spans="1:29" s="508" customFormat="1" ht="14.4">
      <c r="A58" s="505" t="s">
        <v>2545</v>
      </c>
      <c r="B58" s="506"/>
      <c r="C58" s="1576" t="str">
        <f>YEAR(C7)&amp;"-"&amp;MONTH(C7)</f>
        <v>2018-9</v>
      </c>
      <c r="D58" s="1575">
        <f>EDATE(C58,-1)</f>
        <v>43313</v>
      </c>
      <c r="E58" s="1575">
        <f>EDATE(D58,-1)</f>
        <v>43282</v>
      </c>
      <c r="F58" s="1575">
        <f t="shared" ref="F58:O58" si="19">EDATE(E58,-1)</f>
        <v>43252</v>
      </c>
      <c r="G58" s="1575">
        <f t="shared" si="19"/>
        <v>43221</v>
      </c>
      <c r="H58" s="1575">
        <f t="shared" si="19"/>
        <v>43191</v>
      </c>
      <c r="I58" s="1575">
        <f t="shared" si="19"/>
        <v>43160</v>
      </c>
      <c r="J58" s="1575">
        <f t="shared" si="19"/>
        <v>43132</v>
      </c>
      <c r="K58" s="1575">
        <f t="shared" si="19"/>
        <v>43101</v>
      </c>
      <c r="L58" s="1575">
        <f t="shared" si="19"/>
        <v>43070</v>
      </c>
      <c r="M58" s="1575">
        <f t="shared" si="19"/>
        <v>43040</v>
      </c>
      <c r="N58" s="1575">
        <f t="shared" si="19"/>
        <v>43009</v>
      </c>
      <c r="O58" s="1575">
        <f t="shared" si="19"/>
        <v>42979</v>
      </c>
      <c r="P58" s="1570"/>
    </row>
    <row r="59" spans="1:29" s="117" customFormat="1">
      <c r="A59" s="509"/>
      <c r="B59" s="2622"/>
      <c r="C59" s="1573">
        <v>100</v>
      </c>
      <c r="D59" s="511">
        <v>99.5</v>
      </c>
      <c r="E59" s="512">
        <v>99.5</v>
      </c>
      <c r="F59" s="512">
        <v>99.5</v>
      </c>
      <c r="G59" s="512">
        <v>99</v>
      </c>
      <c r="H59" s="512">
        <v>99</v>
      </c>
      <c r="I59" s="512">
        <v>99</v>
      </c>
      <c r="J59" s="512"/>
      <c r="K59" s="512"/>
      <c r="L59" s="512"/>
      <c r="M59" s="513"/>
      <c r="N59" s="512"/>
      <c r="O59" s="513"/>
      <c r="P59" s="2623"/>
    </row>
    <row r="60" spans="1:29" s="117" customFormat="1" ht="15" thickBot="1">
      <c r="A60" s="515" t="s">
        <v>2582</v>
      </c>
      <c r="B60" s="516"/>
      <c r="C60" s="517"/>
      <c r="D60" s="518"/>
      <c r="E60" s="518"/>
      <c r="F60" s="518"/>
      <c r="G60" s="518"/>
      <c r="H60" s="518"/>
      <c r="I60" s="518"/>
      <c r="J60" s="518"/>
      <c r="K60" s="518"/>
      <c r="L60" s="518"/>
      <c r="M60" s="519"/>
      <c r="N60" s="518"/>
      <c r="O60" s="519"/>
      <c r="P60" s="2623"/>
      <c r="Q60" s="504"/>
    </row>
    <row r="61" spans="1:29" s="117" customFormat="1" ht="14.4">
      <c r="A61" s="521" t="s">
        <v>2547</v>
      </c>
      <c r="B61" s="510"/>
      <c r="C61" s="522" t="s">
        <v>2584</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2585</v>
      </c>
      <c r="B63" s="528" t="s">
        <v>2551</v>
      </c>
      <c r="C63" s="529" t="str">
        <f>C9</f>
        <v>住宅</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5"/>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5"/>
      <c r="Q66" s="504"/>
    </row>
    <row r="67" spans="1:17" ht="15" thickTop="1">
      <c r="A67" s="534"/>
      <c r="B67" s="546" t="s">
        <v>2555</v>
      </c>
      <c r="C67" s="547" t="str">
        <f>C68&amp;"（含）"&amp;"-"&amp;D68</f>
        <v>0.5（含）-1</v>
      </c>
      <c r="D67" s="547" t="str">
        <f t="shared" ref="D67:L67" si="21">D68&amp;"（含）"&amp;"-"&amp;E68</f>
        <v>1（含）-1.5</v>
      </c>
      <c r="E67" s="547" t="str">
        <f t="shared" si="21"/>
        <v>1.5（含）-2</v>
      </c>
      <c r="F67" s="547" t="str">
        <f t="shared" si="21"/>
        <v>2（含）-2.5</v>
      </c>
      <c r="G67" s="547" t="str">
        <f t="shared" si="21"/>
        <v>2.5（含）-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c r="A68" s="534"/>
      <c r="B68" s="548"/>
      <c r="C68" s="549">
        <v>0.5</v>
      </c>
      <c r="D68" s="549">
        <v>1</v>
      </c>
      <c r="E68" s="549">
        <v>1.5</v>
      </c>
      <c r="F68" s="549">
        <v>2</v>
      </c>
      <c r="G68" s="549">
        <v>2.5</v>
      </c>
      <c r="H68" s="549"/>
      <c r="I68" s="549"/>
      <c r="J68" s="549"/>
      <c r="K68" s="550"/>
      <c r="L68" s="551"/>
      <c r="M68" s="552"/>
      <c r="N68" s="1152"/>
      <c r="O68" s="1152"/>
      <c r="P68" s="2625"/>
      <c r="Q68" s="504"/>
    </row>
    <row r="69" spans="1:17" ht="14.4"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60"/>
      <c r="E73" s="560"/>
      <c r="F73" s="560"/>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5"/>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3"/>
      <c r="O79" s="1153"/>
      <c r="P79" s="2625"/>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 thickTop="1">
      <c r="A82" s="534"/>
      <c r="B82" s="546" t="s">
        <v>2096</v>
      </c>
      <c r="C82" s="539" t="s">
        <v>2601</v>
      </c>
      <c r="D82" s="539" t="s">
        <v>2602</v>
      </c>
      <c r="E82" s="539" t="s">
        <v>2603</v>
      </c>
      <c r="F82" s="539" t="s">
        <v>2604</v>
      </c>
      <c r="G82" s="539" t="s">
        <v>2605</v>
      </c>
      <c r="H82" s="539"/>
      <c r="I82" s="539"/>
      <c r="J82" s="539"/>
      <c r="K82" s="539"/>
      <c r="L82" s="539"/>
      <c r="M82" s="1382"/>
      <c r="N82" s="1153"/>
      <c r="O82" s="1153"/>
      <c r="P82" s="2625"/>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5"/>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 thickTop="1">
      <c r="A86" s="579"/>
      <c r="B86" s="538" t="s">
        <v>2607</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 thickTop="1">
      <c r="A88" s="579"/>
      <c r="B88" s="538" t="s">
        <v>2608</v>
      </c>
      <c r="C88" s="554"/>
      <c r="D88" s="554"/>
      <c r="E88" s="554"/>
      <c r="F88" s="2630"/>
      <c r="G88" s="554"/>
      <c r="H88" s="554"/>
      <c r="I88" s="554"/>
      <c r="J88" s="554"/>
      <c r="K88" s="554"/>
      <c r="L88" s="554"/>
      <c r="M88" s="581"/>
      <c r="N88" s="1151"/>
      <c r="O88" s="1151"/>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4.4" thickTop="1">
      <c r="A90" s="553"/>
      <c r="B90" s="538">
        <f>B27</f>
        <v>111</v>
      </c>
      <c r="C90" s="554"/>
      <c r="D90" s="554"/>
      <c r="E90" s="554"/>
      <c r="F90" s="554"/>
      <c r="G90" s="554"/>
      <c r="H90" s="555"/>
      <c r="I90" s="555"/>
      <c r="J90" s="555"/>
      <c r="K90" s="555"/>
      <c r="L90" s="556"/>
      <c r="M90" s="557"/>
      <c r="N90" s="1154"/>
      <c r="O90" s="1154"/>
      <c r="P90" s="2626"/>
      <c r="Q90" s="559"/>
    </row>
    <row r="91" spans="1:17" s="471" customFormat="1" ht="14.4" thickBot="1">
      <c r="A91" s="553"/>
      <c r="B91" s="543"/>
      <c r="C91" s="560"/>
      <c r="D91" s="560"/>
      <c r="E91" s="560"/>
      <c r="F91" s="560"/>
      <c r="G91" s="560"/>
      <c r="H91" s="562"/>
      <c r="I91" s="562"/>
      <c r="J91" s="562"/>
      <c r="K91" s="562"/>
      <c r="L91" s="562"/>
      <c r="M91" s="563"/>
      <c r="N91" s="1154"/>
      <c r="O91" s="1154"/>
      <c r="P91" s="2626"/>
      <c r="Q91" s="559"/>
    </row>
    <row r="92" spans="1:17" ht="14.4" thickTop="1">
      <c r="A92" s="534"/>
      <c r="B92" s="538">
        <f>B28</f>
        <v>111</v>
      </c>
      <c r="C92" s="554"/>
      <c r="D92" s="554"/>
      <c r="E92" s="554"/>
      <c r="F92" s="554"/>
      <c r="G92" s="583"/>
      <c r="H92" s="583"/>
      <c r="I92" s="583"/>
      <c r="J92" s="583"/>
      <c r="K92" s="584"/>
      <c r="L92" s="585"/>
      <c r="M92" s="586"/>
      <c r="N92" s="1152"/>
      <c r="O92" s="1152"/>
      <c r="P92" s="2625"/>
      <c r="Q92" s="504"/>
    </row>
    <row r="93" spans="1:17" ht="14.4" thickBot="1">
      <c r="A93" s="534"/>
      <c r="B93" s="543"/>
      <c r="C93" s="560"/>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60"/>
      <c r="E95" s="560"/>
      <c r="F95" s="560"/>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70"/>
      <c r="D97" s="570"/>
      <c r="E97" s="570"/>
      <c r="F97" s="570"/>
      <c r="G97" s="536"/>
      <c r="H97" s="536"/>
      <c r="I97" s="536"/>
      <c r="J97" s="536"/>
      <c r="K97" s="536"/>
      <c r="L97" s="536"/>
      <c r="M97" s="537"/>
      <c r="N97" s="1153"/>
      <c r="O97" s="1153"/>
      <c r="P97" s="2625"/>
      <c r="Q97" s="504"/>
    </row>
    <row r="98" spans="1:17" ht="14.4" thickTop="1">
      <c r="A98" s="534"/>
      <c r="B98" s="546">
        <f>B31</f>
        <v>111</v>
      </c>
      <c r="C98" s="587"/>
      <c r="D98" s="587"/>
      <c r="E98" s="587"/>
      <c r="F98" s="587"/>
      <c r="G98" s="587"/>
      <c r="H98" s="587"/>
      <c r="I98" s="587"/>
      <c r="J98" s="587"/>
      <c r="K98" s="588"/>
      <c r="L98" s="589"/>
      <c r="M98" s="590"/>
      <c r="N98" s="1152"/>
      <c r="O98" s="1152"/>
      <c r="P98" s="2625"/>
      <c r="Q98" s="504"/>
    </row>
    <row r="99" spans="1:17" ht="14.4" thickBot="1">
      <c r="A99" s="2631"/>
      <c r="B99" s="569"/>
      <c r="C99" s="591"/>
      <c r="D99" s="591"/>
      <c r="E99" s="591"/>
      <c r="F99" s="591"/>
      <c r="G99" s="591"/>
      <c r="H99" s="591"/>
      <c r="I99" s="591"/>
      <c r="J99" s="591"/>
      <c r="K99" s="591"/>
      <c r="L99" s="591"/>
      <c r="M99" s="592"/>
      <c r="N99" s="1153"/>
      <c r="O99" s="1153"/>
      <c r="P99" s="2625"/>
      <c r="Q99" s="504"/>
    </row>
    <row r="100" spans="1:17" ht="14.4">
      <c r="A100" s="527" t="s">
        <v>2560</v>
      </c>
      <c r="B100" s="528" t="s">
        <v>2609</v>
      </c>
      <c r="C100" s="2948" t="s">
        <v>3466</v>
      </c>
      <c r="D100" s="2948" t="s">
        <v>3467</v>
      </c>
      <c r="E100" s="2948" t="s">
        <v>3468</v>
      </c>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5"/>
      <c r="Q101" s="504"/>
    </row>
    <row r="102" spans="1:17" ht="28.2" thickTop="1">
      <c r="A102" s="534"/>
      <c r="B102" s="538" t="s">
        <v>2610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50000</v>
      </c>
      <c r="E103" s="595">
        <v>100000</v>
      </c>
      <c r="F103" s="595">
        <v>150000</v>
      </c>
      <c r="G103" s="595">
        <v>200000</v>
      </c>
      <c r="H103" s="595">
        <v>250000</v>
      </c>
      <c r="I103" s="595">
        <v>300000</v>
      </c>
      <c r="J103" s="596"/>
      <c r="K103" s="596"/>
      <c r="L103" s="597"/>
      <c r="M103" s="598"/>
      <c r="N103" s="1154"/>
      <c r="O103" s="1154"/>
      <c r="P103" s="2626"/>
      <c r="Q103" s="559"/>
    </row>
    <row r="104" spans="1:17" s="471" customFormat="1" ht="14.4" thickBot="1">
      <c r="A104" s="553"/>
      <c r="B104" s="543"/>
      <c r="C104" s="560">
        <v>100</v>
      </c>
      <c r="D104" s="536">
        <f>C104+2</f>
        <v>102</v>
      </c>
      <c r="E104" s="536">
        <f t="shared" ref="E104:I104" si="28">D104+2</f>
        <v>104</v>
      </c>
      <c r="F104" s="536">
        <f t="shared" si="28"/>
        <v>106</v>
      </c>
      <c r="G104" s="536">
        <f t="shared" si="28"/>
        <v>108</v>
      </c>
      <c r="H104" s="536">
        <f t="shared" si="28"/>
        <v>110</v>
      </c>
      <c r="I104" s="536">
        <f t="shared" si="28"/>
        <v>112</v>
      </c>
      <c r="J104" s="536"/>
      <c r="K104" s="536"/>
      <c r="L104" s="536"/>
      <c r="M104" s="536"/>
      <c r="N104" s="1153"/>
      <c r="O104" s="1153"/>
      <c r="P104" s="2626"/>
      <c r="Q104" s="559"/>
    </row>
    <row r="105" spans="1:17" ht="15" thickTop="1">
      <c r="A105" s="599"/>
      <c r="B105" s="538" t="s">
        <v>2611</v>
      </c>
      <c r="C105" s="2965" t="s">
        <v>3470</v>
      </c>
      <c r="D105" s="2965" t="s">
        <v>3471</v>
      </c>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5"/>
      <c r="Q106" s="504"/>
    </row>
    <row r="107" spans="1:17" ht="15" thickTop="1">
      <c r="A107" s="599"/>
      <c r="B107" s="538" t="s">
        <v>2612</v>
      </c>
      <c r="C107" s="2966" t="s">
        <v>3472</v>
      </c>
      <c r="D107" s="2966" t="s">
        <v>3473</v>
      </c>
      <c r="E107" s="2966" t="s">
        <v>3474</v>
      </c>
      <c r="F107" s="2966" t="s">
        <v>3475</v>
      </c>
      <c r="G107" s="2966" t="s">
        <v>3476</v>
      </c>
      <c r="H107" s="583"/>
      <c r="I107" s="583"/>
      <c r="J107" s="583"/>
      <c r="K107" s="584"/>
      <c r="L107" s="585"/>
      <c r="M107" s="586"/>
      <c r="N107" s="1152"/>
      <c r="O107" s="1152"/>
      <c r="P107" s="2625"/>
      <c r="Q107" s="504"/>
    </row>
    <row r="108" spans="1:17" ht="14.4" thickBot="1">
      <c r="A108" s="534"/>
      <c r="B108" s="543"/>
      <c r="C108" s="544">
        <v>100</v>
      </c>
      <c r="D108" s="544">
        <f t="shared" ref="D108:M108" si="30">C108-$K35</f>
        <v>95</v>
      </c>
      <c r="E108" s="544">
        <f t="shared" si="30"/>
        <v>90</v>
      </c>
      <c r="F108" s="544">
        <f t="shared" si="30"/>
        <v>85</v>
      </c>
      <c r="G108" s="544">
        <f t="shared" si="30"/>
        <v>80</v>
      </c>
      <c r="H108" s="544">
        <f t="shared" si="30"/>
        <v>75</v>
      </c>
      <c r="I108" s="544">
        <f t="shared" si="30"/>
        <v>70</v>
      </c>
      <c r="J108" s="544">
        <f t="shared" si="30"/>
        <v>65</v>
      </c>
      <c r="K108" s="544">
        <f t="shared" si="30"/>
        <v>60</v>
      </c>
      <c r="L108" s="544">
        <f t="shared" si="30"/>
        <v>55</v>
      </c>
      <c r="M108" s="544">
        <f t="shared" si="30"/>
        <v>50</v>
      </c>
      <c r="N108" s="1153"/>
      <c r="O108" s="1153"/>
      <c r="P108" s="2625"/>
      <c r="Q108" s="504"/>
    </row>
    <row r="109" spans="1:17" ht="15" thickTop="1">
      <c r="A109" s="599"/>
      <c r="B109" s="538" t="s">
        <v>2613</v>
      </c>
      <c r="C109" s="2965" t="s">
        <v>3478</v>
      </c>
      <c r="D109" s="2965" t="s">
        <v>3479</v>
      </c>
      <c r="E109" s="2965" t="s">
        <v>3480</v>
      </c>
      <c r="F109" s="2966" t="s">
        <v>3482</v>
      </c>
      <c r="G109" s="583"/>
      <c r="H109" s="583"/>
      <c r="I109" s="583"/>
      <c r="J109" s="583"/>
      <c r="K109" s="584"/>
      <c r="L109" s="585"/>
      <c r="M109" s="586"/>
      <c r="N109" s="1152"/>
      <c r="O109" s="1152"/>
      <c r="P109" s="2625"/>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6"/>
      <c r="Q113" s="559"/>
    </row>
    <row r="114" spans="1:17" ht="15" thickTop="1">
      <c r="A114" s="599"/>
      <c r="B114" s="538" t="s">
        <v>2614</v>
      </c>
      <c r="C114" s="2966" t="s">
        <v>3472</v>
      </c>
      <c r="D114" s="2966" t="s">
        <v>3473</v>
      </c>
      <c r="E114" s="2966" t="s">
        <v>3474</v>
      </c>
      <c r="F114" s="2966" t="s">
        <v>3475</v>
      </c>
      <c r="G114" s="2966" t="s">
        <v>3476</v>
      </c>
      <c r="H114" s="583"/>
      <c r="I114" s="583"/>
      <c r="J114" s="583"/>
      <c r="K114" s="584"/>
      <c r="L114" s="585"/>
      <c r="M114" s="586"/>
      <c r="N114" s="1152"/>
      <c r="O114" s="1152"/>
      <c r="P114" s="2625"/>
      <c r="Q114" s="504"/>
    </row>
    <row r="115" spans="1:17" ht="14.4"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3"/>
      <c r="O115" s="1153"/>
      <c r="P115" s="2625"/>
      <c r="Q115" s="504"/>
    </row>
    <row r="116" spans="1:17" ht="15" thickTop="1">
      <c r="A116" s="599"/>
      <c r="B116" s="538" t="s">
        <v>2615</v>
      </c>
      <c r="C116" s="2965" t="s">
        <v>3485</v>
      </c>
      <c r="D116" s="2965" t="s">
        <v>3486</v>
      </c>
      <c r="E116" s="2965" t="s">
        <v>3487</v>
      </c>
      <c r="F116" s="2965" t="s">
        <v>3488</v>
      </c>
      <c r="G116" s="554"/>
      <c r="H116" s="583"/>
      <c r="I116" s="583"/>
      <c r="J116" s="583"/>
      <c r="K116" s="584"/>
      <c r="L116" s="585"/>
      <c r="M116" s="586"/>
      <c r="N116" s="1152"/>
      <c r="O116" s="1152"/>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5"/>
      <c r="Q117" s="504"/>
    </row>
    <row r="118" spans="1:17" ht="15" thickTop="1">
      <c r="A118" s="599"/>
      <c r="B118" s="538" t="s">
        <v>2616</v>
      </c>
      <c r="C118" s="2966" t="s">
        <v>3484</v>
      </c>
      <c r="D118" s="583"/>
      <c r="E118" s="583"/>
      <c r="F118" s="583"/>
      <c r="G118" s="583"/>
      <c r="H118" s="583"/>
      <c r="I118" s="583"/>
      <c r="J118" s="583"/>
      <c r="K118" s="584"/>
      <c r="L118" s="585"/>
      <c r="M118" s="586"/>
      <c r="N118" s="1152"/>
      <c r="O118" s="1152"/>
      <c r="P118" s="2625"/>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5"/>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6"/>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2617</v>
      </c>
      <c r="C122" s="2965" t="s">
        <v>3521</v>
      </c>
      <c r="D122" s="2965" t="s">
        <v>3478</v>
      </c>
      <c r="E122" s="2965" t="s">
        <v>3479</v>
      </c>
      <c r="F122" s="2965" t="s">
        <v>3480</v>
      </c>
      <c r="G122" s="2966" t="s">
        <v>3482</v>
      </c>
      <c r="H122" s="583"/>
      <c r="I122" s="583"/>
      <c r="J122" s="583"/>
      <c r="K122" s="584"/>
      <c r="L122" s="585"/>
      <c r="M122" s="586"/>
      <c r="N122" s="1152"/>
      <c r="O122" s="1152"/>
      <c r="P122" s="2625"/>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5"/>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60"/>
      <c r="E129" s="560"/>
      <c r="F129" s="560"/>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2619</v>
      </c>
    </row>
    <row r="137" spans="1:17" ht="15">
      <c r="B137" s="2633" t="s">
        <v>2620</v>
      </c>
      <c r="C137" s="2634"/>
      <c r="D137" s="2634"/>
      <c r="E137" s="2634"/>
      <c r="F137" s="2634"/>
      <c r="G137" s="2635"/>
      <c r="H137" s="2636"/>
      <c r="I137" s="2637" t="s">
        <v>2621</v>
      </c>
      <c r="J137" s="2634"/>
      <c r="K137" s="2638"/>
    </row>
    <row r="138" spans="1:17" ht="15">
      <c r="B138" s="2639"/>
      <c r="C138" s="146" t="s">
        <v>2622</v>
      </c>
      <c r="D138" s="146" t="s">
        <v>2623</v>
      </c>
      <c r="E138" s="2640" t="s">
        <v>2624</v>
      </c>
      <c r="F138" s="2641" t="s">
        <v>2625</v>
      </c>
      <c r="G138" s="146" t="s">
        <v>2623</v>
      </c>
      <c r="H138" s="147" t="s">
        <v>2624</v>
      </c>
      <c r="I138" s="2642"/>
      <c r="J138" s="146" t="s">
        <v>2626</v>
      </c>
      <c r="K138" s="147" t="s">
        <v>2627</v>
      </c>
    </row>
    <row r="139" spans="1:17" ht="15">
      <c r="B139" s="1084">
        <v>6</v>
      </c>
      <c r="C139" s="1085">
        <v>96</v>
      </c>
      <c r="D139" s="2643" t="s">
        <v>2628</v>
      </c>
      <c r="E139" s="1086">
        <v>100</v>
      </c>
      <c r="F139" s="1087">
        <v>102.5</v>
      </c>
      <c r="G139" s="2643" t="s">
        <v>2628</v>
      </c>
      <c r="H139" s="1088">
        <v>105</v>
      </c>
      <c r="I139" s="2644" t="s">
        <v>2629</v>
      </c>
      <c r="J139" s="1085">
        <v>20</v>
      </c>
      <c r="K139" s="1089">
        <f>C145/(J139-2)</f>
        <v>4.0555555555555553E-3</v>
      </c>
    </row>
    <row r="140" spans="1:17" ht="15">
      <c r="B140" s="1090">
        <v>5</v>
      </c>
      <c r="C140" s="1091">
        <v>100</v>
      </c>
      <c r="D140" s="1091"/>
      <c r="E140" s="1092"/>
      <c r="F140" s="1093">
        <v>102</v>
      </c>
      <c r="G140" s="1091"/>
      <c r="H140" s="1094"/>
      <c r="I140" s="2645" t="s">
        <v>2630</v>
      </c>
      <c r="J140" s="315">
        <f>ROUNDUP((J139-1)/2,0)</f>
        <v>10</v>
      </c>
      <c r="K140" s="1095">
        <v>100</v>
      </c>
    </row>
    <row r="141" spans="1:17" ht="15">
      <c r="B141" s="1090">
        <v>4</v>
      </c>
      <c r="C141" s="1091">
        <v>102</v>
      </c>
      <c r="D141" s="1091"/>
      <c r="E141" s="1092"/>
      <c r="F141" s="1093">
        <v>101.5</v>
      </c>
      <c r="G141" s="1091"/>
      <c r="H141" s="1094"/>
      <c r="I141" s="2645" t="s">
        <v>2631</v>
      </c>
      <c r="J141" s="315">
        <v>1</v>
      </c>
      <c r="K141" s="1096">
        <f>ROUND(100+(J141-J140)*K139*100,1)</f>
        <v>96.4</v>
      </c>
    </row>
    <row r="142" spans="1:17" ht="15">
      <c r="B142" s="1090">
        <v>3</v>
      </c>
      <c r="C142" s="1091">
        <v>103</v>
      </c>
      <c r="D142" s="1091"/>
      <c r="E142" s="1092"/>
      <c r="F142" s="1093">
        <v>101</v>
      </c>
      <c r="G142" s="1091"/>
      <c r="H142" s="1094"/>
      <c r="I142" s="2645" t="s">
        <v>2632</v>
      </c>
      <c r="J142" s="315">
        <f>J139</f>
        <v>20</v>
      </c>
      <c r="K142" s="1097">
        <v>95</v>
      </c>
    </row>
    <row r="143" spans="1:17" ht="15">
      <c r="B143" s="1090">
        <v>2</v>
      </c>
      <c r="C143" s="1091">
        <v>100</v>
      </c>
      <c r="D143" s="1091"/>
      <c r="E143" s="1092"/>
      <c r="F143" s="1093">
        <v>100.5</v>
      </c>
      <c r="G143" s="1091"/>
      <c r="H143" s="1094"/>
      <c r="I143" s="2645" t="s">
        <v>2633</v>
      </c>
      <c r="J143" s="1091">
        <v>15</v>
      </c>
      <c r="K143" s="1096">
        <f>ROUND(100+(J143-J140)*K139*100,1)</f>
        <v>102</v>
      </c>
    </row>
    <row r="144" spans="1:17" ht="15">
      <c r="B144" s="1090">
        <v>1</v>
      </c>
      <c r="C144" s="1091">
        <v>98</v>
      </c>
      <c r="D144" s="2646" t="s">
        <v>2634</v>
      </c>
      <c r="E144" s="1092">
        <v>102</v>
      </c>
      <c r="F144" s="1098">
        <v>100</v>
      </c>
      <c r="G144" s="2646" t="s">
        <v>2634</v>
      </c>
      <c r="H144" s="1094">
        <v>105</v>
      </c>
      <c r="I144" s="2645" t="s">
        <v>2633</v>
      </c>
      <c r="J144" s="1091">
        <v>18</v>
      </c>
      <c r="K144" s="1096">
        <f>ROUND(100+(J144-J140)*K139*100,1)</f>
        <v>103.2</v>
      </c>
    </row>
    <row r="145" spans="2:11" ht="16.2" thickBot="1">
      <c r="B145" s="2647" t="s">
        <v>2635</v>
      </c>
      <c r="C145" s="1099">
        <f>ROUND(MAX(C139:C144)/MIN(C139:C144)-1,3)</f>
        <v>7.2999999999999995E-2</v>
      </c>
      <c r="D145" s="1100"/>
      <c r="E145" s="1100"/>
      <c r="F145" s="2648" t="s">
        <v>2636</v>
      </c>
      <c r="G145" s="2649"/>
      <c r="H145" s="2650"/>
      <c r="I145" s="2651" t="s">
        <v>2633</v>
      </c>
      <c r="J145" s="1101">
        <v>8</v>
      </c>
      <c r="K145" s="1102">
        <f>ROUND(100+(J145-J140)*K139*100,1)</f>
        <v>99.2</v>
      </c>
    </row>
    <row r="147" spans="2:11" ht="14.4">
      <c r="B147" s="2632" t="s">
        <v>2637</v>
      </c>
    </row>
    <row r="148" spans="2:11" ht="14.4">
      <c r="B148" s="2632" t="s">
        <v>2638</v>
      </c>
    </row>
  </sheetData>
  <sheetProtection algorithmName="SHA-512" hashValue="4/svMjlkBEmIKYptgo378+f7VQgiZf8squq+Woh7p3/a30dBWkUlcVXhuiQ4Iod8l6QTxmfs9lF3mm2DJhpd3g==" saltValue="SmybcL3+dR4ra7OSIC4Vr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1611</v>
      </c>
    </row>
    <row r="2" spans="1:1">
      <c r="A2" s="1946"/>
    </row>
    <row r="3" spans="1:1" ht="17.399999999999999">
      <c r="A3" s="1947" t="str">
        <f>项目基本情况!B5&amp;"："</f>
        <v>湖州崇源房地产开发有限公司：</v>
      </c>
    </row>
    <row r="4" spans="1:1" ht="34.799999999999997">
      <c r="A4" s="1948" t="str">
        <f>"受贵公司委托，我公司对"&amp;项目基本情况!S1&amp;"进行了预评估。"</f>
        <v>受贵公司委托，我公司对浙江省湖州市吴兴区乌山单元02-06D号地块出让国有建设用地使用权及在建建筑物房地产抵押价值进行了预评估。</v>
      </c>
    </row>
    <row r="5" spans="1:1" ht="17.399999999999999">
      <c r="A5" s="1949" t="s">
        <v>1612</v>
      </c>
    </row>
    <row r="6" spans="1:1" ht="17.399999999999999">
      <c r="A6" s="1950" t="s">
        <v>1613</v>
      </c>
    </row>
    <row r="7" spans="1:1" ht="10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湖州市吴兴区乌山单元02-06D号地块出让国有建设用地使用权及在建建筑物房地产，为湖州崇源房地产开发有限公司所有。根据《不动产权证书》[浙（2017）湖州市不动产权第0099760号]，估价对象（分摊）出让国有建设用地使用权面积为41386.63平方米。根据《房屋建筑面积测绘成果书》[编号：（预）2017-0126]，估价对象建筑面积为86753.5200000002平方米。</v>
      </c>
    </row>
    <row r="8" spans="1:1" ht="54.6">
      <c r="A8" s="1951" t="s">
        <v>1614</v>
      </c>
    </row>
    <row r="9" spans="1:1" ht="17.399999999999999">
      <c r="A9" s="1950" t="s">
        <v>1615</v>
      </c>
    </row>
    <row r="10" spans="1:1" ht="104.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湖州市吴兴区乌山单元02-06D号地块出让国有建设用地使用权及在建建筑物房地产,属湖州崇源房地产开发有限公司开发建设的居住项目，该项目尚在开发建设中。根据《不动产权证书》[浙（2017）湖州市不动产权第0099760号]，估价对象（分摊）出让国有建设用地使用权面积为41386.63平方米。根据《房屋建筑面积测绘成果书》[编号：（预）2017-0126]，估价对象规划建筑面积为86753.5200000002平方米。</v>
      </c>
    </row>
    <row r="11" spans="1:1" ht="72">
      <c r="A11" s="1951" t="s">
        <v>1616</v>
      </c>
    </row>
    <row r="12" spans="1:1" ht="17.399999999999999">
      <c r="A12" s="1949" t="s">
        <v>1617</v>
      </c>
    </row>
    <row r="13" spans="1:1" ht="38.25" customHeight="1">
      <c r="A13" s="1952" t="str">
        <f>IF(项目基本情况!B8="抵押",IF(项目基本情况!B5=项目基本情况!B6,定义!C51,定义!B51),定义!D51)</f>
        <v>为估价委托人在向中诚信托办理贷款手续过程中，确定房地产抵押贷款额度提供参考依据而评估房地产抵押价值。</v>
      </c>
    </row>
    <row r="14" spans="1:1" ht="17.399999999999999">
      <c r="A14" s="1953" t="s">
        <v>1618</v>
      </c>
    </row>
    <row r="15" spans="1:1" ht="17.399999999999999">
      <c r="A15" s="1954" t="str">
        <f>TEXT(项目基本情况!D3,"yyyy年m月d日;;")&amp;IF(项目基本情况!D3=项目基本情况!B3,"（评估专业人员实地查勘之日）","")</f>
        <v>2018年9月13日（评估专业人员实地查勘之日）</v>
      </c>
    </row>
    <row r="16" spans="1:1" ht="17.399999999999999">
      <c r="A16" s="1953" t="s">
        <v>1619</v>
      </c>
    </row>
    <row r="17" spans="1:1" ht="69.599999999999994">
      <c r="A17" s="1948" t="s">
        <v>1620</v>
      </c>
    </row>
    <row r="18" spans="1:1" ht="87">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13日，估价对象规划用途为住宅、商业、仓储、地下车库，土地取得方式为出让，出让国有建设用地使用权剩余土地使用年限为住宅69.19、商业39.17、车库及储藏室49.18，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地下车库，实际开发程度为宗地红线外“七通”（即通路、通电、通上水、通下水、通讯、燃气、）、红线内场地平整条件下，剩余土地使用年限为住宅69.19、商业39.17、车库及储藏室49.18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3" t="s">
        <v>1609</v>
      </c>
    </row>
    <row r="24" spans="1:1" ht="17.399999999999999">
      <c r="A24" s="1955" t="str">
        <f>"本次评估采用的主估价方法为"&amp;结果表!K4&amp;"和"&amp;结果表!L4&amp;"。"</f>
        <v>本次评估采用的主估价方法为成本法和假设开发法。</v>
      </c>
    </row>
    <row r="25" spans="1:1" ht="17.399999999999999">
      <c r="A25" s="1955"/>
    </row>
    <row r="26" spans="1:1" ht="17.399999999999999">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I47" sqref="I47:I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5.886718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2526</v>
      </c>
      <c r="C1" s="1634" t="s">
        <v>2527</v>
      </c>
      <c r="D1" s="1621" t="s">
        <v>3086</v>
      </c>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18740</v>
      </c>
      <c r="C2" s="2584" t="s">
        <v>70</v>
      </c>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23913</v>
      </c>
      <c r="C3" s="400" t="s">
        <v>2531</v>
      </c>
      <c r="D3" s="399">
        <f>IF(D1="",'数据-汇总表'!E3,SUMIF('数据-汇总表'!$C19:$C33,D1,'数据-汇总表'!$E19:$E33))</f>
        <v>7836.8900000000012</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2532</v>
      </c>
      <c r="B4" s="402"/>
      <c r="C4" s="3201" t="s">
        <v>2533</v>
      </c>
      <c r="D4" s="3202"/>
      <c r="E4" s="3203" t="s">
        <v>2534</v>
      </c>
      <c r="F4" s="3204"/>
      <c r="G4" s="3201" t="s">
        <v>2535</v>
      </c>
      <c r="H4" s="3202"/>
      <c r="I4" s="3201" t="s">
        <v>2536</v>
      </c>
      <c r="J4" s="3202"/>
      <c r="K4" s="2594" t="s">
        <v>2537</v>
      </c>
      <c r="L4" s="1130"/>
      <c r="M4" s="1131"/>
      <c r="N4" s="1131"/>
      <c r="O4" s="1131"/>
      <c r="P4" s="3205" t="s">
        <v>2538</v>
      </c>
      <c r="Q4" s="3206"/>
      <c r="R4" s="3211" t="s">
        <v>2534</v>
      </c>
      <c r="S4" s="3212"/>
      <c r="T4" s="3211" t="s">
        <v>2535</v>
      </c>
      <c r="U4" s="3212"/>
      <c r="V4" s="3223" t="s">
        <v>2536</v>
      </c>
      <c r="W4" s="3223"/>
      <c r="X4" s="1813"/>
      <c r="Y4" s="3211" t="s">
        <v>2538</v>
      </c>
      <c r="Z4" s="3212"/>
      <c r="AA4" s="3198" t="s">
        <v>2534</v>
      </c>
      <c r="AB4" s="3198" t="s">
        <v>2535</v>
      </c>
      <c r="AC4" s="3198" t="s">
        <v>2536</v>
      </c>
    </row>
    <row r="5" spans="1:29">
      <c r="A5" s="404"/>
      <c r="B5" s="405"/>
      <c r="C5" s="3215" t="s">
        <v>3462</v>
      </c>
      <c r="D5" s="3216"/>
      <c r="E5" s="3217" t="s">
        <v>3465</v>
      </c>
      <c r="F5" s="3218"/>
      <c r="G5" s="3215" t="s">
        <v>3489</v>
      </c>
      <c r="H5" s="3216"/>
      <c r="I5" s="3215" t="s">
        <v>3490</v>
      </c>
      <c r="J5" s="3216"/>
      <c r="K5" s="2595"/>
      <c r="L5" s="1130"/>
      <c r="M5" s="1131"/>
      <c r="N5" s="1131"/>
      <c r="O5" s="1131"/>
      <c r="P5" s="3207"/>
      <c r="Q5" s="3208"/>
      <c r="R5" s="3213"/>
      <c r="S5" s="3214"/>
      <c r="T5" s="3213"/>
      <c r="U5" s="3214"/>
      <c r="V5" s="3223"/>
      <c r="W5" s="3223"/>
      <c r="X5" s="1813"/>
      <c r="Y5" s="3213"/>
      <c r="Z5" s="3214"/>
      <c r="AA5" s="3199"/>
      <c r="AB5" s="3199"/>
      <c r="AC5" s="3199"/>
    </row>
    <row r="6" spans="1:29" ht="15" thickBot="1">
      <c r="A6" s="406"/>
      <c r="B6" s="407"/>
      <c r="C6" s="3219" t="s">
        <v>3433</v>
      </c>
      <c r="D6" s="3220"/>
      <c r="E6" s="3219" t="s">
        <v>3433</v>
      </c>
      <c r="F6" s="3220"/>
      <c r="G6" s="3219" t="s">
        <v>3433</v>
      </c>
      <c r="H6" s="3220"/>
      <c r="I6" s="3219" t="s">
        <v>3433</v>
      </c>
      <c r="J6" s="3220"/>
      <c r="K6" s="2595" t="s">
        <v>2544</v>
      </c>
      <c r="L6" s="1130"/>
      <c r="M6" s="1131"/>
      <c r="N6" s="1131"/>
      <c r="O6" s="1131"/>
      <c r="P6" s="3209"/>
      <c r="Q6" s="3210"/>
      <c r="R6" s="3213"/>
      <c r="S6" s="3214"/>
      <c r="T6" s="3221"/>
      <c r="U6" s="3222"/>
      <c r="V6" s="3223"/>
      <c r="W6" s="3223"/>
      <c r="X6" s="1813"/>
      <c r="Y6" s="3221"/>
      <c r="Z6" s="3222"/>
      <c r="AA6" s="3200"/>
      <c r="AB6" s="3200"/>
      <c r="AC6" s="3200"/>
    </row>
    <row r="7" spans="1:29" s="117" customFormat="1" ht="15" thickBot="1">
      <c r="A7" s="408" t="s">
        <v>2545</v>
      </c>
      <c r="B7" s="409"/>
      <c r="C7" s="410">
        <f>'数据-取费表'!B2</f>
        <v>43356</v>
      </c>
      <c r="D7" s="411">
        <v>100</v>
      </c>
      <c r="E7" s="412">
        <v>43344</v>
      </c>
      <c r="F7" s="413">
        <f>SUMIF(58:58,YEAR(E7)&amp;"-"&amp;MONTH(E7),59:59)</f>
        <v>100</v>
      </c>
      <c r="G7" s="412">
        <v>43252</v>
      </c>
      <c r="H7" s="411">
        <f>SUMIF(58:58,YEAR(G7)&amp;"-"&amp;MONTH(G7),59:59)</f>
        <v>99.5</v>
      </c>
      <c r="I7" s="412">
        <v>43344</v>
      </c>
      <c r="J7" s="411">
        <f>SUMIF(58:58,YEAR(I7)&amp;"-"&amp;MONTH(I7),59:59)</f>
        <v>100</v>
      </c>
      <c r="K7" s="2596"/>
      <c r="L7" s="1132"/>
      <c r="M7" s="1133"/>
      <c r="N7" s="1133"/>
      <c r="O7" s="1133"/>
      <c r="P7" s="3224" t="s">
        <v>2546</v>
      </c>
      <c r="Q7" s="3225"/>
      <c r="R7" s="770" t="s">
        <v>23</v>
      </c>
      <c r="S7" s="771">
        <f t="shared" ref="S7:S15" si="0">F7</f>
        <v>100</v>
      </c>
      <c r="T7" s="770" t="s">
        <v>23</v>
      </c>
      <c r="U7" s="771">
        <f t="shared" ref="U7:U15" si="1">H7</f>
        <v>99.5</v>
      </c>
      <c r="V7" s="770" t="s">
        <v>23</v>
      </c>
      <c r="W7" s="771">
        <f t="shared" ref="W7:W15" si="2">J7</f>
        <v>100</v>
      </c>
      <c r="X7" s="772"/>
      <c r="Y7" s="3224" t="s">
        <v>2546</v>
      </c>
      <c r="Z7" s="3226"/>
      <c r="AA7" s="773">
        <f>D7/F7</f>
        <v>1</v>
      </c>
      <c r="AB7" s="773">
        <f>D7/H7</f>
        <v>1.0050251256281406</v>
      </c>
      <c r="AC7" s="773">
        <f>D7/J7</f>
        <v>1</v>
      </c>
    </row>
    <row r="8" spans="1:29" s="117" customFormat="1" ht="15" thickBot="1">
      <c r="A8" s="408" t="s">
        <v>2547</v>
      </c>
      <c r="B8" s="409"/>
      <c r="C8" s="414" t="s">
        <v>2548</v>
      </c>
      <c r="D8" s="411">
        <v>100</v>
      </c>
      <c r="E8" s="414" t="s">
        <v>2548</v>
      </c>
      <c r="F8" s="413">
        <f>SUMIF(61:61,E8,62:62)-SUMIF(61:61,C8,62:62)+100</f>
        <v>100</v>
      </c>
      <c r="G8" s="414" t="s">
        <v>2548</v>
      </c>
      <c r="H8" s="411">
        <f>SUMIF(61:61,G8,62:62)-SUMIF(61:61,C8,62:62)+100</f>
        <v>100</v>
      </c>
      <c r="I8" s="414" t="s">
        <v>2548</v>
      </c>
      <c r="J8" s="411">
        <f>SUMIF(61:61,I8,62:62)-SUMIF(61:61,C8,62:62)+100</f>
        <v>100</v>
      </c>
      <c r="K8" s="2596"/>
      <c r="L8" s="1132"/>
      <c r="M8" s="1133"/>
      <c r="N8" s="1133"/>
      <c r="O8" s="1133"/>
      <c r="P8" s="3224" t="s">
        <v>2549</v>
      </c>
      <c r="Q8" s="3226"/>
      <c r="R8" s="770" t="s">
        <v>23</v>
      </c>
      <c r="S8" s="771">
        <f t="shared" si="0"/>
        <v>100</v>
      </c>
      <c r="T8" s="770" t="s">
        <v>23</v>
      </c>
      <c r="U8" s="771">
        <f t="shared" si="1"/>
        <v>100</v>
      </c>
      <c r="V8" s="770" t="s">
        <v>23</v>
      </c>
      <c r="W8" s="771">
        <f t="shared" si="2"/>
        <v>100</v>
      </c>
      <c r="X8" s="772"/>
      <c r="Y8" s="3224" t="s">
        <v>2549</v>
      </c>
      <c r="Z8" s="3226"/>
      <c r="AA8" s="773">
        <f t="shared" ref="AA8:AA19" si="3">D8/F8</f>
        <v>1</v>
      </c>
      <c r="AB8" s="773">
        <f t="shared" ref="AB8:AB19" si="4">D8/H8</f>
        <v>1</v>
      </c>
      <c r="AC8" s="773">
        <f t="shared" ref="AC8:AC19" si="5">D8/J8</f>
        <v>1</v>
      </c>
    </row>
    <row r="9" spans="1:29" s="117" customFormat="1" ht="14.4">
      <c r="A9" s="415" t="s">
        <v>2550</v>
      </c>
      <c r="B9" s="71" t="s">
        <v>2551</v>
      </c>
      <c r="C9" s="2967" t="s">
        <v>3463</v>
      </c>
      <c r="D9" s="135">
        <v>100</v>
      </c>
      <c r="E9" s="417" t="s">
        <v>3057</v>
      </c>
      <c r="F9" s="418">
        <f>SUMIF(63:63,E9,64:64)-SUMIF(63:63,C9,64:64)+100</f>
        <v>100</v>
      </c>
      <c r="G9" s="417" t="s">
        <v>3057</v>
      </c>
      <c r="H9" s="135">
        <f>SUMIF(63:63,G9,64:64)-SUMIF(63:63,C9,64:64)+100</f>
        <v>100</v>
      </c>
      <c r="I9" s="417" t="s">
        <v>3057</v>
      </c>
      <c r="J9" s="135">
        <f>SUMIF(63:63,I9,64:64)-SUMIF(63:63,C9,64:64)+100</f>
        <v>100</v>
      </c>
      <c r="K9" s="2596"/>
      <c r="L9" s="1132"/>
      <c r="M9" s="1133"/>
      <c r="N9" s="1133"/>
      <c r="O9" s="1133"/>
      <c r="P9" s="322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8.8">
      <c r="A10" s="421"/>
      <c r="B10" s="422" t="s">
        <v>2554</v>
      </c>
      <c r="C10" s="423" t="s">
        <v>3464</v>
      </c>
      <c r="D10" s="136">
        <v>100</v>
      </c>
      <c r="E10" s="424" t="s">
        <v>3464</v>
      </c>
      <c r="F10" s="425">
        <f>SUMIF(65:65,E10,66:66)-SUMIF(65:65,C10,66:66)+100</f>
        <v>100</v>
      </c>
      <c r="G10" s="424" t="s">
        <v>3464</v>
      </c>
      <c r="H10" s="136">
        <f>SUMIF(65:65,G10,66:66)-SUMIF(65:65,C10,66:66)+100</f>
        <v>100</v>
      </c>
      <c r="I10" s="424" t="s">
        <v>3464</v>
      </c>
      <c r="J10" s="136">
        <f>SUMIF(65:65,I10,66:66)-SUMIF(65:65,C10,66:66)+100</f>
        <v>100</v>
      </c>
      <c r="K10" s="426">
        <v>1</v>
      </c>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f>'土地比较法-住宅、综合'!C11</f>
        <v>1.8</v>
      </c>
      <c r="D11" s="136">
        <v>100</v>
      </c>
      <c r="E11" s="430">
        <v>2</v>
      </c>
      <c r="F11" s="425">
        <f>LOOKUP(E11,68:68,69:69)-LOOKUP(C11,68:68,69:69)+100</f>
        <v>99.5</v>
      </c>
      <c r="G11" s="429">
        <v>1.5</v>
      </c>
      <c r="H11" s="136">
        <f>LOOKUP(G11,68:68,69:69)-LOOKUP(C11,68:68,69:69)+100</f>
        <v>100</v>
      </c>
      <c r="I11" s="429">
        <v>1.1499999999999999</v>
      </c>
      <c r="J11" s="136">
        <f>LOOKUP(I11,68:68,69:69)-LOOKUP(C11,68:68,69:69)+100</f>
        <v>100.5</v>
      </c>
      <c r="K11" s="426">
        <f>'比较法-洋房'!K11</f>
        <v>0.5</v>
      </c>
      <c r="L11" s="1138"/>
      <c r="M11" s="1131"/>
      <c r="N11" s="1131"/>
      <c r="O11" s="1131"/>
      <c r="P11" s="3227"/>
      <c r="Q11" s="1795" t="str">
        <f t="shared" si="6"/>
        <v>容积率</v>
      </c>
      <c r="R11" s="770" t="s">
        <v>21</v>
      </c>
      <c r="S11" s="771">
        <f t="shared" si="0"/>
        <v>99.5</v>
      </c>
      <c r="T11" s="770" t="s">
        <v>21</v>
      </c>
      <c r="U11" s="771">
        <f t="shared" si="1"/>
        <v>100</v>
      </c>
      <c r="V11" s="770" t="s">
        <v>21</v>
      </c>
      <c r="W11" s="771">
        <f t="shared" si="2"/>
        <v>100.5</v>
      </c>
      <c r="X11" s="772"/>
      <c r="Y11" s="3047"/>
      <c r="Z11" s="55" t="str">
        <f t="shared" si="7"/>
        <v>容积率</v>
      </c>
      <c r="AA11" s="773">
        <f t="shared" si="3"/>
        <v>1.0050251256281406</v>
      </c>
      <c r="AB11" s="773">
        <f t="shared" si="4"/>
        <v>1</v>
      </c>
      <c r="AC11" s="773">
        <f t="shared" si="5"/>
        <v>0.99502487562189057</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27"/>
      <c r="Q12" s="1795">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27"/>
      <c r="Q13" s="1795">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27"/>
      <c r="Q14" s="1795">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96.6">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0"/>
      <c r="M15" s="1131"/>
      <c r="N15" s="1131"/>
      <c r="O15" s="1131"/>
      <c r="P15" s="3228" t="s">
        <v>2557</v>
      </c>
      <c r="Q15" s="1810" t="str">
        <f t="shared" si="6"/>
        <v>居住社区成熟度</v>
      </c>
      <c r="R15" s="774" t="s">
        <v>21</v>
      </c>
      <c r="S15" s="775">
        <f t="shared" si="0"/>
        <v>100</v>
      </c>
      <c r="T15" s="774" t="s">
        <v>21</v>
      </c>
      <c r="U15" s="775">
        <f t="shared" si="1"/>
        <v>100</v>
      </c>
      <c r="V15" s="774" t="s">
        <v>21</v>
      </c>
      <c r="W15" s="775">
        <f t="shared" si="2"/>
        <v>100</v>
      </c>
      <c r="X15" s="1813"/>
      <c r="Y15" s="3230" t="s">
        <v>2557</v>
      </c>
      <c r="Z15" s="1814" t="str">
        <f t="shared" si="7"/>
        <v>居住社区成熟度</v>
      </c>
      <c r="AA15" s="1811">
        <f t="shared" si="3"/>
        <v>1</v>
      </c>
      <c r="AB15" s="1811">
        <f t="shared" si="4"/>
        <v>1</v>
      </c>
      <c r="AC15" s="1811">
        <f t="shared" si="5"/>
        <v>1</v>
      </c>
    </row>
    <row r="16" spans="1:29" ht="15">
      <c r="A16" s="428"/>
      <c r="B16" s="446"/>
      <c r="C16" s="447" t="s">
        <v>3436</v>
      </c>
      <c r="D16" s="448"/>
      <c r="E16" s="447" t="s">
        <v>3436</v>
      </c>
      <c r="F16" s="448"/>
      <c r="G16" s="447" t="s">
        <v>3436</v>
      </c>
      <c r="H16" s="450"/>
      <c r="I16" s="447" t="s">
        <v>3436</v>
      </c>
      <c r="J16" s="448"/>
      <c r="K16" s="2603"/>
      <c r="L16" s="1140"/>
      <c r="M16" s="1131"/>
      <c r="N16" s="1131"/>
      <c r="O16" s="1131"/>
      <c r="P16" s="3229"/>
      <c r="Q16" s="1810"/>
      <c r="R16" s="774"/>
      <c r="S16" s="775"/>
      <c r="T16" s="774"/>
      <c r="U16" s="775"/>
      <c r="V16" s="774"/>
      <c r="W16" s="775"/>
      <c r="X16" s="1813"/>
      <c r="Y16" s="3231"/>
      <c r="Z16" s="1814"/>
      <c r="AA16" s="1811">
        <v>1</v>
      </c>
      <c r="AB16" s="1811">
        <v>1</v>
      </c>
      <c r="AC16" s="1811">
        <v>1</v>
      </c>
    </row>
    <row r="17" spans="1:29" ht="82.8">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40"/>
      <c r="M17" s="1131"/>
      <c r="N17" s="1131"/>
      <c r="O17" s="1131"/>
      <c r="P17" s="3229"/>
      <c r="Q17" s="1810" t="str">
        <f>B17</f>
        <v>交通便捷度</v>
      </c>
      <c r="R17" s="774" t="s">
        <v>21</v>
      </c>
      <c r="S17" s="775">
        <f>F17</f>
        <v>100</v>
      </c>
      <c r="T17" s="774" t="s">
        <v>21</v>
      </c>
      <c r="U17" s="775">
        <f>H17</f>
        <v>100</v>
      </c>
      <c r="V17" s="774" t="s">
        <v>21</v>
      </c>
      <c r="W17" s="775">
        <f>J17</f>
        <v>100</v>
      </c>
      <c r="X17" s="1813"/>
      <c r="Y17" s="3231"/>
      <c r="Z17" s="1814" t="str">
        <f>Q17</f>
        <v>交通便捷度</v>
      </c>
      <c r="AA17" s="1811">
        <f t="shared" si="3"/>
        <v>1</v>
      </c>
      <c r="AB17" s="1811">
        <f t="shared" si="4"/>
        <v>1</v>
      </c>
      <c r="AC17" s="1811">
        <f t="shared" si="5"/>
        <v>1</v>
      </c>
    </row>
    <row r="18" spans="1:29" ht="15">
      <c r="A18" s="428"/>
      <c r="B18" s="456"/>
      <c r="C18" s="2605" t="s">
        <v>3437</v>
      </c>
      <c r="D18" s="450"/>
      <c r="E18" s="2605" t="s">
        <v>3437</v>
      </c>
      <c r="F18" s="450"/>
      <c r="G18" s="2605" t="s">
        <v>3437</v>
      </c>
      <c r="H18" s="448"/>
      <c r="I18" s="2605" t="s">
        <v>3437</v>
      </c>
      <c r="J18" s="448"/>
      <c r="K18" s="2603"/>
      <c r="L18" s="1140"/>
      <c r="M18" s="1131"/>
      <c r="N18" s="1131"/>
      <c r="O18" s="1131"/>
      <c r="P18" s="3229"/>
      <c r="Q18" s="1810"/>
      <c r="R18" s="774"/>
      <c r="S18" s="775"/>
      <c r="T18" s="774"/>
      <c r="U18" s="775"/>
      <c r="V18" s="774"/>
      <c r="W18" s="775"/>
      <c r="X18" s="1813"/>
      <c r="Y18" s="3231"/>
      <c r="Z18" s="1814"/>
      <c r="AA18" s="1811">
        <v>1</v>
      </c>
      <c r="AB18" s="1811">
        <v>1</v>
      </c>
      <c r="AC18" s="1811">
        <v>1</v>
      </c>
    </row>
    <row r="19" spans="1:29" ht="41.4">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29"/>
      <c r="Q19" s="1810" t="str">
        <f>B19</f>
        <v>公共配套设施</v>
      </c>
      <c r="R19" s="774" t="s">
        <v>21</v>
      </c>
      <c r="S19" s="775">
        <f>F19</f>
        <v>100</v>
      </c>
      <c r="T19" s="774" t="s">
        <v>21</v>
      </c>
      <c r="U19" s="775">
        <f>H19</f>
        <v>100</v>
      </c>
      <c r="V19" s="774" t="s">
        <v>21</v>
      </c>
      <c r="W19" s="775">
        <f>J19</f>
        <v>100</v>
      </c>
      <c r="X19" s="1813"/>
      <c r="Y19" s="3231"/>
      <c r="Z19" s="1814" t="str">
        <f>Q19</f>
        <v>公共配套设施</v>
      </c>
      <c r="AA19" s="1811">
        <f t="shared" si="3"/>
        <v>1</v>
      </c>
      <c r="AB19" s="1811">
        <f t="shared" si="4"/>
        <v>1</v>
      </c>
      <c r="AC19" s="1811">
        <f t="shared" si="5"/>
        <v>1</v>
      </c>
    </row>
    <row r="20" spans="1:29" ht="15">
      <c r="A20" s="428"/>
      <c r="B20" s="456"/>
      <c r="C20" s="447" t="s">
        <v>3437</v>
      </c>
      <c r="D20" s="448"/>
      <c r="E20" s="447" t="s">
        <v>3437</v>
      </c>
      <c r="F20" s="448"/>
      <c r="G20" s="447" t="s">
        <v>3437</v>
      </c>
      <c r="H20" s="448"/>
      <c r="I20" s="447" t="s">
        <v>3437</v>
      </c>
      <c r="J20" s="448"/>
      <c r="K20" s="2603"/>
      <c r="L20" s="1140"/>
      <c r="M20" s="1131"/>
      <c r="N20" s="1131"/>
      <c r="O20" s="1131"/>
      <c r="P20" s="3229"/>
      <c r="Q20" s="1810"/>
      <c r="R20" s="774"/>
      <c r="S20" s="775"/>
      <c r="T20" s="774"/>
      <c r="U20" s="775"/>
      <c r="V20" s="774"/>
      <c r="W20" s="775"/>
      <c r="X20" s="1813"/>
      <c r="Y20" s="3231"/>
      <c r="Z20" s="1814"/>
      <c r="AA20" s="1811">
        <v>1</v>
      </c>
      <c r="AB20" s="1811">
        <v>1</v>
      </c>
      <c r="AC20" s="1811">
        <v>1</v>
      </c>
    </row>
    <row r="21" spans="1:29" ht="27.6">
      <c r="A21" s="428"/>
      <c r="B21" s="1384"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5" t="s">
        <v>3438</v>
      </c>
      <c r="D22" s="448"/>
      <c r="E22" s="2605" t="s">
        <v>3438</v>
      </c>
      <c r="F22" s="448"/>
      <c r="G22" s="2605" t="s">
        <v>3438</v>
      </c>
      <c r="H22" s="448"/>
      <c r="I22" s="2605" t="s">
        <v>3438</v>
      </c>
      <c r="J22" s="448"/>
      <c r="K22" s="2609"/>
      <c r="L22" s="1140"/>
      <c r="M22" s="1131"/>
      <c r="N22" s="1131"/>
      <c r="O22" s="1131"/>
      <c r="P22" s="3229"/>
      <c r="Q22" s="1810"/>
      <c r="R22" s="774"/>
      <c r="S22" s="775"/>
      <c r="T22" s="774"/>
      <c r="U22" s="775"/>
      <c r="V22" s="774"/>
      <c r="W22" s="775"/>
      <c r="X22" s="1813"/>
      <c r="Y22" s="3231"/>
      <c r="Z22" s="1814"/>
      <c r="AA22" s="1811">
        <v>1</v>
      </c>
      <c r="AB22" s="1811">
        <v>1</v>
      </c>
      <c r="AC22" s="1811">
        <v>1</v>
      </c>
    </row>
    <row r="23" spans="1:29" ht="55.2">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29"/>
      <c r="Q23" s="1810" t="str">
        <f>B23</f>
        <v>自然及人文环境</v>
      </c>
      <c r="R23" s="774" t="s">
        <v>21</v>
      </c>
      <c r="S23" s="775">
        <f>F23</f>
        <v>100</v>
      </c>
      <c r="T23" s="774" t="s">
        <v>21</v>
      </c>
      <c r="U23" s="775">
        <f>H23</f>
        <v>100</v>
      </c>
      <c r="V23" s="774" t="s">
        <v>21</v>
      </c>
      <c r="W23" s="775">
        <f>J23</f>
        <v>100</v>
      </c>
      <c r="X23" s="1813"/>
      <c r="Y23" s="3231"/>
      <c r="Z23" s="1814" t="str">
        <f>Q23</f>
        <v>自然及人文环境</v>
      </c>
      <c r="AA23" s="1811">
        <f>D23/F23</f>
        <v>1</v>
      </c>
      <c r="AB23" s="1811">
        <f>D23/H23</f>
        <v>1</v>
      </c>
      <c r="AC23" s="1811">
        <f>D23/J23</f>
        <v>1</v>
      </c>
    </row>
    <row r="24" spans="1:29" ht="15">
      <c r="A24" s="428"/>
      <c r="B24" s="456"/>
      <c r="C24" s="447" t="s">
        <v>3437</v>
      </c>
      <c r="D24" s="448"/>
      <c r="E24" s="447" t="s">
        <v>3437</v>
      </c>
      <c r="F24" s="448"/>
      <c r="G24" s="447" t="s">
        <v>3437</v>
      </c>
      <c r="H24" s="448"/>
      <c r="I24" s="447" t="s">
        <v>3437</v>
      </c>
      <c r="J24" s="448"/>
      <c r="K24" s="2603"/>
      <c r="L24" s="1140"/>
      <c r="M24" s="1131"/>
      <c r="N24" s="1131"/>
      <c r="O24" s="1131"/>
      <c r="P24" s="3229"/>
      <c r="Q24" s="1810"/>
      <c r="R24" s="774"/>
      <c r="S24" s="775"/>
      <c r="T24" s="774"/>
      <c r="U24" s="775"/>
      <c r="V24" s="774"/>
      <c r="W24" s="775"/>
      <c r="X24" s="1813"/>
      <c r="Y24" s="3231"/>
      <c r="Z24" s="1814"/>
      <c r="AA24" s="1811">
        <v>1</v>
      </c>
      <c r="AB24" s="1811">
        <v>1</v>
      </c>
      <c r="AC24" s="1811">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1"/>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29"/>
      <c r="Q26" s="1810" t="str">
        <f t="shared" si="11"/>
        <v>朝向</v>
      </c>
      <c r="R26" s="774" t="s">
        <v>21</v>
      </c>
      <c r="S26" s="775">
        <f t="shared" si="12"/>
        <v>100</v>
      </c>
      <c r="T26" s="774" t="s">
        <v>21</v>
      </c>
      <c r="U26" s="775">
        <f t="shared" si="13"/>
        <v>100</v>
      </c>
      <c r="V26" s="774" t="s">
        <v>21</v>
      </c>
      <c r="W26" s="775">
        <f t="shared" si="14"/>
        <v>100</v>
      </c>
      <c r="X26" s="1813"/>
      <c r="Y26" s="323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1795">
        <f t="shared" si="11"/>
        <v>111</v>
      </c>
      <c r="R27" s="770" t="s">
        <v>21</v>
      </c>
      <c r="S27" s="771">
        <f t="shared" si="12"/>
        <v>100</v>
      </c>
      <c r="T27" s="770" t="s">
        <v>21</v>
      </c>
      <c r="U27" s="771">
        <f t="shared" si="13"/>
        <v>100</v>
      </c>
      <c r="V27" s="770" t="s">
        <v>21</v>
      </c>
      <c r="W27" s="771">
        <f t="shared" si="14"/>
        <v>100</v>
      </c>
      <c r="X27" s="772"/>
      <c r="Y27" s="323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1810">
        <f t="shared" si="11"/>
        <v>111</v>
      </c>
      <c r="R28" s="774" t="s">
        <v>21</v>
      </c>
      <c r="S28" s="775">
        <f t="shared" si="12"/>
        <v>100</v>
      </c>
      <c r="T28" s="774" t="s">
        <v>21</v>
      </c>
      <c r="U28" s="775">
        <f t="shared" si="13"/>
        <v>100</v>
      </c>
      <c r="V28" s="774" t="s">
        <v>21</v>
      </c>
      <c r="W28" s="775">
        <f t="shared" si="14"/>
        <v>100</v>
      </c>
      <c r="X28" s="1813"/>
      <c r="Y28" s="323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1810">
        <f t="shared" si="11"/>
        <v>111</v>
      </c>
      <c r="R29" s="774" t="s">
        <v>21</v>
      </c>
      <c r="S29" s="775">
        <f t="shared" si="12"/>
        <v>100</v>
      </c>
      <c r="T29" s="774" t="s">
        <v>21</v>
      </c>
      <c r="U29" s="775">
        <f t="shared" si="13"/>
        <v>100</v>
      </c>
      <c r="V29" s="774" t="s">
        <v>21</v>
      </c>
      <c r="W29" s="775">
        <f t="shared" si="14"/>
        <v>100</v>
      </c>
      <c r="X29" s="1813"/>
      <c r="Y29" s="323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1810">
        <f t="shared" si="11"/>
        <v>111</v>
      </c>
      <c r="R30" s="774" t="s">
        <v>21</v>
      </c>
      <c r="S30" s="775">
        <f t="shared" si="12"/>
        <v>100</v>
      </c>
      <c r="T30" s="774" t="s">
        <v>21</v>
      </c>
      <c r="U30" s="775">
        <f t="shared" si="13"/>
        <v>100</v>
      </c>
      <c r="V30" s="774" t="s">
        <v>21</v>
      </c>
      <c r="W30" s="775">
        <f t="shared" si="14"/>
        <v>100</v>
      </c>
      <c r="X30" s="1813"/>
      <c r="Y30" s="3231"/>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1810">
        <f t="shared" si="11"/>
        <v>111</v>
      </c>
      <c r="R31" s="774" t="s">
        <v>21</v>
      </c>
      <c r="S31" s="775">
        <f t="shared" si="12"/>
        <v>100</v>
      </c>
      <c r="T31" s="774" t="s">
        <v>21</v>
      </c>
      <c r="U31" s="775">
        <f t="shared" si="13"/>
        <v>100</v>
      </c>
      <c r="V31" s="774" t="s">
        <v>21</v>
      </c>
      <c r="W31" s="775">
        <f t="shared" si="14"/>
        <v>100</v>
      </c>
      <c r="X31" s="1813"/>
      <c r="Y31" s="3231"/>
      <c r="Z31" s="1814">
        <f t="shared" si="18"/>
        <v>111</v>
      </c>
      <c r="AA31" s="1811">
        <f t="shared" si="15"/>
        <v>1</v>
      </c>
      <c r="AB31" s="1811">
        <f t="shared" si="16"/>
        <v>1</v>
      </c>
      <c r="AC31" s="1811">
        <f t="shared" si="17"/>
        <v>1</v>
      </c>
    </row>
    <row r="32" spans="1:29" ht="15">
      <c r="A32" s="440" t="s">
        <v>2560</v>
      </c>
      <c r="B32" s="71" t="s">
        <v>2561</v>
      </c>
      <c r="C32" s="2614" t="s">
        <v>3086</v>
      </c>
      <c r="D32" s="467">
        <v>100</v>
      </c>
      <c r="E32" s="2614" t="s">
        <v>3086</v>
      </c>
      <c r="F32" s="461">
        <f>SUMIF(100:100,E32,101:101)-SUMIF(100:100,C32,101:101)+100</f>
        <v>100</v>
      </c>
      <c r="G32" s="2614" t="s">
        <v>3086</v>
      </c>
      <c r="H32" s="467">
        <f>SUMIF(100:100,G32,101:101)-SUMIF(100:100,C32,101:101)+100</f>
        <v>100</v>
      </c>
      <c r="I32" s="2614" t="s">
        <v>3086</v>
      </c>
      <c r="J32" s="435">
        <f>SUMIF(100:100,I32,101:101)-SUMIF(100:100,C32,101:101)+100</f>
        <v>100</v>
      </c>
      <c r="K32" s="426">
        <v>5</v>
      </c>
      <c r="L32" s="1140"/>
      <c r="M32" s="1131"/>
      <c r="N32" s="1131"/>
      <c r="O32" s="1131"/>
      <c r="P32" s="3232" t="s">
        <v>2562</v>
      </c>
      <c r="Q32" s="1810" t="str">
        <f t="shared" si="11"/>
        <v>建筑类型</v>
      </c>
      <c r="R32" s="774" t="s">
        <v>21</v>
      </c>
      <c r="S32" s="775">
        <f t="shared" si="12"/>
        <v>100</v>
      </c>
      <c r="T32" s="774" t="s">
        <v>21</v>
      </c>
      <c r="U32" s="775">
        <f t="shared" si="13"/>
        <v>100</v>
      </c>
      <c r="V32" s="774" t="s">
        <v>21</v>
      </c>
      <c r="W32" s="775">
        <f t="shared" si="14"/>
        <v>100</v>
      </c>
      <c r="X32" s="1813"/>
      <c r="Y32" s="3235" t="s">
        <v>2562</v>
      </c>
      <c r="Z32" s="1814" t="str">
        <f t="shared" si="18"/>
        <v>建筑类型</v>
      </c>
      <c r="AA32" s="1811">
        <f t="shared" si="15"/>
        <v>1</v>
      </c>
      <c r="AB32" s="1811">
        <f t="shared" si="16"/>
        <v>1</v>
      </c>
      <c r="AC32" s="1811">
        <f t="shared" si="17"/>
        <v>1</v>
      </c>
    </row>
    <row r="33" spans="1:29" s="471" customFormat="1" ht="15">
      <c r="A33" s="468"/>
      <c r="B33" s="422" t="s">
        <v>2563</v>
      </c>
      <c r="C33" s="469">
        <f>'数据-基础表'!C14</f>
        <v>116624.16</v>
      </c>
      <c r="D33" s="136">
        <v>100</v>
      </c>
      <c r="E33" s="2968">
        <v>220000</v>
      </c>
      <c r="F33" s="425">
        <f>LOOKUP(E33,103:103,104:104)-LOOKUP(C33,103:103,104:104)+100</f>
        <v>104</v>
      </c>
      <c r="G33" s="469">
        <v>202958.97</v>
      </c>
      <c r="H33" s="136">
        <f>LOOKUP(G33,103:103,104:104)-LOOKUP(C33,103:103,104:104)+100</f>
        <v>104</v>
      </c>
      <c r="I33" s="469">
        <v>179000</v>
      </c>
      <c r="J33" s="136">
        <f>LOOKUP(I33,103:103,104:104)-LOOKUP(C33,103:103,104:104)+100</f>
        <v>102</v>
      </c>
      <c r="K33" s="2598"/>
      <c r="L33" s="1138"/>
      <c r="M33" s="1141"/>
      <c r="N33" s="1141"/>
      <c r="O33" s="1141"/>
      <c r="P33" s="3233"/>
      <c r="Q33" s="776" t="str">
        <f t="shared" si="11"/>
        <v>项目建筑规模</v>
      </c>
      <c r="R33" s="777" t="s">
        <v>21</v>
      </c>
      <c r="S33" s="778">
        <f t="shared" si="12"/>
        <v>104</v>
      </c>
      <c r="T33" s="777" t="s">
        <v>21</v>
      </c>
      <c r="U33" s="778">
        <f t="shared" si="13"/>
        <v>104</v>
      </c>
      <c r="V33" s="777" t="s">
        <v>21</v>
      </c>
      <c r="W33" s="778">
        <f t="shared" si="14"/>
        <v>102</v>
      </c>
      <c r="X33" s="779"/>
      <c r="Y33" s="3235"/>
      <c r="Z33" s="780" t="str">
        <f t="shared" si="18"/>
        <v>项目建筑规模</v>
      </c>
      <c r="AA33" s="1811">
        <f t="shared" si="15"/>
        <v>0.96153846153846156</v>
      </c>
      <c r="AB33" s="1811">
        <f t="shared" si="16"/>
        <v>0.96153846153846156</v>
      </c>
      <c r="AC33" s="1811">
        <f t="shared" si="17"/>
        <v>0.98039215686274506</v>
      </c>
    </row>
    <row r="34" spans="1:29" ht="15">
      <c r="A34" s="472"/>
      <c r="B34" s="422" t="s">
        <v>2564</v>
      </c>
      <c r="C34" s="2615" t="s">
        <v>3469</v>
      </c>
      <c r="D34" s="435">
        <v>100</v>
      </c>
      <c r="E34" s="2615" t="s">
        <v>3469</v>
      </c>
      <c r="F34" s="461">
        <f>SUMIF(105:105,E34,106:106)-SUMIF(105:105,C34,106:106)+100</f>
        <v>100</v>
      </c>
      <c r="G34" s="2615" t="s">
        <v>3469</v>
      </c>
      <c r="H34" s="435">
        <f>SUMIF(105:105,G34,106:106)-SUMIF(105:105,C34,106:106)+100</f>
        <v>100</v>
      </c>
      <c r="I34" s="2615" t="s">
        <v>3469</v>
      </c>
      <c r="J34" s="435">
        <f>SUMIF(105:105,I34,106:106)-SUMIF(105:105,C34,106:106)+100</f>
        <v>100</v>
      </c>
      <c r="K34" s="426">
        <v>1</v>
      </c>
      <c r="L34" s="1140"/>
      <c r="M34" s="1131"/>
      <c r="N34" s="1131"/>
      <c r="O34" s="1131"/>
      <c r="P34" s="3233"/>
      <c r="Q34" s="1810" t="str">
        <f t="shared" si="11"/>
        <v>建筑结构</v>
      </c>
      <c r="R34" s="774" t="s">
        <v>21</v>
      </c>
      <c r="S34" s="775">
        <f t="shared" si="12"/>
        <v>100</v>
      </c>
      <c r="T34" s="774" t="s">
        <v>21</v>
      </c>
      <c r="U34" s="775">
        <f t="shared" si="13"/>
        <v>100</v>
      </c>
      <c r="V34" s="774" t="s">
        <v>21</v>
      </c>
      <c r="W34" s="775">
        <f t="shared" si="14"/>
        <v>100</v>
      </c>
      <c r="X34" s="1813"/>
      <c r="Y34" s="3235"/>
      <c r="Z34" s="1814" t="str">
        <f t="shared" si="18"/>
        <v>建筑结构</v>
      </c>
      <c r="AA34" s="1811">
        <f t="shared" si="15"/>
        <v>1</v>
      </c>
      <c r="AB34" s="1811">
        <f t="shared" si="16"/>
        <v>1</v>
      </c>
      <c r="AC34" s="1811">
        <f t="shared" si="17"/>
        <v>1</v>
      </c>
    </row>
    <row r="35" spans="1:29" ht="15">
      <c r="A35" s="472"/>
      <c r="B35" s="422" t="s">
        <v>2565</v>
      </c>
      <c r="C35" s="2610" t="s">
        <v>3436</v>
      </c>
      <c r="D35" s="435">
        <v>100</v>
      </c>
      <c r="E35" s="2610" t="s">
        <v>3436</v>
      </c>
      <c r="F35" s="461">
        <f>SUMIF(107:107,E35,108:108)-SUMIF(107:107,C35,108:108)+100</f>
        <v>100</v>
      </c>
      <c r="G35" s="2610" t="s">
        <v>3436</v>
      </c>
      <c r="H35" s="435">
        <f>SUMIF(107:107,G35,108:108)-SUMIF(107:107,C35,108:108)+100</f>
        <v>100</v>
      </c>
      <c r="I35" s="2610" t="s">
        <v>3436</v>
      </c>
      <c r="J35" s="435">
        <f>SUMIF(107:107,I35,108:108)-SUMIF(107:107,C35,108:108)+100</f>
        <v>100</v>
      </c>
      <c r="K35" s="426">
        <v>1</v>
      </c>
      <c r="L35" s="1140"/>
      <c r="M35" s="1131"/>
      <c r="N35" s="1131"/>
      <c r="O35" s="1131"/>
      <c r="P35" s="3233"/>
      <c r="Q35" s="1810" t="str">
        <f t="shared" si="11"/>
        <v>建筑品质</v>
      </c>
      <c r="R35" s="774" t="s">
        <v>21</v>
      </c>
      <c r="S35" s="775">
        <f t="shared" si="12"/>
        <v>100</v>
      </c>
      <c r="T35" s="774" t="s">
        <v>21</v>
      </c>
      <c r="U35" s="775">
        <f t="shared" si="13"/>
        <v>100</v>
      </c>
      <c r="V35" s="774" t="s">
        <v>21</v>
      </c>
      <c r="W35" s="775">
        <f t="shared" si="14"/>
        <v>100</v>
      </c>
      <c r="X35" s="1813"/>
      <c r="Y35" s="3235"/>
      <c r="Z35" s="1814" t="str">
        <f t="shared" si="18"/>
        <v>建筑品质</v>
      </c>
      <c r="AA35" s="1811">
        <f t="shared" si="15"/>
        <v>1</v>
      </c>
      <c r="AB35" s="1811">
        <f t="shared" si="16"/>
        <v>1</v>
      </c>
      <c r="AC35" s="1811">
        <f t="shared" si="17"/>
        <v>1</v>
      </c>
    </row>
    <row r="36" spans="1:29" ht="15">
      <c r="A36" s="472"/>
      <c r="B36" s="422" t="s">
        <v>2566</v>
      </c>
      <c r="C36" s="2610" t="s">
        <v>3477</v>
      </c>
      <c r="D36" s="435">
        <v>100</v>
      </c>
      <c r="E36" s="2610" t="s">
        <v>3477</v>
      </c>
      <c r="F36" s="461">
        <f>SUMIF(109:109,E36,110:110)-SUMIF(109:109,C36,110:110)+100</f>
        <v>100</v>
      </c>
      <c r="G36" s="2610" t="s">
        <v>3477</v>
      </c>
      <c r="H36" s="435">
        <f>SUMIF(109:109,G36,110:110)-SUMIF(109:109,C36,110:110)+100</f>
        <v>100</v>
      </c>
      <c r="I36" s="2610" t="s">
        <v>3477</v>
      </c>
      <c r="J36" s="435">
        <f>SUMIF(109:109,I36,110:110)-SUMIF(109:109,C36,110:110)+100</f>
        <v>100</v>
      </c>
      <c r="K36" s="426">
        <v>2</v>
      </c>
      <c r="L36" s="1140"/>
      <c r="M36" s="1131"/>
      <c r="N36" s="1131"/>
      <c r="O36" s="1131"/>
      <c r="P36" s="3233"/>
      <c r="Q36" s="1810" t="str">
        <f t="shared" si="11"/>
        <v>公共部分装修</v>
      </c>
      <c r="R36" s="774" t="s">
        <v>21</v>
      </c>
      <c r="S36" s="775">
        <f t="shared" si="12"/>
        <v>100</v>
      </c>
      <c r="T36" s="774" t="s">
        <v>21</v>
      </c>
      <c r="U36" s="775">
        <f t="shared" si="13"/>
        <v>100</v>
      </c>
      <c r="V36" s="774" t="s">
        <v>21</v>
      </c>
      <c r="W36" s="775">
        <f t="shared" si="14"/>
        <v>100</v>
      </c>
      <c r="X36" s="1813"/>
      <c r="Y36" s="3235"/>
      <c r="Z36" s="1814" t="str">
        <f t="shared" si="18"/>
        <v>公共部分装修</v>
      </c>
      <c r="AA36" s="1811">
        <f t="shared" si="15"/>
        <v>1</v>
      </c>
      <c r="AB36" s="1811">
        <f t="shared" si="16"/>
        <v>1</v>
      </c>
      <c r="AC36" s="1811">
        <f t="shared" si="17"/>
        <v>1</v>
      </c>
    </row>
    <row r="37" spans="1:29" s="117" customFormat="1" ht="15">
      <c r="A37" s="473"/>
      <c r="B37" s="422" t="s">
        <v>2567</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1795" t="str">
        <f t="shared" si="11"/>
        <v>成新度</v>
      </c>
      <c r="R37" s="770" t="s">
        <v>21</v>
      </c>
      <c r="S37" s="771">
        <f t="shared" si="12"/>
        <v>100</v>
      </c>
      <c r="T37" s="770" t="s">
        <v>21</v>
      </c>
      <c r="U37" s="771">
        <f t="shared" si="13"/>
        <v>100</v>
      </c>
      <c r="V37" s="770" t="s">
        <v>21</v>
      </c>
      <c r="W37" s="771">
        <f t="shared" si="14"/>
        <v>100</v>
      </c>
      <c r="X37" s="772"/>
      <c r="Y37" s="3235"/>
      <c r="Z37" s="55" t="str">
        <f t="shared" si="18"/>
        <v>成新度</v>
      </c>
      <c r="AA37" s="773">
        <f t="shared" si="15"/>
        <v>1</v>
      </c>
      <c r="AB37" s="773">
        <f t="shared" si="16"/>
        <v>1</v>
      </c>
      <c r="AC37" s="773">
        <f t="shared" si="17"/>
        <v>1</v>
      </c>
    </row>
    <row r="38" spans="1:29" ht="15">
      <c r="A38" s="472"/>
      <c r="B38" s="422" t="s">
        <v>2568</v>
      </c>
      <c r="C38" s="2610" t="s">
        <v>3436</v>
      </c>
      <c r="D38" s="435">
        <v>100</v>
      </c>
      <c r="E38" s="2610" t="s">
        <v>3436</v>
      </c>
      <c r="F38" s="461">
        <f>SUMIF(114:114,E38,115:115)-SUMIF(114:114,C38,115:115)+100</f>
        <v>100</v>
      </c>
      <c r="G38" s="2610" t="s">
        <v>3436</v>
      </c>
      <c r="H38" s="435">
        <f>SUMIF(114:114,G38,115:115)-SUMIF(114:114,C38,115:115)+100</f>
        <v>100</v>
      </c>
      <c r="I38" s="2610" t="s">
        <v>3436</v>
      </c>
      <c r="J38" s="435">
        <f>SUMIF(114:114,I38,115:115)-SUMIF(114:114,C38,115:115)+100</f>
        <v>100</v>
      </c>
      <c r="K38" s="426">
        <v>1</v>
      </c>
      <c r="L38" s="1140"/>
      <c r="M38" s="1131"/>
      <c r="N38" s="1131"/>
      <c r="O38" s="1131"/>
      <c r="P38" s="3233" t="s">
        <v>2562</v>
      </c>
      <c r="Q38" s="1810" t="str">
        <f t="shared" si="11"/>
        <v>物业管理</v>
      </c>
      <c r="R38" s="774" t="s">
        <v>21</v>
      </c>
      <c r="S38" s="775">
        <f t="shared" si="12"/>
        <v>100</v>
      </c>
      <c r="T38" s="774" t="s">
        <v>21</v>
      </c>
      <c r="U38" s="775">
        <f t="shared" si="13"/>
        <v>100</v>
      </c>
      <c r="V38" s="774" t="s">
        <v>21</v>
      </c>
      <c r="W38" s="775">
        <f t="shared" si="14"/>
        <v>100</v>
      </c>
      <c r="X38" s="1813"/>
      <c r="Y38" s="3235" t="s">
        <v>2562</v>
      </c>
      <c r="Z38" s="1814" t="str">
        <f t="shared" si="18"/>
        <v>物业管理</v>
      </c>
      <c r="AA38" s="1811">
        <f t="shared" si="15"/>
        <v>1</v>
      </c>
      <c r="AB38" s="1811">
        <f t="shared" si="16"/>
        <v>1</v>
      </c>
      <c r="AC38" s="1811">
        <f t="shared" si="17"/>
        <v>1</v>
      </c>
    </row>
    <row r="39" spans="1:29" ht="15">
      <c r="A39" s="472"/>
      <c r="B39" s="422" t="s">
        <v>2569</v>
      </c>
      <c r="C39" s="2605" t="s">
        <v>3438</v>
      </c>
      <c r="D39" s="435">
        <v>100</v>
      </c>
      <c r="E39" s="2605" t="s">
        <v>3438</v>
      </c>
      <c r="F39" s="461">
        <f>SUMIF(116:116,E39,117:117)-SUMIF(116:116,C39,117:117)+100</f>
        <v>100</v>
      </c>
      <c r="G39" s="2605" t="s">
        <v>3438</v>
      </c>
      <c r="H39" s="435">
        <f>SUMIF(116:116,G39,117:117)-SUMIF(116:116,C39,117:117)+100</f>
        <v>100</v>
      </c>
      <c r="I39" s="2605" t="s">
        <v>3438</v>
      </c>
      <c r="J39" s="435">
        <f>SUMIF(116:116,I39,117:117)-SUMIF(116:116,C39,117:117)+100</f>
        <v>100</v>
      </c>
      <c r="K39" s="426">
        <v>1</v>
      </c>
      <c r="L39" s="1140"/>
      <c r="M39" s="1131"/>
      <c r="N39" s="1131"/>
      <c r="O39" s="1131"/>
      <c r="P39" s="3233"/>
      <c r="Q39" s="1810" t="str">
        <f t="shared" si="11"/>
        <v>市政基础设施</v>
      </c>
      <c r="R39" s="774" t="s">
        <v>21</v>
      </c>
      <c r="S39" s="775">
        <f t="shared" si="12"/>
        <v>100</v>
      </c>
      <c r="T39" s="774" t="s">
        <v>21</v>
      </c>
      <c r="U39" s="775">
        <f t="shared" si="13"/>
        <v>100</v>
      </c>
      <c r="V39" s="774" t="s">
        <v>21</v>
      </c>
      <c r="W39" s="775">
        <f t="shared" si="14"/>
        <v>100</v>
      </c>
      <c r="X39" s="1813"/>
      <c r="Y39" s="3235"/>
      <c r="Z39" s="1814" t="str">
        <f t="shared" si="18"/>
        <v>市政基础设施</v>
      </c>
      <c r="AA39" s="1811">
        <f t="shared" si="15"/>
        <v>1</v>
      </c>
      <c r="AB39" s="1811">
        <f t="shared" si="16"/>
        <v>1</v>
      </c>
      <c r="AC39" s="1811">
        <f t="shared" si="17"/>
        <v>1</v>
      </c>
    </row>
    <row r="40" spans="1:29" ht="15">
      <c r="A40" s="472"/>
      <c r="B40" s="422" t="s">
        <v>2570</v>
      </c>
      <c r="C40" s="2610" t="s">
        <v>3483</v>
      </c>
      <c r="D40" s="435">
        <v>100</v>
      </c>
      <c r="E40" s="2610" t="s">
        <v>3483</v>
      </c>
      <c r="F40" s="461">
        <f>SUMIF(118:118,E40,119:119)-SUMIF(118:118,C40,119:119)+100</f>
        <v>100</v>
      </c>
      <c r="G40" s="2610" t="s">
        <v>3483</v>
      </c>
      <c r="H40" s="435">
        <f>SUMIF(118:118,G40,119:119)-SUMIF(118:118,C40,119:119)+100</f>
        <v>100</v>
      </c>
      <c r="I40" s="2610" t="s">
        <v>3483</v>
      </c>
      <c r="J40" s="435">
        <f>SUMIF(118:118,I40,119:119)-SUMIF(118:118,C40,119:119)+100</f>
        <v>100</v>
      </c>
      <c r="K40" s="426">
        <v>2</v>
      </c>
      <c r="L40" s="1140"/>
      <c r="M40" s="1131"/>
      <c r="N40" s="1131"/>
      <c r="O40" s="1131"/>
      <c r="P40" s="3233"/>
      <c r="Q40" s="1810" t="str">
        <f t="shared" si="11"/>
        <v>房型</v>
      </c>
      <c r="R40" s="774" t="s">
        <v>21</v>
      </c>
      <c r="S40" s="775">
        <f t="shared" si="12"/>
        <v>100</v>
      </c>
      <c r="T40" s="774" t="s">
        <v>21</v>
      </c>
      <c r="U40" s="775">
        <f t="shared" si="13"/>
        <v>100</v>
      </c>
      <c r="V40" s="774" t="s">
        <v>21</v>
      </c>
      <c r="W40" s="775">
        <f t="shared" si="14"/>
        <v>100</v>
      </c>
      <c r="X40" s="1813"/>
      <c r="Y40" s="3235"/>
      <c r="Z40" s="1814" t="str">
        <f t="shared" si="18"/>
        <v>房型</v>
      </c>
      <c r="AA40" s="1811">
        <f t="shared" si="15"/>
        <v>1</v>
      </c>
      <c r="AB40" s="1811">
        <f t="shared" si="16"/>
        <v>1</v>
      </c>
      <c r="AC40" s="1811">
        <f t="shared" si="17"/>
        <v>1</v>
      </c>
    </row>
    <row r="41" spans="1:29" s="471" customFormat="1" ht="28.8">
      <c r="A41" s="468"/>
      <c r="B41" s="422" t="s">
        <v>2571</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8"/>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1811">
        <f t="shared" si="15"/>
        <v>1</v>
      </c>
      <c r="AB41" s="1811">
        <f t="shared" si="16"/>
        <v>1</v>
      </c>
      <c r="AC41" s="1811">
        <f t="shared" si="17"/>
        <v>1</v>
      </c>
    </row>
    <row r="42" spans="1:29" ht="15">
      <c r="A42" s="472"/>
      <c r="B42" s="422" t="s">
        <v>2572</v>
      </c>
      <c r="C42" s="2610" t="s">
        <v>3481</v>
      </c>
      <c r="D42" s="435">
        <v>100</v>
      </c>
      <c r="E42" s="2610" t="s">
        <v>3481</v>
      </c>
      <c r="F42" s="461">
        <f>SUMIF(122:122,E42,123:123)-SUMIF(122:122,C42,123:123)+100</f>
        <v>100</v>
      </c>
      <c r="G42" s="2610" t="s">
        <v>3481</v>
      </c>
      <c r="H42" s="435">
        <f>SUMIF(122:122,G42,123:123)-SUMIF(122:122,C42,123:123)+100</f>
        <v>100</v>
      </c>
      <c r="I42" s="2610" t="s">
        <v>3481</v>
      </c>
      <c r="J42" s="435">
        <f>SUMIF(122:122,I42,123:123)-SUMIF(122:122,C42,123:123)+100</f>
        <v>100</v>
      </c>
      <c r="K42" s="426">
        <v>2</v>
      </c>
      <c r="L42" s="1140"/>
      <c r="M42" s="1131"/>
      <c r="N42" s="1131"/>
      <c r="O42" s="1131"/>
      <c r="P42" s="3233"/>
      <c r="Q42" s="1810" t="str">
        <f t="shared" si="11"/>
        <v>内部装修</v>
      </c>
      <c r="R42" s="774" t="s">
        <v>21</v>
      </c>
      <c r="S42" s="775">
        <f t="shared" si="12"/>
        <v>100</v>
      </c>
      <c r="T42" s="774" t="s">
        <v>21</v>
      </c>
      <c r="U42" s="775">
        <f t="shared" si="13"/>
        <v>100</v>
      </c>
      <c r="V42" s="774" t="s">
        <v>21</v>
      </c>
      <c r="W42" s="775">
        <f t="shared" si="14"/>
        <v>100</v>
      </c>
      <c r="X42" s="1813"/>
      <c r="Y42" s="3235"/>
      <c r="Z42" s="1814" t="str">
        <f t="shared" si="18"/>
        <v>内部装修</v>
      </c>
      <c r="AA42" s="1811">
        <f t="shared" si="15"/>
        <v>1</v>
      </c>
      <c r="AB42" s="1811">
        <f t="shared" si="16"/>
        <v>1</v>
      </c>
      <c r="AC42" s="1811">
        <f t="shared" si="17"/>
        <v>1</v>
      </c>
    </row>
    <row r="43" spans="1:29" ht="28.8">
      <c r="A43" s="472"/>
      <c r="B43" s="422" t="s">
        <v>2573</v>
      </c>
      <c r="C43" s="2610" t="s">
        <v>3436</v>
      </c>
      <c r="D43" s="435">
        <v>100</v>
      </c>
      <c r="E43" s="2610" t="s">
        <v>3436</v>
      </c>
      <c r="F43" s="461">
        <f>SUMIF(124:124,E43,125:125)-SUMIF(124:124,C43,125:125)+100</f>
        <v>100</v>
      </c>
      <c r="G43" s="2610" t="s">
        <v>3436</v>
      </c>
      <c r="H43" s="435">
        <f>SUMIF(124:124,G43,125:125)-SUMIF(124:124,C43,125:125)+100</f>
        <v>100</v>
      </c>
      <c r="I43" s="2610" t="s">
        <v>3436</v>
      </c>
      <c r="J43" s="435">
        <f>SUMIF(124:124,I43,125:125)-SUMIF(124:124,C43,125:125)+100</f>
        <v>100</v>
      </c>
      <c r="K43" s="426">
        <v>1</v>
      </c>
      <c r="L43" s="1140"/>
      <c r="M43" s="1131"/>
      <c r="N43" s="1131"/>
      <c r="O43" s="1131"/>
      <c r="P43" s="3233"/>
      <c r="Q43" s="1810" t="str">
        <f t="shared" si="11"/>
        <v>内部装修维护情况</v>
      </c>
      <c r="R43" s="774" t="s">
        <v>21</v>
      </c>
      <c r="S43" s="775">
        <f t="shared" si="12"/>
        <v>100</v>
      </c>
      <c r="T43" s="774" t="s">
        <v>21</v>
      </c>
      <c r="U43" s="775">
        <f t="shared" si="13"/>
        <v>100</v>
      </c>
      <c r="V43" s="774" t="s">
        <v>21</v>
      </c>
      <c r="W43" s="775">
        <f t="shared" si="14"/>
        <v>100</v>
      </c>
      <c r="X43" s="1813"/>
      <c r="Y43" s="323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3"/>
      <c r="Q44" s="1795">
        <f t="shared" si="11"/>
        <v>111</v>
      </c>
      <c r="R44" s="770" t="s">
        <v>21</v>
      </c>
      <c r="S44" s="771">
        <f t="shared" si="12"/>
        <v>100</v>
      </c>
      <c r="T44" s="770" t="s">
        <v>21</v>
      </c>
      <c r="U44" s="771">
        <f t="shared" si="13"/>
        <v>100</v>
      </c>
      <c r="V44" s="770" t="s">
        <v>21</v>
      </c>
      <c r="W44" s="771">
        <f t="shared" si="14"/>
        <v>100</v>
      </c>
      <c r="X44" s="772"/>
      <c r="Y44" s="323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3"/>
      <c r="Q45" s="1810">
        <f t="shared" si="11"/>
        <v>111</v>
      </c>
      <c r="R45" s="774" t="s">
        <v>21</v>
      </c>
      <c r="S45" s="775">
        <f t="shared" si="12"/>
        <v>100</v>
      </c>
      <c r="T45" s="774" t="s">
        <v>21</v>
      </c>
      <c r="U45" s="775">
        <f t="shared" si="13"/>
        <v>100</v>
      </c>
      <c r="V45" s="774" t="s">
        <v>21</v>
      </c>
      <c r="W45" s="775">
        <f t="shared" si="14"/>
        <v>100</v>
      </c>
      <c r="X45" s="1813"/>
      <c r="Y45" s="3235"/>
      <c r="Z45" s="1814">
        <f t="shared" si="18"/>
        <v>111</v>
      </c>
      <c r="AA45" s="1811">
        <f t="shared" si="15"/>
        <v>1</v>
      </c>
      <c r="AB45" s="1811">
        <f t="shared" si="16"/>
        <v>1</v>
      </c>
      <c r="AC45" s="1811">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4"/>
      <c r="Q46" s="1810">
        <f t="shared" si="11"/>
        <v>111</v>
      </c>
      <c r="R46" s="774" t="s">
        <v>20</v>
      </c>
      <c r="S46" s="775">
        <f t="shared" si="12"/>
        <v>100</v>
      </c>
      <c r="T46" s="774" t="s">
        <v>20</v>
      </c>
      <c r="U46" s="775">
        <f t="shared" si="13"/>
        <v>100</v>
      </c>
      <c r="V46" s="774" t="s">
        <v>20</v>
      </c>
      <c r="W46" s="775">
        <f t="shared" si="14"/>
        <v>100</v>
      </c>
      <c r="X46" s="1813"/>
      <c r="Y46" s="3236"/>
      <c r="Z46" s="1814">
        <f t="shared" si="18"/>
        <v>111</v>
      </c>
      <c r="AA46" s="1811">
        <f t="shared" si="15"/>
        <v>1</v>
      </c>
      <c r="AB46" s="1811">
        <f t="shared" si="16"/>
        <v>1</v>
      </c>
      <c r="AC46" s="1811">
        <f t="shared" si="17"/>
        <v>1</v>
      </c>
    </row>
    <row r="47" spans="1:29" ht="14.4">
      <c r="A47" s="479" t="s">
        <v>2574</v>
      </c>
      <c r="B47" s="480"/>
      <c r="C47" s="1407" t="s">
        <v>19</v>
      </c>
      <c r="D47" s="1408"/>
      <c r="E47" s="1409">
        <v>24000</v>
      </c>
      <c r="F47" s="1410"/>
      <c r="G47" s="1411">
        <v>25000</v>
      </c>
      <c r="H47" s="1412"/>
      <c r="I47" s="1409">
        <v>25000</v>
      </c>
      <c r="J47" s="1412"/>
      <c r="K47" s="2616"/>
      <c r="L47" s="1143"/>
      <c r="M47" s="1144"/>
      <c r="N47" s="1131"/>
      <c r="O47" s="1144"/>
      <c r="P47" s="3237" t="str">
        <f>A47</f>
        <v>成交单价（元/平方米）</v>
      </c>
      <c r="Q47" s="3237"/>
      <c r="R47" s="3238">
        <f>E47</f>
        <v>24000</v>
      </c>
      <c r="S47" s="3238"/>
      <c r="T47" s="3238">
        <f>G47</f>
        <v>25000</v>
      </c>
      <c r="U47" s="3238"/>
      <c r="V47" s="3238">
        <f>I47</f>
        <v>25000</v>
      </c>
      <c r="W47" s="3238"/>
      <c r="X47" s="759"/>
      <c r="Y47" s="781"/>
      <c r="Z47" s="759"/>
      <c r="AA47" s="759"/>
      <c r="AB47" s="759"/>
      <c r="AC47" s="759"/>
    </row>
    <row r="48" spans="1:29" ht="15" thickBot="1">
      <c r="A48" s="486" t="s">
        <v>2575</v>
      </c>
      <c r="B48" s="487"/>
      <c r="C48" s="1413">
        <f>R49</f>
        <v>23913</v>
      </c>
      <c r="D48" s="1414"/>
      <c r="E48" s="1415">
        <f>R48</f>
        <v>23193</v>
      </c>
      <c r="F48" s="1415"/>
      <c r="G48" s="1413">
        <f>T48</f>
        <v>24159</v>
      </c>
      <c r="H48" s="1414"/>
      <c r="I48" s="1415">
        <f>V48</f>
        <v>24388</v>
      </c>
      <c r="J48" s="1414"/>
      <c r="K48" s="2617"/>
      <c r="L48" s="1143"/>
      <c r="M48" s="1144"/>
      <c r="N48" s="1144"/>
      <c r="O48" s="1144"/>
      <c r="P48" s="3237" t="str">
        <f>A48</f>
        <v>比较价值（元/平方米）</v>
      </c>
      <c r="Q48" s="3237"/>
      <c r="R48" s="3238">
        <f>IF(F1="售价",ROUND(PRODUCT(R47,AA7:AA46),0),ROUND(PRODUCT(R47,AA7:AA46),1))</f>
        <v>23193</v>
      </c>
      <c r="S48" s="3238"/>
      <c r="T48" s="3238">
        <f>IF(F1="售价",ROUND(PRODUCT(T47,AB7:AB46),0),ROUND(PRODUCT(T47,AB7:AB46),1))</f>
        <v>24159</v>
      </c>
      <c r="U48" s="3238"/>
      <c r="V48" s="3238">
        <f>IF(F1="售价",ROUND(PRODUCT(V47,AC7:AC46),0),ROUND(PRODUCT(V47,AC7:AC46),1))</f>
        <v>24388</v>
      </c>
      <c r="W48" s="3238"/>
      <c r="X48" s="759"/>
      <c r="Y48" s="759"/>
      <c r="Z48" s="759"/>
      <c r="AA48" s="759"/>
      <c r="AB48" s="759"/>
      <c r="AC48" s="759"/>
    </row>
    <row r="49" spans="1:29" ht="15" thickBot="1">
      <c r="A49" s="492" t="s">
        <v>2576</v>
      </c>
      <c r="B49" s="493"/>
      <c r="C49" s="1416">
        <f>R49</f>
        <v>23913</v>
      </c>
      <c r="D49" s="1417"/>
      <c r="E49" s="1417"/>
      <c r="F49" s="1417"/>
      <c r="G49" s="1417"/>
      <c r="H49" s="1417"/>
      <c r="I49" s="1417"/>
      <c r="J49" s="1417"/>
      <c r="K49" s="2618"/>
      <c r="L49" s="1143"/>
      <c r="M49" s="1144"/>
      <c r="N49" s="1144"/>
      <c r="O49" s="1144"/>
      <c r="P49" s="3239" t="str">
        <f>A49</f>
        <v>估价对象XX用房的比较价值（楼面单价，元/平方米）</v>
      </c>
      <c r="Q49" s="3240"/>
      <c r="R49" s="3241">
        <f>IF(F1="售价",ROUND(AVERAGE(R48:V48),0),ROUND(AVERAGE(R48:V48),1))</f>
        <v>23913</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f>IF(E47&lt;E48,E48/E47-1,E47/E48-1)</f>
        <v>3.4794981244340883E-2</v>
      </c>
      <c r="F52" s="500" t="str">
        <f>IF(OR(E52&gt;=0.3,E52&lt;=-0.3),"超过30%","")</f>
        <v/>
      </c>
      <c r="G52" s="499">
        <f>IF(G47&lt;G48,G48/G47-1,G47/G48-1)</f>
        <v>3.4811043503456318E-2</v>
      </c>
      <c r="H52" s="500" t="str">
        <f>IF(OR(G52&gt;=0.3,G52&lt;=-0.3),"超过30%","")</f>
        <v/>
      </c>
      <c r="I52" s="499">
        <f>IF(I47&lt;I48,I48/I47-1,I47/I48-1)</f>
        <v>2.5094308676398169E-2</v>
      </c>
      <c r="J52" s="500" t="str">
        <f>IF(OR(I52&gt;=0.3,I52&lt;=-0.3),"超过30%","")</f>
        <v/>
      </c>
      <c r="K52" s="1105"/>
      <c r="L52" s="1106"/>
      <c r="M52" s="1144"/>
      <c r="N52" s="1144"/>
      <c r="O52" s="1144"/>
    </row>
    <row r="53" spans="1:29" ht="13.5" customHeight="1">
      <c r="A53" s="1144"/>
      <c r="B53" s="1144"/>
      <c r="C53" s="497" t="s">
        <v>2578</v>
      </c>
      <c r="D53" s="501"/>
      <c r="E53" s="499">
        <f>IF(E48&lt;G48,G48/E48-1,E48/G48-1)</f>
        <v>4.165049799508469E-2</v>
      </c>
      <c r="F53" s="500" t="str">
        <f>IF(OR(E53&gt;=0.2,E53&lt;=-0.2),"超过20%","")</f>
        <v/>
      </c>
      <c r="G53" s="499">
        <f>IF(G48&lt;I48,I48/G48-1,G48/I48-1)</f>
        <v>9.4788691584917206E-3</v>
      </c>
      <c r="H53" s="500" t="str">
        <f>IF(OR(G53&gt;=0.2,G53&lt;=-0.2),"超过20%","")</f>
        <v/>
      </c>
      <c r="I53" s="499">
        <f>IF(I48&lt;E48,E48/I48-1,I48/E48-1)</f>
        <v>5.1524166774457703E-2</v>
      </c>
      <c r="J53" s="500" t="str">
        <f>IF(OR(I53&gt;=0.2,I53&lt;=-0.2),"超过20%","")</f>
        <v/>
      </c>
      <c r="K53" s="1105"/>
      <c r="L53" s="1106"/>
      <c r="M53" s="1144"/>
      <c r="N53" s="1144"/>
      <c r="O53" s="1144"/>
    </row>
    <row r="54" spans="1:29" s="502" customFormat="1" ht="13.5" customHeight="1">
      <c r="A54" s="1145"/>
      <c r="B54" s="1145"/>
      <c r="C54" s="497" t="s">
        <v>2579</v>
      </c>
      <c r="D54" s="501"/>
      <c r="E54" s="499">
        <f>IF(E47&lt;G47,G47/E47-1,E47/G47-1)</f>
        <v>4.1666666666666741E-2</v>
      </c>
      <c r="F54" s="500" t="str">
        <f>IF(OR(E54&gt;=0.3,E54&lt;=-0.3),"超过30%","")</f>
        <v/>
      </c>
      <c r="G54" s="499">
        <f>IF(G47&lt;I47,I47/G47-1,G47/I47-1)</f>
        <v>0</v>
      </c>
      <c r="H54" s="500" t="str">
        <f>IF(OR(G54&gt;=0.3,G54&lt;=-0.3),"超过30%","")</f>
        <v/>
      </c>
      <c r="I54" s="499">
        <f>IF(I47&lt;E47,E47/I47-1,I47/E47-1)</f>
        <v>4.1666666666666741E-2</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1"/>
      <c r="Q57" s="504"/>
    </row>
    <row r="58" spans="1:29" s="508" customFormat="1" ht="14.4">
      <c r="A58" s="505" t="s">
        <v>2581</v>
      </c>
      <c r="B58" s="506"/>
      <c r="C58" s="1576" t="str">
        <f>YEAR(C7)&amp;"-"&amp;MONTH(C7)</f>
        <v>2018-9</v>
      </c>
      <c r="D58" s="1575">
        <f>EDATE(C58,-1)</f>
        <v>43313</v>
      </c>
      <c r="E58" s="1575">
        <f>EDATE(D58,-1)</f>
        <v>43282</v>
      </c>
      <c r="F58" s="1575">
        <f t="shared" ref="F58:O58" si="19">EDATE(E58,-1)</f>
        <v>43252</v>
      </c>
      <c r="G58" s="1575">
        <f t="shared" si="19"/>
        <v>43221</v>
      </c>
      <c r="H58" s="1575">
        <f t="shared" si="19"/>
        <v>43191</v>
      </c>
      <c r="I58" s="1575">
        <f t="shared" si="19"/>
        <v>43160</v>
      </c>
      <c r="J58" s="1575">
        <f t="shared" si="19"/>
        <v>43132</v>
      </c>
      <c r="K58" s="1575">
        <f t="shared" si="19"/>
        <v>43101</v>
      </c>
      <c r="L58" s="1575">
        <f t="shared" si="19"/>
        <v>43070</v>
      </c>
      <c r="M58" s="1575">
        <f t="shared" si="19"/>
        <v>43040</v>
      </c>
      <c r="N58" s="1575">
        <f t="shared" si="19"/>
        <v>43009</v>
      </c>
      <c r="O58" s="1575">
        <f t="shared" si="19"/>
        <v>42979</v>
      </c>
      <c r="P58" s="1570"/>
    </row>
    <row r="59" spans="1:29" s="117" customFormat="1">
      <c r="A59" s="509"/>
      <c r="B59" s="2622"/>
      <c r="C59" s="1573">
        <v>100</v>
      </c>
      <c r="D59" s="511">
        <v>99.5</v>
      </c>
      <c r="E59" s="512">
        <v>99.5</v>
      </c>
      <c r="F59" s="512">
        <v>99.5</v>
      </c>
      <c r="G59" s="512">
        <v>99</v>
      </c>
      <c r="H59" s="512">
        <v>99</v>
      </c>
      <c r="I59" s="512">
        <v>99</v>
      </c>
      <c r="J59" s="512"/>
      <c r="K59" s="512"/>
      <c r="L59" s="512"/>
      <c r="M59" s="513"/>
      <c r="N59" s="512"/>
      <c r="O59" s="513"/>
      <c r="P59" s="2623"/>
    </row>
    <row r="60" spans="1:29" s="117" customFormat="1" ht="15" thickBot="1">
      <c r="A60" s="515" t="s">
        <v>2582</v>
      </c>
      <c r="B60" s="516"/>
      <c r="C60" s="517"/>
      <c r="D60" s="518"/>
      <c r="E60" s="518"/>
      <c r="F60" s="518"/>
      <c r="G60" s="518"/>
      <c r="H60" s="518"/>
      <c r="I60" s="518"/>
      <c r="J60" s="518"/>
      <c r="K60" s="518"/>
      <c r="L60" s="518"/>
      <c r="M60" s="519"/>
      <c r="N60" s="518"/>
      <c r="O60" s="519"/>
      <c r="P60" s="2623"/>
      <c r="Q60" s="504"/>
    </row>
    <row r="61" spans="1:29" s="117" customFormat="1" ht="14.4">
      <c r="A61" s="521" t="s">
        <v>2583</v>
      </c>
      <c r="B61" s="510"/>
      <c r="C61" s="522" t="s">
        <v>2584</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2585</v>
      </c>
      <c r="B63" s="528" t="s">
        <v>2551</v>
      </c>
      <c r="C63" s="529" t="str">
        <f>C9</f>
        <v>住宅</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5"/>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5"/>
      <c r="Q66" s="504"/>
    </row>
    <row r="67" spans="1:17" ht="15" thickTop="1">
      <c r="A67" s="534"/>
      <c r="B67" s="546" t="s">
        <v>2555</v>
      </c>
      <c r="C67" s="547" t="str">
        <f>C68&amp;"（含）"&amp;"-"&amp;D68</f>
        <v>0.5（含）-1</v>
      </c>
      <c r="D67" s="547" t="str">
        <f t="shared" ref="D67:L67" si="21">D68&amp;"（含）"&amp;"-"&amp;E68</f>
        <v>1（含）-1.5</v>
      </c>
      <c r="E67" s="547" t="str">
        <f t="shared" si="21"/>
        <v>1.5（含）-2</v>
      </c>
      <c r="F67" s="547" t="str">
        <f t="shared" si="21"/>
        <v>2（含）-2.5</v>
      </c>
      <c r="G67" s="547" t="str">
        <f t="shared" si="21"/>
        <v>2.5（含）-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c r="A68" s="534"/>
      <c r="B68" s="548"/>
      <c r="C68" s="549">
        <v>0.5</v>
      </c>
      <c r="D68" s="549">
        <v>1</v>
      </c>
      <c r="E68" s="549">
        <v>1.5</v>
      </c>
      <c r="F68" s="549">
        <v>2</v>
      </c>
      <c r="G68" s="549">
        <v>2.5</v>
      </c>
      <c r="H68" s="549"/>
      <c r="I68" s="549"/>
      <c r="J68" s="549"/>
      <c r="K68" s="550"/>
      <c r="L68" s="551"/>
      <c r="M68" s="552"/>
      <c r="N68" s="1152"/>
      <c r="O68" s="1152"/>
      <c r="P68" s="2625"/>
      <c r="Q68" s="504"/>
    </row>
    <row r="69" spans="1:17" ht="14.4" thickBot="1">
      <c r="A69" s="534"/>
      <c r="B69" s="535"/>
      <c r="C69" s="544">
        <v>100</v>
      </c>
      <c r="D69" s="544">
        <f t="shared" ref="D69:M69" si="22">C69-$K11</f>
        <v>99.5</v>
      </c>
      <c r="E69" s="544">
        <f t="shared" si="22"/>
        <v>99</v>
      </c>
      <c r="F69" s="544">
        <f t="shared" si="22"/>
        <v>98.5</v>
      </c>
      <c r="G69" s="544">
        <f t="shared" si="22"/>
        <v>98</v>
      </c>
      <c r="H69" s="544">
        <f t="shared" si="22"/>
        <v>97.5</v>
      </c>
      <c r="I69" s="544">
        <f t="shared" si="22"/>
        <v>97</v>
      </c>
      <c r="J69" s="544">
        <f t="shared" si="22"/>
        <v>96.5</v>
      </c>
      <c r="K69" s="544">
        <f t="shared" si="22"/>
        <v>96</v>
      </c>
      <c r="L69" s="544">
        <f t="shared" si="22"/>
        <v>95.5</v>
      </c>
      <c r="M69" s="545">
        <f t="shared" si="22"/>
        <v>95</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60"/>
      <c r="E73" s="560"/>
      <c r="F73" s="560"/>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5"/>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3"/>
      <c r="O79" s="1153"/>
      <c r="P79" s="2625"/>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 thickTop="1">
      <c r="A82" s="534"/>
      <c r="B82" s="546" t="s">
        <v>2096</v>
      </c>
      <c r="C82" s="539" t="s">
        <v>2601</v>
      </c>
      <c r="D82" s="539" t="s">
        <v>2602</v>
      </c>
      <c r="E82" s="539" t="s">
        <v>2603</v>
      </c>
      <c r="F82" s="539" t="s">
        <v>2604</v>
      </c>
      <c r="G82" s="539" t="s">
        <v>2605</v>
      </c>
      <c r="H82" s="539"/>
      <c r="I82" s="539"/>
      <c r="J82" s="539"/>
      <c r="K82" s="539"/>
      <c r="L82" s="539"/>
      <c r="M82" s="1382"/>
      <c r="N82" s="1153"/>
      <c r="O82" s="1153"/>
      <c r="P82" s="2625"/>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5"/>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 thickTop="1">
      <c r="A86" s="579"/>
      <c r="B86" s="538" t="s">
        <v>2607</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 thickTop="1">
      <c r="A88" s="579"/>
      <c r="B88" s="538" t="s">
        <v>2608</v>
      </c>
      <c r="C88" s="554"/>
      <c r="D88" s="554"/>
      <c r="E88" s="554"/>
      <c r="F88" s="2630"/>
      <c r="G88" s="554"/>
      <c r="H88" s="554"/>
      <c r="I88" s="554"/>
      <c r="J88" s="554"/>
      <c r="K88" s="554"/>
      <c r="L88" s="554"/>
      <c r="M88" s="581"/>
      <c r="N88" s="1151"/>
      <c r="O88" s="1151"/>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4.4" thickTop="1">
      <c r="A90" s="553"/>
      <c r="B90" s="538">
        <f>B27</f>
        <v>111</v>
      </c>
      <c r="C90" s="554"/>
      <c r="D90" s="554"/>
      <c r="E90" s="554"/>
      <c r="F90" s="554"/>
      <c r="G90" s="554"/>
      <c r="H90" s="555"/>
      <c r="I90" s="555"/>
      <c r="J90" s="555"/>
      <c r="K90" s="555"/>
      <c r="L90" s="556"/>
      <c r="M90" s="557"/>
      <c r="N90" s="1154"/>
      <c r="O90" s="1154"/>
      <c r="P90" s="2626"/>
      <c r="Q90" s="559"/>
    </row>
    <row r="91" spans="1:17" s="471" customFormat="1" ht="14.4" thickBot="1">
      <c r="A91" s="553"/>
      <c r="B91" s="543"/>
      <c r="C91" s="560"/>
      <c r="D91" s="560"/>
      <c r="E91" s="560"/>
      <c r="F91" s="560"/>
      <c r="G91" s="560"/>
      <c r="H91" s="562"/>
      <c r="I91" s="562"/>
      <c r="J91" s="562"/>
      <c r="K91" s="562"/>
      <c r="L91" s="562"/>
      <c r="M91" s="563"/>
      <c r="N91" s="1154"/>
      <c r="O91" s="1154"/>
      <c r="P91" s="2626"/>
      <c r="Q91" s="559"/>
    </row>
    <row r="92" spans="1:17" ht="14.4" thickTop="1">
      <c r="A92" s="534"/>
      <c r="B92" s="538">
        <f>B28</f>
        <v>111</v>
      </c>
      <c r="C92" s="554"/>
      <c r="D92" s="554"/>
      <c r="E92" s="554"/>
      <c r="F92" s="554"/>
      <c r="G92" s="583"/>
      <c r="H92" s="583"/>
      <c r="I92" s="583"/>
      <c r="J92" s="583"/>
      <c r="K92" s="584"/>
      <c r="L92" s="585"/>
      <c r="M92" s="586"/>
      <c r="N92" s="1152"/>
      <c r="O92" s="1152"/>
      <c r="P92" s="2625"/>
      <c r="Q92" s="504"/>
    </row>
    <row r="93" spans="1:17" ht="14.4" thickBot="1">
      <c r="A93" s="534"/>
      <c r="B93" s="543"/>
      <c r="C93" s="560"/>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60"/>
      <c r="E95" s="560"/>
      <c r="F95" s="560"/>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70"/>
      <c r="D97" s="570"/>
      <c r="E97" s="570"/>
      <c r="F97" s="570"/>
      <c r="G97" s="536"/>
      <c r="H97" s="536"/>
      <c r="I97" s="536"/>
      <c r="J97" s="536"/>
      <c r="K97" s="536"/>
      <c r="L97" s="536"/>
      <c r="M97" s="537"/>
      <c r="N97" s="1153"/>
      <c r="O97" s="1153"/>
      <c r="P97" s="2625"/>
      <c r="Q97" s="504"/>
    </row>
    <row r="98" spans="1:17" ht="14.4" thickTop="1">
      <c r="A98" s="534"/>
      <c r="B98" s="546">
        <f>B31</f>
        <v>111</v>
      </c>
      <c r="C98" s="587"/>
      <c r="D98" s="587"/>
      <c r="E98" s="587"/>
      <c r="F98" s="587"/>
      <c r="G98" s="587"/>
      <c r="H98" s="587"/>
      <c r="I98" s="587"/>
      <c r="J98" s="587"/>
      <c r="K98" s="588"/>
      <c r="L98" s="589"/>
      <c r="M98" s="590"/>
      <c r="N98" s="1152"/>
      <c r="O98" s="1152"/>
      <c r="P98" s="2625"/>
      <c r="Q98" s="504"/>
    </row>
    <row r="99" spans="1:17" ht="14.4" thickBot="1">
      <c r="A99" s="2631"/>
      <c r="B99" s="569"/>
      <c r="C99" s="591"/>
      <c r="D99" s="591"/>
      <c r="E99" s="591"/>
      <c r="F99" s="591"/>
      <c r="G99" s="591"/>
      <c r="H99" s="591"/>
      <c r="I99" s="591"/>
      <c r="J99" s="591"/>
      <c r="K99" s="591"/>
      <c r="L99" s="591"/>
      <c r="M99" s="592"/>
      <c r="N99" s="1153"/>
      <c r="O99" s="1153"/>
      <c r="P99" s="2625"/>
      <c r="Q99" s="504"/>
    </row>
    <row r="100" spans="1:17" ht="14.4">
      <c r="A100" s="527" t="s">
        <v>2560</v>
      </c>
      <c r="B100" s="528" t="s">
        <v>2609</v>
      </c>
      <c r="C100" s="2948" t="s">
        <v>3466</v>
      </c>
      <c r="D100" s="2948" t="s">
        <v>3467</v>
      </c>
      <c r="E100" s="2948" t="s">
        <v>3468</v>
      </c>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5"/>
      <c r="Q101" s="504"/>
    </row>
    <row r="102" spans="1:17" ht="28.2" thickTop="1">
      <c r="A102" s="534"/>
      <c r="B102" s="538" t="s">
        <v>2610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50000</v>
      </c>
      <c r="E103" s="595">
        <v>100000</v>
      </c>
      <c r="F103" s="595">
        <v>150000</v>
      </c>
      <c r="G103" s="595">
        <v>200000</v>
      </c>
      <c r="H103" s="595">
        <v>250000</v>
      </c>
      <c r="I103" s="595">
        <v>300000</v>
      </c>
      <c r="J103" s="596"/>
      <c r="K103" s="596"/>
      <c r="L103" s="597"/>
      <c r="M103" s="598"/>
      <c r="N103" s="1154"/>
      <c r="O103" s="1154"/>
      <c r="P103" s="2626"/>
      <c r="Q103" s="559"/>
    </row>
    <row r="104" spans="1:17" s="471" customFormat="1" ht="14.4" thickBot="1">
      <c r="A104" s="553"/>
      <c r="B104" s="543"/>
      <c r="C104" s="560">
        <v>100</v>
      </c>
      <c r="D104" s="536">
        <f>C104+2</f>
        <v>102</v>
      </c>
      <c r="E104" s="536">
        <f t="shared" ref="E104:I104" si="28">D104+2</f>
        <v>104</v>
      </c>
      <c r="F104" s="536">
        <f t="shared" si="28"/>
        <v>106</v>
      </c>
      <c r="G104" s="536">
        <f t="shared" si="28"/>
        <v>108</v>
      </c>
      <c r="H104" s="536">
        <f t="shared" si="28"/>
        <v>110</v>
      </c>
      <c r="I104" s="536">
        <f t="shared" si="28"/>
        <v>112</v>
      </c>
      <c r="J104" s="536"/>
      <c r="K104" s="536"/>
      <c r="L104" s="536"/>
      <c r="M104" s="536"/>
      <c r="N104" s="1153"/>
      <c r="O104" s="1153"/>
      <c r="P104" s="2626"/>
      <c r="Q104" s="559"/>
    </row>
    <row r="105" spans="1:17" ht="15" thickTop="1">
      <c r="A105" s="599"/>
      <c r="B105" s="538" t="s">
        <v>2611</v>
      </c>
      <c r="C105" s="2965" t="s">
        <v>3470</v>
      </c>
      <c r="D105" s="2965" t="s">
        <v>3471</v>
      </c>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5"/>
      <c r="Q106" s="504"/>
    </row>
    <row r="107" spans="1:17" ht="15" thickTop="1">
      <c r="A107" s="599"/>
      <c r="B107" s="538" t="s">
        <v>2612</v>
      </c>
      <c r="C107" s="2966" t="s">
        <v>3472</v>
      </c>
      <c r="D107" s="2966" t="s">
        <v>3473</v>
      </c>
      <c r="E107" s="2966" t="s">
        <v>3474</v>
      </c>
      <c r="F107" s="2966" t="s">
        <v>3475</v>
      </c>
      <c r="G107" s="2966" t="s">
        <v>3476</v>
      </c>
      <c r="H107" s="583"/>
      <c r="I107" s="583"/>
      <c r="J107" s="583"/>
      <c r="K107" s="584"/>
      <c r="L107" s="585"/>
      <c r="M107" s="586"/>
      <c r="N107" s="1152"/>
      <c r="O107" s="1152"/>
      <c r="P107" s="2625"/>
      <c r="Q107" s="504"/>
    </row>
    <row r="108" spans="1:17" ht="14.4"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3"/>
      <c r="O108" s="1153"/>
      <c r="P108" s="2625"/>
      <c r="Q108" s="504"/>
    </row>
    <row r="109" spans="1:17" ht="15" thickTop="1">
      <c r="A109" s="599"/>
      <c r="B109" s="538" t="s">
        <v>2613</v>
      </c>
      <c r="C109" s="2965" t="s">
        <v>3478</v>
      </c>
      <c r="D109" s="2965" t="s">
        <v>3479</v>
      </c>
      <c r="E109" s="2965" t="s">
        <v>3480</v>
      </c>
      <c r="F109" s="2966" t="s">
        <v>3482</v>
      </c>
      <c r="G109" s="583"/>
      <c r="H109" s="583"/>
      <c r="I109" s="583"/>
      <c r="J109" s="583"/>
      <c r="K109" s="584"/>
      <c r="L109" s="585"/>
      <c r="M109" s="586"/>
      <c r="N109" s="1152"/>
      <c r="O109" s="1152"/>
      <c r="P109" s="2625"/>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6"/>
      <c r="Q113" s="559"/>
    </row>
    <row r="114" spans="1:17" ht="15" thickTop="1">
      <c r="A114" s="599"/>
      <c r="B114" s="538" t="s">
        <v>2614</v>
      </c>
      <c r="C114" s="2966" t="s">
        <v>3472</v>
      </c>
      <c r="D114" s="2966" t="s">
        <v>3473</v>
      </c>
      <c r="E114" s="2966" t="s">
        <v>3474</v>
      </c>
      <c r="F114" s="2966" t="s">
        <v>3475</v>
      </c>
      <c r="G114" s="2966" t="s">
        <v>3476</v>
      </c>
      <c r="H114" s="583"/>
      <c r="I114" s="583"/>
      <c r="J114" s="583"/>
      <c r="K114" s="584"/>
      <c r="L114" s="585"/>
      <c r="M114" s="586"/>
      <c r="N114" s="1152"/>
      <c r="O114" s="1152"/>
      <c r="P114" s="2625"/>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5"/>
      <c r="Q115" s="504"/>
    </row>
    <row r="116" spans="1:17" ht="15" thickTop="1">
      <c r="A116" s="599"/>
      <c r="B116" s="538" t="s">
        <v>2615</v>
      </c>
      <c r="C116" s="2965" t="s">
        <v>3485</v>
      </c>
      <c r="D116" s="2965" t="s">
        <v>3486</v>
      </c>
      <c r="E116" s="2965" t="s">
        <v>3487</v>
      </c>
      <c r="F116" s="2965" t="s">
        <v>3488</v>
      </c>
      <c r="G116" s="554"/>
      <c r="H116" s="583"/>
      <c r="I116" s="583"/>
      <c r="J116" s="583"/>
      <c r="K116" s="584"/>
      <c r="L116" s="585"/>
      <c r="M116" s="586"/>
      <c r="N116" s="1152"/>
      <c r="O116" s="1152"/>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5"/>
      <c r="Q117" s="504"/>
    </row>
    <row r="118" spans="1:17" ht="15" thickTop="1">
      <c r="A118" s="599"/>
      <c r="B118" s="538" t="s">
        <v>2616</v>
      </c>
      <c r="C118" s="2966" t="s">
        <v>3484</v>
      </c>
      <c r="D118" s="583"/>
      <c r="E118" s="583"/>
      <c r="F118" s="583"/>
      <c r="G118" s="583"/>
      <c r="H118" s="583"/>
      <c r="I118" s="583"/>
      <c r="J118" s="583"/>
      <c r="K118" s="584"/>
      <c r="L118" s="585"/>
      <c r="M118" s="586"/>
      <c r="N118" s="1152"/>
      <c r="O118" s="1152"/>
      <c r="P118" s="2625"/>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5"/>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6"/>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2617</v>
      </c>
      <c r="C122" s="2965" t="s">
        <v>3478</v>
      </c>
      <c r="D122" s="2965" t="s">
        <v>3479</v>
      </c>
      <c r="E122" s="2965" t="s">
        <v>3480</v>
      </c>
      <c r="F122" s="2966" t="s">
        <v>3482</v>
      </c>
      <c r="G122" s="583"/>
      <c r="H122" s="583"/>
      <c r="I122" s="583"/>
      <c r="J122" s="583"/>
      <c r="K122" s="584"/>
      <c r="L122" s="585"/>
      <c r="M122" s="586"/>
      <c r="N122" s="1152"/>
      <c r="O122" s="1152"/>
      <c r="P122" s="2625"/>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5"/>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60"/>
      <c r="E129" s="560"/>
      <c r="F129" s="560"/>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2619</v>
      </c>
    </row>
    <row r="137" spans="1:17" ht="15">
      <c r="B137" s="2633" t="s">
        <v>2620</v>
      </c>
      <c r="C137" s="2634"/>
      <c r="D137" s="2634"/>
      <c r="E137" s="2634"/>
      <c r="F137" s="2634"/>
      <c r="G137" s="2635"/>
      <c r="H137" s="2636"/>
      <c r="I137" s="2637" t="s">
        <v>2621</v>
      </c>
      <c r="J137" s="2634"/>
      <c r="K137" s="2638"/>
    </row>
    <row r="138" spans="1:17" ht="15">
      <c r="B138" s="2639"/>
      <c r="C138" s="146" t="s">
        <v>2622</v>
      </c>
      <c r="D138" s="146" t="s">
        <v>2623</v>
      </c>
      <c r="E138" s="2640" t="s">
        <v>2624</v>
      </c>
      <c r="F138" s="2641" t="s">
        <v>2625</v>
      </c>
      <c r="G138" s="146" t="s">
        <v>2623</v>
      </c>
      <c r="H138" s="147" t="s">
        <v>2624</v>
      </c>
      <c r="I138" s="2642"/>
      <c r="J138" s="146" t="s">
        <v>2626</v>
      </c>
      <c r="K138" s="147" t="s">
        <v>2627</v>
      </c>
    </row>
    <row r="139" spans="1:17" ht="15">
      <c r="B139" s="1084">
        <v>6</v>
      </c>
      <c r="C139" s="1085">
        <v>96</v>
      </c>
      <c r="D139" s="2643" t="s">
        <v>2628</v>
      </c>
      <c r="E139" s="1086">
        <v>100</v>
      </c>
      <c r="F139" s="1087">
        <v>102.5</v>
      </c>
      <c r="G139" s="2643" t="s">
        <v>2628</v>
      </c>
      <c r="H139" s="1088">
        <v>105</v>
      </c>
      <c r="I139" s="2644" t="s">
        <v>2629</v>
      </c>
      <c r="J139" s="1085">
        <v>20</v>
      </c>
      <c r="K139" s="1089">
        <f>C145/(J139-2)</f>
        <v>4.0555555555555553E-3</v>
      </c>
    </row>
    <row r="140" spans="1:17" ht="15">
      <c r="B140" s="1090">
        <v>5</v>
      </c>
      <c r="C140" s="1091">
        <v>100</v>
      </c>
      <c r="D140" s="1091"/>
      <c r="E140" s="1092"/>
      <c r="F140" s="1093">
        <v>102</v>
      </c>
      <c r="G140" s="1091"/>
      <c r="H140" s="1094"/>
      <c r="I140" s="2645" t="s">
        <v>2630</v>
      </c>
      <c r="J140" s="315">
        <f>ROUNDUP((J139-1)/2,0)</f>
        <v>10</v>
      </c>
      <c r="K140" s="1095">
        <v>100</v>
      </c>
    </row>
    <row r="141" spans="1:17" ht="15">
      <c r="B141" s="1090">
        <v>4</v>
      </c>
      <c r="C141" s="1091">
        <v>102</v>
      </c>
      <c r="D141" s="1091"/>
      <c r="E141" s="1092"/>
      <c r="F141" s="1093">
        <v>101.5</v>
      </c>
      <c r="G141" s="1091"/>
      <c r="H141" s="1094"/>
      <c r="I141" s="2645" t="s">
        <v>2631</v>
      </c>
      <c r="J141" s="315">
        <v>1</v>
      </c>
      <c r="K141" s="1096">
        <f>ROUND(100+(J141-J140)*K139*100,1)</f>
        <v>96.4</v>
      </c>
    </row>
    <row r="142" spans="1:17" ht="15">
      <c r="B142" s="1090">
        <v>3</v>
      </c>
      <c r="C142" s="1091">
        <v>103</v>
      </c>
      <c r="D142" s="1091"/>
      <c r="E142" s="1092"/>
      <c r="F142" s="1093">
        <v>101</v>
      </c>
      <c r="G142" s="1091"/>
      <c r="H142" s="1094"/>
      <c r="I142" s="2645" t="s">
        <v>2632</v>
      </c>
      <c r="J142" s="315">
        <f>J139</f>
        <v>20</v>
      </c>
      <c r="K142" s="1097">
        <v>95</v>
      </c>
    </row>
    <row r="143" spans="1:17" ht="15">
      <c r="B143" s="1090">
        <v>2</v>
      </c>
      <c r="C143" s="1091">
        <v>100</v>
      </c>
      <c r="D143" s="1091"/>
      <c r="E143" s="1092"/>
      <c r="F143" s="1093">
        <v>100.5</v>
      </c>
      <c r="G143" s="1091"/>
      <c r="H143" s="1094"/>
      <c r="I143" s="2645" t="s">
        <v>2633</v>
      </c>
      <c r="J143" s="1091">
        <v>15</v>
      </c>
      <c r="K143" s="1096">
        <f>ROUND(100+(J143-J140)*K139*100,1)</f>
        <v>102</v>
      </c>
    </row>
    <row r="144" spans="1:17" ht="15">
      <c r="B144" s="1090">
        <v>1</v>
      </c>
      <c r="C144" s="1091">
        <v>98</v>
      </c>
      <c r="D144" s="2646" t="s">
        <v>2634</v>
      </c>
      <c r="E144" s="1092">
        <v>102</v>
      </c>
      <c r="F144" s="1098">
        <v>100</v>
      </c>
      <c r="G144" s="2646" t="s">
        <v>2634</v>
      </c>
      <c r="H144" s="1094">
        <v>105</v>
      </c>
      <c r="I144" s="2645" t="s">
        <v>2633</v>
      </c>
      <c r="J144" s="1091">
        <v>18</v>
      </c>
      <c r="K144" s="1096">
        <f>ROUND(100+(J144-J140)*K139*100,1)</f>
        <v>103.2</v>
      </c>
    </row>
    <row r="145" spans="2:11" ht="16.2" thickBot="1">
      <c r="B145" s="2647" t="s">
        <v>2635</v>
      </c>
      <c r="C145" s="1099">
        <f>ROUND(MAX(C139:C144)/MIN(C139:C144)-1,3)</f>
        <v>7.2999999999999995E-2</v>
      </c>
      <c r="D145" s="1100"/>
      <c r="E145" s="1100"/>
      <c r="F145" s="2648" t="s">
        <v>2636</v>
      </c>
      <c r="G145" s="2649"/>
      <c r="H145" s="2650"/>
      <c r="I145" s="2651" t="s">
        <v>2633</v>
      </c>
      <c r="J145" s="1101">
        <v>8</v>
      </c>
      <c r="K145" s="1102">
        <f>ROUND(100+(J145-J140)*K139*100,1)</f>
        <v>99.2</v>
      </c>
    </row>
    <row r="147" spans="2:11" ht="14.4">
      <c r="B147" s="2632" t="s">
        <v>2637</v>
      </c>
    </row>
    <row r="148" spans="2:11" ht="14.4">
      <c r="B148" s="2632"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0" t="s">
        <v>2639</v>
      </c>
      <c r="C1" s="1634" t="s">
        <v>2527</v>
      </c>
      <c r="D1" s="1621"/>
      <c r="E1" s="2652"/>
      <c r="F1" s="2582"/>
      <c r="G1" s="1631" t="s">
        <v>2640</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2327</v>
      </c>
      <c r="B2" s="1418" t="e">
        <f ca="1">IF(C2="——",ROUND(C49*D3/10000,0),ROUND(C49*D3/10000,0)-D2)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2329</v>
      </c>
      <c r="B3" s="609" t="e">
        <f ca="1">IF(C2="——",C49,ROUND(B2*10000/D3,0))</f>
        <v>#DIV/0!</v>
      </c>
      <c r="C3" s="400" t="s">
        <v>2641</v>
      </c>
      <c r="D3" s="399">
        <f>IF(D1="",'数据-汇总表'!E3,SUMIF('数据-汇总表'!$C19:$C33,D1,'数据-汇总表'!$E19:$E33))</f>
        <v>86753.520000000164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223" t="s">
        <v>2645</v>
      </c>
      <c r="AC4" s="3198" t="s">
        <v>2646</v>
      </c>
    </row>
    <row r="5" spans="1:29">
      <c r="A5" s="404"/>
      <c r="B5" s="405"/>
      <c r="C5" s="3243" t="s">
        <v>2539</v>
      </c>
      <c r="D5" s="3216"/>
      <c r="E5" s="3242" t="s">
        <v>2540</v>
      </c>
      <c r="F5" s="3218"/>
      <c r="G5" s="3243" t="s">
        <v>2541</v>
      </c>
      <c r="H5" s="3216"/>
      <c r="I5" s="3243" t="s">
        <v>2542</v>
      </c>
      <c r="J5" s="3216"/>
      <c r="K5" s="610"/>
      <c r="L5" s="1130"/>
      <c r="M5" s="1131"/>
      <c r="N5" s="1131"/>
      <c r="O5" s="1131"/>
      <c r="P5" s="3207"/>
      <c r="Q5" s="3208"/>
      <c r="R5" s="3213"/>
      <c r="S5" s="3214"/>
      <c r="T5" s="3213"/>
      <c r="U5" s="3214"/>
      <c r="V5" s="3223"/>
      <c r="W5" s="3223"/>
      <c r="X5" s="1813"/>
      <c r="Y5" s="3213"/>
      <c r="Z5" s="3214"/>
      <c r="AA5" s="3199"/>
      <c r="AB5" s="3223"/>
      <c r="AC5" s="3199"/>
    </row>
    <row r="6" spans="1:29" ht="15" thickBot="1">
      <c r="A6" s="406"/>
      <c r="B6" s="407"/>
      <c r="C6" s="3244" t="s">
        <v>2543</v>
      </c>
      <c r="D6" s="3220"/>
      <c r="E6" s="3245" t="s">
        <v>2543</v>
      </c>
      <c r="F6" s="3246"/>
      <c r="G6" s="3244" t="s">
        <v>2543</v>
      </c>
      <c r="H6" s="3220"/>
      <c r="I6" s="3244" t="s">
        <v>2543</v>
      </c>
      <c r="J6" s="3220"/>
      <c r="K6" s="610" t="s">
        <v>2544</v>
      </c>
      <c r="L6" s="1130"/>
      <c r="M6" s="1131"/>
      <c r="N6" s="1131"/>
      <c r="O6" s="1131"/>
      <c r="P6" s="3209"/>
      <c r="Q6" s="3210"/>
      <c r="R6" s="3213"/>
      <c r="S6" s="3214"/>
      <c r="T6" s="3221"/>
      <c r="U6" s="3222"/>
      <c r="V6" s="3223"/>
      <c r="W6" s="3223"/>
      <c r="X6" s="1813"/>
      <c r="Y6" s="3221"/>
      <c r="Z6" s="3222"/>
      <c r="AA6" s="3200"/>
      <c r="AB6" s="3223"/>
      <c r="AC6" s="3200"/>
    </row>
    <row r="7" spans="1:29" s="117" customFormat="1" ht="15" thickBot="1">
      <c r="A7" s="408" t="s">
        <v>2545</v>
      </c>
      <c r="B7" s="409"/>
      <c r="C7" s="410">
        <f>'数据-取费表'!B2</f>
        <v>43356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4" t="s">
        <v>2546</v>
      </c>
      <c r="Q7" s="3225"/>
      <c r="R7" s="770" t="s">
        <v>17</v>
      </c>
      <c r="S7" s="771">
        <f t="shared" ref="S7:S15" si="0">F7</f>
        <v>0</v>
      </c>
      <c r="T7" s="770" t="s">
        <v>17</v>
      </c>
      <c r="U7" s="771">
        <f t="shared" ref="U7:U15" si="1">H7</f>
        <v>0</v>
      </c>
      <c r="V7" s="770" t="s">
        <v>17</v>
      </c>
      <c r="W7" s="771">
        <f t="shared" ref="W7:W15" si="2">J7</f>
        <v>0</v>
      </c>
      <c r="X7" s="772"/>
      <c r="Y7" s="3224" t="s">
        <v>2546</v>
      </c>
      <c r="Z7" s="3226"/>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4" t="s">
        <v>2549</v>
      </c>
      <c r="Q8" s="3226"/>
      <c r="R8" s="770" t="s">
        <v>17</v>
      </c>
      <c r="S8" s="771">
        <f t="shared" si="0"/>
        <v>0</v>
      </c>
      <c r="T8" s="770" t="s">
        <v>17</v>
      </c>
      <c r="U8" s="771">
        <f t="shared" si="1"/>
        <v>0</v>
      </c>
      <c r="V8" s="770" t="s">
        <v>17</v>
      </c>
      <c r="W8" s="771">
        <f t="shared" si="2"/>
        <v>0</v>
      </c>
      <c r="X8" s="772"/>
      <c r="Y8" s="3224" t="s">
        <v>2549</v>
      </c>
      <c r="Z8" s="3226"/>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7"/>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7"/>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2556</v>
      </c>
      <c r="B15" s="69" t="s">
        <v>2650</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2557</v>
      </c>
      <c r="Q15" s="1810" t="str">
        <f t="shared" si="6"/>
        <v>商业繁华度</v>
      </c>
      <c r="R15" s="774" t="s">
        <v>17</v>
      </c>
      <c r="S15" s="775">
        <f t="shared" si="0"/>
        <v>100</v>
      </c>
      <c r="T15" s="774" t="s">
        <v>17</v>
      </c>
      <c r="U15" s="775">
        <f t="shared" si="1"/>
        <v>100</v>
      </c>
      <c r="V15" s="774" t="s">
        <v>17</v>
      </c>
      <c r="W15" s="775">
        <f t="shared" si="2"/>
        <v>100</v>
      </c>
      <c r="X15" s="1813"/>
      <c r="Y15" s="3230"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9"/>
      <c r="Q16" s="1810"/>
      <c r="R16" s="774"/>
      <c r="S16" s="775"/>
      <c r="T16" s="774"/>
      <c r="U16" s="775"/>
      <c r="V16" s="774"/>
      <c r="W16" s="775"/>
      <c r="X16" s="1813"/>
      <c r="Y16" s="3231"/>
      <c r="Z16" s="1814"/>
      <c r="AA16" s="1811">
        <v>1</v>
      </c>
      <c r="AB16" s="1811">
        <v>1</v>
      </c>
      <c r="AC16" s="1811">
        <v>1</v>
      </c>
    </row>
    <row r="17" spans="1:29" ht="82.8">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229"/>
      <c r="Q18" s="1810"/>
      <c r="R18" s="774"/>
      <c r="S18" s="775"/>
      <c r="T18" s="774"/>
      <c r="U18" s="775"/>
      <c r="V18" s="774"/>
      <c r="W18" s="775"/>
      <c r="X18" s="1813"/>
      <c r="Y18" s="3231"/>
      <c r="Z18" s="1814"/>
      <c r="AA18" s="1811">
        <v>1</v>
      </c>
      <c r="AB18" s="1811">
        <v>1</v>
      </c>
      <c r="AC18" s="1811">
        <v>1</v>
      </c>
    </row>
    <row r="19" spans="1:29" ht="41.4">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229"/>
      <c r="Q20" s="1810"/>
      <c r="R20" s="774"/>
      <c r="S20" s="775"/>
      <c r="T20" s="774"/>
      <c r="U20" s="775"/>
      <c r="V20" s="774"/>
      <c r="W20" s="775"/>
      <c r="X20" s="1813"/>
      <c r="Y20" s="3231"/>
      <c r="Z20" s="1814"/>
      <c r="AA20" s="1811">
        <v>1</v>
      </c>
      <c r="AB20" s="1811">
        <v>1</v>
      </c>
      <c r="AC20" s="1811">
        <v>1</v>
      </c>
    </row>
    <row r="21" spans="1:29" ht="27.6">
      <c r="A21" s="428"/>
      <c r="B21" s="1384"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229"/>
      <c r="Q22" s="1810"/>
      <c r="R22" s="774"/>
      <c r="S22" s="775"/>
      <c r="T22" s="774"/>
      <c r="U22" s="775"/>
      <c r="V22" s="774"/>
      <c r="W22" s="775"/>
      <c r="X22" s="1813"/>
      <c r="Y22" s="3231"/>
      <c r="Z22" s="1814"/>
      <c r="AA22" s="1811">
        <v>1</v>
      </c>
      <c r="AB22" s="1811">
        <v>1</v>
      </c>
      <c r="AC22" s="1811">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10" t="str">
        <f>B23</f>
        <v>自然及人文环境</v>
      </c>
      <c r="R23" s="774" t="s">
        <v>17</v>
      </c>
      <c r="S23" s="775">
        <f>F23</f>
        <v>100</v>
      </c>
      <c r="T23" s="774" t="s">
        <v>17</v>
      </c>
      <c r="U23" s="775">
        <f>H23</f>
        <v>100</v>
      </c>
      <c r="V23" s="774" t="s">
        <v>17</v>
      </c>
      <c r="W23" s="775">
        <f>J23</f>
        <v>100</v>
      </c>
      <c r="X23" s="1813"/>
      <c r="Y23" s="3231"/>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229"/>
      <c r="Q24" s="1810"/>
      <c r="R24" s="774"/>
      <c r="S24" s="775"/>
      <c r="T24" s="774"/>
      <c r="U24" s="775"/>
      <c r="V24" s="774"/>
      <c r="W24" s="775"/>
      <c r="X24" s="1813"/>
      <c r="Y24" s="3231"/>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10" t="str">
        <f t="shared" ref="Q25:Q46" si="11">B25</f>
        <v>临街状况</v>
      </c>
      <c r="R25" s="774" t="s">
        <v>17</v>
      </c>
      <c r="S25" s="775">
        <f>F25</f>
        <v>100</v>
      </c>
      <c r="T25" s="774" t="s">
        <v>17</v>
      </c>
      <c r="U25" s="775">
        <f>H25</f>
        <v>100</v>
      </c>
      <c r="V25" s="774" t="s">
        <v>17</v>
      </c>
      <c r="W25" s="775">
        <f>J25</f>
        <v>100</v>
      </c>
      <c r="X25" s="1813"/>
      <c r="Y25" s="3231"/>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10" t="str">
        <f t="shared" si="11"/>
        <v>平面位置/可视性</v>
      </c>
      <c r="R26" s="774" t="s">
        <v>17</v>
      </c>
      <c r="S26" s="775">
        <f>F26</f>
        <v>100</v>
      </c>
      <c r="T26" s="774" t="s">
        <v>17</v>
      </c>
      <c r="U26" s="775">
        <f>H26</f>
        <v>100</v>
      </c>
      <c r="V26" s="774" t="s">
        <v>17</v>
      </c>
      <c r="W26" s="775">
        <f>J26</f>
        <v>100</v>
      </c>
      <c r="X26" s="1813"/>
      <c r="Y26" s="3231"/>
      <c r="Z26" s="1814" t="str">
        <f>Q26</f>
        <v>平面位置/可视性</v>
      </c>
      <c r="AA26" s="1811">
        <f t="shared" si="3"/>
        <v>1</v>
      </c>
      <c r="AB26" s="1811">
        <f t="shared" si="4"/>
        <v>1</v>
      </c>
      <c r="AC26" s="1811">
        <f t="shared" si="5"/>
        <v>1</v>
      </c>
    </row>
    <row r="27" spans="1:29" s="117" customFormat="1" ht="15">
      <c r="A27" s="431"/>
      <c r="B27" s="451" t="s">
        <v>2655</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229"/>
      <c r="Q27" s="1795" t="str">
        <f t="shared" si="11"/>
        <v>人流量</v>
      </c>
      <c r="R27" s="770" t="s">
        <v>17</v>
      </c>
      <c r="S27" s="771">
        <f>F27</f>
        <v>100</v>
      </c>
      <c r="T27" s="770" t="s">
        <v>17</v>
      </c>
      <c r="U27" s="771">
        <f>H27</f>
        <v>100</v>
      </c>
      <c r="V27" s="770" t="s">
        <v>17</v>
      </c>
      <c r="W27" s="771">
        <f>J27</f>
        <v>100</v>
      </c>
      <c r="X27" s="772"/>
      <c r="Y27" s="3231"/>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10">
        <f t="shared" si="11"/>
        <v>111</v>
      </c>
      <c r="R29" s="774" t="s">
        <v>17</v>
      </c>
      <c r="S29" s="775">
        <f t="shared" si="12"/>
        <v>100</v>
      </c>
      <c r="T29" s="774" t="s">
        <v>17</v>
      </c>
      <c r="U29" s="775">
        <f t="shared" si="13"/>
        <v>100</v>
      </c>
      <c r="V29" s="774" t="s">
        <v>17</v>
      </c>
      <c r="W29" s="775">
        <f t="shared" si="14"/>
        <v>100</v>
      </c>
      <c r="X29" s="1813"/>
      <c r="Y29" s="323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1811">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32" t="s">
        <v>2562</v>
      </c>
      <c r="Q32" s="1810" t="str">
        <f t="shared" si="11"/>
        <v>商业类型</v>
      </c>
      <c r="R32" s="774" t="s">
        <v>17</v>
      </c>
      <c r="S32" s="775">
        <f t="shared" si="12"/>
        <v>100</v>
      </c>
      <c r="T32" s="774" t="s">
        <v>17</v>
      </c>
      <c r="U32" s="775">
        <f t="shared" si="13"/>
        <v>100</v>
      </c>
      <c r="V32" s="774" t="s">
        <v>17</v>
      </c>
      <c r="W32" s="775">
        <f t="shared" si="14"/>
        <v>100</v>
      </c>
      <c r="X32" s="1813"/>
      <c r="Y32" s="3235"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35"/>
      <c r="Z33" s="780" t="str">
        <f t="shared" si="15"/>
        <v>项目建筑规模</v>
      </c>
      <c r="AA33" s="1811" t="e">
        <f t="shared" si="3"/>
        <v>#N/A</v>
      </c>
      <c r="AB33" s="1811" t="e">
        <f t="shared" si="4"/>
        <v>#N/A</v>
      </c>
      <c r="AC33" s="1811" t="e">
        <f t="shared" si="5"/>
        <v>#N/A</v>
      </c>
    </row>
    <row r="34" spans="1:29" ht="15">
      <c r="A34" s="472"/>
      <c r="B34" s="422" t="s">
        <v>2564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33"/>
      <c r="Q34" s="1810" t="str">
        <f t="shared" si="11"/>
        <v>建筑结构</v>
      </c>
      <c r="R34" s="774" t="s">
        <v>17</v>
      </c>
      <c r="S34" s="775">
        <f t="shared" si="12"/>
        <v>100</v>
      </c>
      <c r="T34" s="774" t="s">
        <v>17</v>
      </c>
      <c r="U34" s="775">
        <f t="shared" si="13"/>
        <v>100</v>
      </c>
      <c r="V34" s="774" t="s">
        <v>17</v>
      </c>
      <c r="W34" s="775">
        <f t="shared" si="14"/>
        <v>100</v>
      </c>
      <c r="X34" s="1813"/>
      <c r="Y34" s="3235"/>
      <c r="Z34" s="1814" t="str">
        <f t="shared" si="15"/>
        <v>建筑结构</v>
      </c>
      <c r="AA34" s="1811">
        <f t="shared" si="3"/>
        <v>1</v>
      </c>
      <c r="AB34" s="1811">
        <f t="shared" si="4"/>
        <v>1</v>
      </c>
      <c r="AC34" s="1811">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33"/>
      <c r="Q35" s="1810" t="str">
        <f t="shared" si="11"/>
        <v>公共部分装修</v>
      </c>
      <c r="R35" s="774" t="s">
        <v>17</v>
      </c>
      <c r="S35" s="775">
        <f t="shared" si="12"/>
        <v>100</v>
      </c>
      <c r="T35" s="774" t="s">
        <v>17</v>
      </c>
      <c r="U35" s="775">
        <f t="shared" si="13"/>
        <v>100</v>
      </c>
      <c r="V35" s="774" t="s">
        <v>17</v>
      </c>
      <c r="W35" s="775">
        <f t="shared" si="14"/>
        <v>100</v>
      </c>
      <c r="X35" s="1813"/>
      <c r="Y35" s="3235"/>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10" t="str">
        <f t="shared" si="11"/>
        <v>成新度</v>
      </c>
      <c r="R36" s="774" t="s">
        <v>17</v>
      </c>
      <c r="S36" s="775" t="e">
        <f t="shared" si="12"/>
        <v>#N/A</v>
      </c>
      <c r="T36" s="774" t="s">
        <v>17</v>
      </c>
      <c r="U36" s="775" t="e">
        <f t="shared" si="13"/>
        <v>#N/A</v>
      </c>
      <c r="V36" s="774" t="s">
        <v>17</v>
      </c>
      <c r="W36" s="775" t="e">
        <f t="shared" si="14"/>
        <v>#N/A</v>
      </c>
      <c r="X36" s="1813"/>
      <c r="Y36" s="3235"/>
      <c r="Z36" s="1814" t="str">
        <f t="shared" si="15"/>
        <v>成新度</v>
      </c>
      <c r="AA36" s="1811" t="e">
        <f t="shared" si="3"/>
        <v>#N/A</v>
      </c>
      <c r="AB36" s="1811" t="e">
        <f t="shared" si="4"/>
        <v>#N/A</v>
      </c>
      <c r="AC36" s="1811"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33"/>
      <c r="Q37" s="1795" t="str">
        <f t="shared" si="11"/>
        <v>市政基础设施</v>
      </c>
      <c r="R37" s="770" t="s">
        <v>17</v>
      </c>
      <c r="S37" s="771">
        <f t="shared" si="12"/>
        <v>100</v>
      </c>
      <c r="T37" s="770" t="s">
        <v>17</v>
      </c>
      <c r="U37" s="771">
        <f t="shared" si="13"/>
        <v>100</v>
      </c>
      <c r="V37" s="770" t="s">
        <v>17</v>
      </c>
      <c r="W37" s="771">
        <f t="shared" si="14"/>
        <v>100</v>
      </c>
      <c r="X37" s="772"/>
      <c r="Y37" s="3235"/>
      <c r="Z37" s="55" t="str">
        <f t="shared" si="15"/>
        <v>市政基础设施</v>
      </c>
      <c r="AA37" s="773">
        <f t="shared" si="3"/>
        <v>1</v>
      </c>
      <c r="AB37" s="773">
        <f t="shared" si="4"/>
        <v>1</v>
      </c>
      <c r="AC37" s="773">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33" t="s">
        <v>2562</v>
      </c>
      <c r="Q38" s="1810" t="str">
        <f t="shared" si="11"/>
        <v>业态</v>
      </c>
      <c r="R38" s="774" t="s">
        <v>17</v>
      </c>
      <c r="S38" s="775">
        <f t="shared" si="12"/>
        <v>100</v>
      </c>
      <c r="T38" s="774" t="s">
        <v>17</v>
      </c>
      <c r="U38" s="775">
        <f t="shared" si="13"/>
        <v>100</v>
      </c>
      <c r="V38" s="774" t="s">
        <v>17</v>
      </c>
      <c r="W38" s="775">
        <f t="shared" si="14"/>
        <v>100</v>
      </c>
      <c r="X38" s="1813"/>
      <c r="Y38" s="3235" t="s">
        <v>2562</v>
      </c>
      <c r="Z38" s="1814" t="str">
        <f t="shared" si="15"/>
        <v>业态</v>
      </c>
      <c r="AA38" s="1811">
        <f t="shared" si="3"/>
        <v>1</v>
      </c>
      <c r="AB38" s="1811">
        <f t="shared" si="4"/>
        <v>1</v>
      </c>
      <c r="AC38" s="1811">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33"/>
      <c r="Q39" s="1810" t="str">
        <f t="shared" si="11"/>
        <v>层高</v>
      </c>
      <c r="R39" s="774" t="s">
        <v>17</v>
      </c>
      <c r="S39" s="775">
        <f t="shared" si="12"/>
        <v>100</v>
      </c>
      <c r="T39" s="774" t="s">
        <v>17</v>
      </c>
      <c r="U39" s="775">
        <f t="shared" si="13"/>
        <v>100</v>
      </c>
      <c r="V39" s="774" t="s">
        <v>17</v>
      </c>
      <c r="W39" s="775">
        <f t="shared" si="14"/>
        <v>100</v>
      </c>
      <c r="X39" s="1813"/>
      <c r="Y39" s="3235"/>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10" t="str">
        <f t="shared" si="11"/>
        <v>单套建筑面积</v>
      </c>
      <c r="R40" s="774" t="s">
        <v>17</v>
      </c>
      <c r="S40" s="775">
        <f t="shared" si="12"/>
        <v>100</v>
      </c>
      <c r="T40" s="774" t="s">
        <v>17</v>
      </c>
      <c r="U40" s="775">
        <f t="shared" si="13"/>
        <v>100</v>
      </c>
      <c r="V40" s="774" t="s">
        <v>17</v>
      </c>
      <c r="W40" s="775">
        <f t="shared" si="14"/>
        <v>100</v>
      </c>
      <c r="X40" s="1813"/>
      <c r="Y40" s="3235"/>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35"/>
      <c r="Z41" s="780" t="str">
        <f t="shared" si="15"/>
        <v>进深比</v>
      </c>
      <c r="AA41" s="1811">
        <f t="shared" si="3"/>
        <v>1</v>
      </c>
      <c r="AB41" s="1811">
        <f t="shared" si="4"/>
        <v>1</v>
      </c>
      <c r="AC41" s="1811">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33"/>
      <c r="Q42" s="1810" t="str">
        <f t="shared" si="11"/>
        <v>内部装修</v>
      </c>
      <c r="R42" s="774" t="s">
        <v>17</v>
      </c>
      <c r="S42" s="775">
        <f t="shared" si="12"/>
        <v>100</v>
      </c>
      <c r="T42" s="774" t="s">
        <v>17</v>
      </c>
      <c r="U42" s="775">
        <f t="shared" si="13"/>
        <v>100</v>
      </c>
      <c r="V42" s="774" t="s">
        <v>17</v>
      </c>
      <c r="W42" s="775">
        <f t="shared" si="14"/>
        <v>100</v>
      </c>
      <c r="X42" s="1813"/>
      <c r="Y42" s="3235"/>
      <c r="Z42" s="1814" t="str">
        <f t="shared" si="15"/>
        <v>内部装修</v>
      </c>
      <c r="AA42" s="1811">
        <f t="shared" si="3"/>
        <v>1</v>
      </c>
      <c r="AB42" s="1811">
        <f t="shared" si="4"/>
        <v>1</v>
      </c>
      <c r="AC42" s="1811">
        <f t="shared" si="5"/>
        <v>1</v>
      </c>
    </row>
    <row r="43" spans="1:29" ht="28.8">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33"/>
      <c r="Q43" s="1810" t="str">
        <f t="shared" si="11"/>
        <v>内部装修维护情况</v>
      </c>
      <c r="R43" s="774" t="s">
        <v>17</v>
      </c>
      <c r="S43" s="775">
        <f t="shared" si="12"/>
        <v>100</v>
      </c>
      <c r="T43" s="774" t="s">
        <v>17</v>
      </c>
      <c r="U43" s="775">
        <f t="shared" si="13"/>
        <v>100</v>
      </c>
      <c r="V43" s="774" t="s">
        <v>17</v>
      </c>
      <c r="W43" s="775">
        <f t="shared" si="14"/>
        <v>100</v>
      </c>
      <c r="X43" s="1813"/>
      <c r="Y43" s="323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5">
        <f t="shared" si="11"/>
        <v>111</v>
      </c>
      <c r="R44" s="770" t="s">
        <v>17</v>
      </c>
      <c r="S44" s="771">
        <f t="shared" si="12"/>
        <v>100</v>
      </c>
      <c r="T44" s="770" t="s">
        <v>17</v>
      </c>
      <c r="U44" s="771">
        <f t="shared" si="13"/>
        <v>100</v>
      </c>
      <c r="V44" s="770" t="s">
        <v>17</v>
      </c>
      <c r="W44" s="771">
        <f t="shared" si="14"/>
        <v>100</v>
      </c>
      <c r="X44" s="772"/>
      <c r="Y44" s="323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10">
        <f t="shared" si="11"/>
        <v>111</v>
      </c>
      <c r="R45" s="774" t="s">
        <v>17</v>
      </c>
      <c r="S45" s="775">
        <f t="shared" si="12"/>
        <v>100</v>
      </c>
      <c r="T45" s="774" t="s">
        <v>17</v>
      </c>
      <c r="U45" s="775">
        <f t="shared" si="13"/>
        <v>100</v>
      </c>
      <c r="V45" s="774" t="s">
        <v>17</v>
      </c>
      <c r="W45" s="775">
        <f t="shared" si="14"/>
        <v>100</v>
      </c>
      <c r="X45" s="1813"/>
      <c r="Y45" s="3235"/>
      <c r="Z45" s="1814">
        <f t="shared" si="15"/>
        <v>111</v>
      </c>
      <c r="AA45" s="1811">
        <f t="shared" si="3"/>
        <v>1</v>
      </c>
      <c r="AB45" s="1811">
        <f t="shared" si="4"/>
        <v>1</v>
      </c>
      <c r="AC45" s="1811">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1811">
        <f t="shared" si="5"/>
        <v>1</v>
      </c>
    </row>
    <row r="47" spans="1:29" ht="14.4">
      <c r="A47" s="479" t="s">
        <v>2574</v>
      </c>
      <c r="B47" s="480"/>
      <c r="C47" s="1407" t="s">
        <v>1</v>
      </c>
      <c r="D47" s="1408"/>
      <c r="E47" s="1409"/>
      <c r="F47" s="1410"/>
      <c r="G47" s="1411"/>
      <c r="H47" s="1412"/>
      <c r="I47" s="1409"/>
      <c r="J47" s="1412"/>
      <c r="K47" s="783"/>
      <c r="L47" s="1143"/>
      <c r="M47" s="1144"/>
      <c r="N47" s="1131"/>
      <c r="O47" s="1144"/>
      <c r="P47" s="3237" t="str">
        <f>A47</f>
        <v>成交单价（元/平方米）</v>
      </c>
      <c r="Q47" s="3237"/>
      <c r="R47" s="3223">
        <f>E47</f>
        <v>0</v>
      </c>
      <c r="S47" s="3223"/>
      <c r="T47" s="3223">
        <f>G47</f>
        <v>0</v>
      </c>
      <c r="U47" s="3223"/>
      <c r="V47" s="3223">
        <f>I47</f>
        <v>0</v>
      </c>
      <c r="W47" s="3223"/>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4.4">
      <c r="A58" s="505" t="s">
        <v>2545</v>
      </c>
      <c r="B58" s="506"/>
      <c r="C58" s="1574" t="str">
        <f>YEAR(C7)&amp;"-"&amp;MONTH(C7)</f>
        <v>2018-9</v>
      </c>
      <c r="D58" s="1575">
        <f>EDATE(C58,-1)</f>
        <v>43313</v>
      </c>
      <c r="E58" s="1575">
        <f t="shared" ref="E58:N58" si="16">EDATE(D58,-1)</f>
        <v>43282</v>
      </c>
      <c r="F58" s="1575">
        <f t="shared" si="16"/>
        <v>43252</v>
      </c>
      <c r="G58" s="1575">
        <f t="shared" si="16"/>
        <v>43221</v>
      </c>
      <c r="H58" s="1575">
        <f t="shared" si="16"/>
        <v>43191</v>
      </c>
      <c r="I58" s="1575">
        <f t="shared" si="16"/>
        <v>43160</v>
      </c>
      <c r="J58" s="1575">
        <f t="shared" si="16"/>
        <v>43132</v>
      </c>
      <c r="K58" s="1575">
        <f t="shared" si="16"/>
        <v>43101</v>
      </c>
      <c r="L58" s="1575">
        <f t="shared" si="16"/>
        <v>43070</v>
      </c>
      <c r="M58" s="1575">
        <f t="shared" si="16"/>
        <v>43040</v>
      </c>
      <c r="N58" s="1575">
        <f t="shared" si="16"/>
        <v>43009</v>
      </c>
      <c r="O58" s="1575">
        <f>EDATE(N58,-1)</f>
        <v>42979</v>
      </c>
      <c r="P58" s="1570"/>
    </row>
    <row r="59" spans="1:29" s="117" customFormat="1">
      <c r="A59" s="509"/>
      <c r="B59" s="510"/>
      <c r="C59" s="1573">
        <v>100</v>
      </c>
      <c r="D59" s="512"/>
      <c r="E59" s="512"/>
      <c r="F59" s="512"/>
      <c r="G59" s="512"/>
      <c r="H59" s="512"/>
      <c r="I59" s="512"/>
      <c r="J59" s="512"/>
      <c r="K59" s="512"/>
      <c r="L59" s="512"/>
      <c r="M59" s="513"/>
      <c r="N59" s="512"/>
      <c r="O59" s="513"/>
      <c r="P59" s="2623"/>
    </row>
    <row r="60" spans="1:29" s="117" customFormat="1" ht="15" thickBot="1">
      <c r="A60" s="515" t="s">
        <v>2582</v>
      </c>
      <c r="B60" s="516"/>
      <c r="C60" s="517"/>
      <c r="D60" s="518"/>
      <c r="E60" s="518"/>
      <c r="F60" s="518"/>
      <c r="G60" s="518"/>
      <c r="H60" s="518"/>
      <c r="I60" s="518"/>
      <c r="J60" s="518"/>
      <c r="K60" s="518"/>
      <c r="L60" s="518"/>
      <c r="M60" s="519"/>
      <c r="N60" s="518"/>
      <c r="O60" s="519"/>
      <c r="P60" s="2623"/>
      <c r="Q60" s="504"/>
    </row>
    <row r="61" spans="1:29" s="117" customFormat="1" ht="14.4">
      <c r="A61" s="521" t="s">
        <v>2547</v>
      </c>
      <c r="B61" s="510"/>
      <c r="C61" s="522" t="s">
        <v>2649</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2585</v>
      </c>
      <c r="B63" s="528" t="s">
        <v>2551</v>
      </c>
      <c r="C63" s="529">
        <f>C9</f>
        <v>0</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c r="A68" s="534"/>
      <c r="B68" s="548"/>
      <c r="C68" s="549"/>
      <c r="D68" s="549"/>
      <c r="E68" s="549"/>
      <c r="F68" s="549"/>
      <c r="G68" s="549"/>
      <c r="H68" s="549"/>
      <c r="I68" s="549"/>
      <c r="J68" s="549"/>
      <c r="K68" s="550"/>
      <c r="L68" s="551"/>
      <c r="M68" s="552"/>
      <c r="N68" s="1152"/>
      <c r="O68" s="1152"/>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36"/>
      <c r="E73" s="536"/>
      <c r="F73" s="536"/>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 thickTop="1">
      <c r="A86" s="579"/>
      <c r="B86" s="538" t="s">
        <v>2677</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4.4" thickBot="1">
      <c r="A89" s="579"/>
      <c r="B89" s="543"/>
      <c r="C89" s="560"/>
      <c r="D89" s="536"/>
      <c r="E89" s="536"/>
      <c r="F89" s="536"/>
      <c r="G89" s="536"/>
      <c r="H89" s="536"/>
      <c r="I89" s="536"/>
      <c r="J89" s="536"/>
      <c r="K89" s="536"/>
      <c r="L89" s="536"/>
      <c r="M89" s="536"/>
      <c r="N89" s="1153"/>
      <c r="O89" s="1153"/>
      <c r="P89" s="2625"/>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4.4" thickTop="1">
      <c r="A92" s="534"/>
      <c r="B92" s="538" t="str">
        <f>B28</f>
        <v>楼层</v>
      </c>
      <c r="C92" s="554"/>
      <c r="D92" s="554"/>
      <c r="E92" s="554"/>
      <c r="F92" s="554"/>
      <c r="G92" s="554"/>
      <c r="H92" s="554"/>
      <c r="I92" s="554"/>
      <c r="J92" s="554"/>
      <c r="K92" s="554"/>
      <c r="L92" s="580"/>
      <c r="M92" s="581"/>
      <c r="N92" s="1152"/>
      <c r="O92" s="1152"/>
      <c r="P92" s="2625"/>
      <c r="Q92" s="504"/>
    </row>
    <row r="93" spans="1:17" ht="14.4" thickBot="1">
      <c r="A93" s="534"/>
      <c r="B93" s="543"/>
      <c r="C93" s="536"/>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36"/>
      <c r="E95" s="536"/>
      <c r="F95" s="536"/>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60"/>
      <c r="D97" s="536"/>
      <c r="E97" s="536"/>
      <c r="F97" s="536"/>
      <c r="G97" s="536"/>
      <c r="H97" s="536"/>
      <c r="I97" s="536"/>
      <c r="J97" s="536"/>
      <c r="K97" s="536"/>
      <c r="L97" s="536"/>
      <c r="M97" s="537"/>
      <c r="N97" s="1153"/>
      <c r="O97" s="1153"/>
      <c r="P97" s="2625"/>
      <c r="Q97" s="504"/>
    </row>
    <row r="98" spans="1:17" ht="14.4" thickTop="1">
      <c r="A98" s="534"/>
      <c r="B98" s="546">
        <f>B31</f>
        <v>111</v>
      </c>
      <c r="C98" s="554"/>
      <c r="D98" s="554"/>
      <c r="E98" s="554"/>
      <c r="F98" s="554"/>
      <c r="G98" s="587"/>
      <c r="H98" s="587"/>
      <c r="I98" s="587"/>
      <c r="J98" s="587"/>
      <c r="K98" s="588"/>
      <c r="L98" s="589"/>
      <c r="M98" s="590"/>
      <c r="N98" s="1152"/>
      <c r="O98" s="1152"/>
      <c r="P98" s="2625"/>
      <c r="Q98" s="504"/>
    </row>
    <row r="99" spans="1:17" ht="14.4" thickBot="1">
      <c r="A99" s="2631"/>
      <c r="B99" s="569"/>
      <c r="C99" s="570"/>
      <c r="D99" s="570"/>
      <c r="E99" s="570"/>
      <c r="F99" s="570"/>
      <c r="G99" s="591"/>
      <c r="H99" s="591"/>
      <c r="I99" s="591"/>
      <c r="J99" s="591"/>
      <c r="K99" s="591"/>
      <c r="L99" s="591"/>
      <c r="M99" s="592"/>
      <c r="N99" s="1153"/>
      <c r="O99" s="1153"/>
      <c r="P99" s="2625"/>
      <c r="Q99" s="504"/>
    </row>
    <row r="100" spans="1:17" ht="14.4">
      <c r="A100" s="527" t="s">
        <v>2560</v>
      </c>
      <c r="B100" s="528" t="s">
        <v>2678</v>
      </c>
      <c r="C100" s="530"/>
      <c r="D100" s="530"/>
      <c r="E100" s="530"/>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2611</v>
      </c>
      <c r="C105" s="554"/>
      <c r="D105" s="554"/>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2613</v>
      </c>
      <c r="C107" s="554"/>
      <c r="D107" s="554"/>
      <c r="E107" s="554"/>
      <c r="F107" s="583"/>
      <c r="G107" s="583"/>
      <c r="H107" s="583"/>
      <c r="I107" s="583"/>
      <c r="J107" s="583"/>
      <c r="K107" s="584"/>
      <c r="L107" s="585"/>
      <c r="M107" s="586"/>
      <c r="N107" s="1152"/>
      <c r="O107" s="1152"/>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2679</v>
      </c>
      <c r="C114" s="554"/>
      <c r="D114" s="554"/>
      <c r="E114" s="583"/>
      <c r="F114" s="583"/>
      <c r="G114" s="583"/>
      <c r="H114" s="583"/>
      <c r="I114" s="583"/>
      <c r="J114" s="583"/>
      <c r="K114" s="584"/>
      <c r="L114" s="585"/>
      <c r="M114" s="586"/>
      <c r="N114" s="1152"/>
      <c r="O114" s="1152"/>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2680</v>
      </c>
      <c r="C116" s="554"/>
      <c r="D116" s="554"/>
      <c r="E116" s="554"/>
      <c r="F116" s="554"/>
      <c r="G116" s="554"/>
      <c r="H116" s="583"/>
      <c r="I116" s="583"/>
      <c r="J116" s="583"/>
      <c r="K116" s="584"/>
      <c r="L116" s="585"/>
      <c r="M116" s="586"/>
      <c r="N116" s="1152"/>
      <c r="O116" s="1152"/>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2681</v>
      </c>
      <c r="C118" s="627"/>
      <c r="D118" s="627"/>
      <c r="E118" s="627"/>
      <c r="F118" s="627"/>
      <c r="G118" s="627"/>
      <c r="H118" s="555"/>
      <c r="I118" s="555"/>
      <c r="J118" s="555"/>
      <c r="K118" s="555"/>
      <c r="L118" s="556"/>
      <c r="M118" s="557"/>
      <c r="N118" s="1152"/>
      <c r="O118" s="1152"/>
      <c r="P118" s="2625"/>
      <c r="Q118" s="504"/>
    </row>
    <row r="119" spans="1:17" ht="14.4"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2617</v>
      </c>
      <c r="C122" s="554"/>
      <c r="D122" s="554"/>
      <c r="E122" s="554"/>
      <c r="F122" s="583"/>
      <c r="G122" s="583"/>
      <c r="H122" s="583"/>
      <c r="I122" s="583"/>
      <c r="J122" s="583"/>
      <c r="K122" s="584"/>
      <c r="L122" s="585"/>
      <c r="M122" s="586"/>
      <c r="N122" s="1152"/>
      <c r="O122" s="1152"/>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36"/>
      <c r="E129" s="536"/>
      <c r="F129" s="536"/>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64" t="s">
        <v>2683</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86753.520000000164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53" t="s">
        <v>2648</v>
      </c>
      <c r="Q4" s="3254"/>
      <c r="R4" s="3248" t="s">
        <v>2644</v>
      </c>
      <c r="S4" s="3249"/>
      <c r="T4" s="3248" t="s">
        <v>2645</v>
      </c>
      <c r="U4" s="3249"/>
      <c r="V4" s="3257" t="s">
        <v>2646</v>
      </c>
      <c r="W4" s="3257"/>
      <c r="X4" s="2665"/>
      <c r="Y4" s="3248" t="s">
        <v>2648</v>
      </c>
      <c r="Z4" s="3249"/>
      <c r="AA4" s="3247" t="s">
        <v>2644</v>
      </c>
      <c r="AB4" s="3247" t="s">
        <v>2645</v>
      </c>
      <c r="AC4" s="3250" t="s">
        <v>2646</v>
      </c>
    </row>
    <row r="5" spans="1:29">
      <c r="A5" s="404"/>
      <c r="B5" s="405"/>
      <c r="C5" s="3243" t="s">
        <v>2539</v>
      </c>
      <c r="D5" s="3216"/>
      <c r="E5" s="3242" t="s">
        <v>2540</v>
      </c>
      <c r="F5" s="3218"/>
      <c r="G5" s="3243" t="s">
        <v>2541</v>
      </c>
      <c r="H5" s="3216"/>
      <c r="I5" s="3243" t="s">
        <v>2542</v>
      </c>
      <c r="J5" s="3216"/>
      <c r="K5" s="610"/>
      <c r="L5" s="1130"/>
      <c r="M5" s="1131"/>
      <c r="N5" s="1131"/>
      <c r="O5" s="1131"/>
      <c r="P5" s="3255"/>
      <c r="Q5" s="3208"/>
      <c r="R5" s="3213"/>
      <c r="S5" s="3214"/>
      <c r="T5" s="3213"/>
      <c r="U5" s="3214"/>
      <c r="V5" s="3223"/>
      <c r="W5" s="3223"/>
      <c r="X5" s="1813"/>
      <c r="Y5" s="3213"/>
      <c r="Z5" s="3214"/>
      <c r="AA5" s="3199"/>
      <c r="AB5" s="3199"/>
      <c r="AC5" s="3251"/>
    </row>
    <row r="6" spans="1:29" ht="15" thickBot="1">
      <c r="A6" s="406"/>
      <c r="B6" s="407"/>
      <c r="C6" s="3244" t="s">
        <v>2543</v>
      </c>
      <c r="D6" s="3220"/>
      <c r="E6" s="3245" t="s">
        <v>2543</v>
      </c>
      <c r="F6" s="3246"/>
      <c r="G6" s="3244" t="s">
        <v>2543</v>
      </c>
      <c r="H6" s="3220"/>
      <c r="I6" s="3244" t="s">
        <v>2543</v>
      </c>
      <c r="J6" s="3220"/>
      <c r="K6" s="610" t="s">
        <v>2544</v>
      </c>
      <c r="L6" s="1130"/>
      <c r="M6" s="1131"/>
      <c r="N6" s="1131"/>
      <c r="O6" s="1131"/>
      <c r="P6" s="3256"/>
      <c r="Q6" s="3210"/>
      <c r="R6" s="3213"/>
      <c r="S6" s="3214"/>
      <c r="T6" s="3221"/>
      <c r="U6" s="3222"/>
      <c r="V6" s="3223"/>
      <c r="W6" s="3223"/>
      <c r="X6" s="1813"/>
      <c r="Y6" s="3221"/>
      <c r="Z6" s="3222"/>
      <c r="AA6" s="3200"/>
      <c r="AB6" s="3200"/>
      <c r="AC6" s="3252"/>
    </row>
    <row r="7" spans="1:29" s="117" customFormat="1" ht="15" thickBot="1">
      <c r="A7" s="408" t="s">
        <v>2545</v>
      </c>
      <c r="B7" s="409"/>
      <c r="C7" s="410">
        <f>'数据-取费表'!B2</f>
        <v>43356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2546</v>
      </c>
      <c r="Q7" s="3225"/>
      <c r="R7" s="770" t="s">
        <v>17</v>
      </c>
      <c r="S7" s="771">
        <f t="shared" ref="S7:S15" si="0">F7</f>
        <v>0</v>
      </c>
      <c r="T7" s="770" t="s">
        <v>17</v>
      </c>
      <c r="U7" s="771">
        <f t="shared" ref="U7:U15" si="1">H7</f>
        <v>0</v>
      </c>
      <c r="V7" s="770" t="s">
        <v>17</v>
      </c>
      <c r="W7" s="771">
        <f t="shared" ref="W7:W15" si="2">J7</f>
        <v>0</v>
      </c>
      <c r="X7" s="772"/>
      <c r="Y7" s="3224" t="s">
        <v>2546</v>
      </c>
      <c r="Z7" s="3226"/>
      <c r="AA7" s="773" t="e">
        <f>D7/F7</f>
        <v>#DIV/0!</v>
      </c>
      <c r="AB7" s="773" t="e">
        <f>D7/H7</f>
        <v>#DIV/0!</v>
      </c>
      <c r="AC7" s="2666"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2549</v>
      </c>
      <c r="Q8" s="3226"/>
      <c r="R8" s="770" t="s">
        <v>17</v>
      </c>
      <c r="S8" s="771">
        <f t="shared" si="0"/>
        <v>0</v>
      </c>
      <c r="T8" s="770" t="s">
        <v>17</v>
      </c>
      <c r="U8" s="771">
        <f t="shared" si="1"/>
        <v>0</v>
      </c>
      <c r="V8" s="770" t="s">
        <v>17</v>
      </c>
      <c r="W8" s="771">
        <f t="shared" si="2"/>
        <v>0</v>
      </c>
      <c r="X8" s="772"/>
      <c r="Y8" s="3224" t="s">
        <v>2549</v>
      </c>
      <c r="Z8" s="3226"/>
      <c r="AA8" s="773" t="e">
        <f t="shared" ref="AA8:AA47" si="3">D8/F8</f>
        <v>#DIV/0!</v>
      </c>
      <c r="AB8" s="773" t="e">
        <f t="shared" ref="AB8:AB47" si="4">D8/H8</f>
        <v>#DIV/0!</v>
      </c>
      <c r="AC8" s="2666"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2666">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66">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7"/>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66">
        <f t="shared" si="5"/>
        <v>1</v>
      </c>
    </row>
    <row r="14" spans="1:29" ht="15.6"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27"/>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66">
        <f t="shared" si="5"/>
        <v>1</v>
      </c>
    </row>
    <row r="15" spans="1:29" ht="69">
      <c r="A15" s="440" t="s">
        <v>2556</v>
      </c>
      <c r="B15" s="629" t="s">
        <v>2684</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2557</v>
      </c>
      <c r="Q15" s="1810" t="str">
        <f t="shared" si="6"/>
        <v>办公集聚程度</v>
      </c>
      <c r="R15" s="774" t="s">
        <v>17</v>
      </c>
      <c r="S15" s="775">
        <f t="shared" si="0"/>
        <v>100</v>
      </c>
      <c r="T15" s="774" t="s">
        <v>17</v>
      </c>
      <c r="U15" s="775">
        <f t="shared" si="1"/>
        <v>100</v>
      </c>
      <c r="V15" s="774" t="s">
        <v>17</v>
      </c>
      <c r="W15" s="775">
        <f t="shared" si="2"/>
        <v>100</v>
      </c>
      <c r="X15" s="1813"/>
      <c r="Y15" s="3230" t="s">
        <v>2557</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229"/>
      <c r="Q16" s="1810"/>
      <c r="R16" s="774"/>
      <c r="S16" s="775"/>
      <c r="T16" s="774"/>
      <c r="U16" s="775"/>
      <c r="V16" s="774"/>
      <c r="W16" s="775"/>
      <c r="X16" s="1813"/>
      <c r="Y16" s="3231"/>
      <c r="Z16" s="1814"/>
      <c r="AA16" s="1811">
        <v>1</v>
      </c>
      <c r="AB16" s="1811">
        <v>1</v>
      </c>
      <c r="AC16" s="2669">
        <v>1</v>
      </c>
    </row>
    <row r="17" spans="1:29" ht="82.8">
      <c r="A17" s="428"/>
      <c r="B17" s="631" t="s">
        <v>2095</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229"/>
      <c r="Q18" s="1810"/>
      <c r="R18" s="774"/>
      <c r="S18" s="775"/>
      <c r="T18" s="774"/>
      <c r="U18" s="775"/>
      <c r="V18" s="774"/>
      <c r="W18" s="775"/>
      <c r="X18" s="1813"/>
      <c r="Y18" s="3231"/>
      <c r="Z18" s="1814"/>
      <c r="AA18" s="1811">
        <v>1</v>
      </c>
      <c r="AB18" s="1811">
        <v>1</v>
      </c>
      <c r="AC18" s="2669">
        <v>1</v>
      </c>
    </row>
    <row r="19" spans="1:29" ht="41.4">
      <c r="A19" s="428"/>
      <c r="B19" s="631" t="s">
        <v>2685</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229"/>
      <c r="Q20" s="1810"/>
      <c r="R20" s="774"/>
      <c r="S20" s="775"/>
      <c r="T20" s="774"/>
      <c r="U20" s="775"/>
      <c r="V20" s="774"/>
      <c r="W20" s="775"/>
      <c r="X20" s="1813"/>
      <c r="Y20" s="3231"/>
      <c r="Z20" s="1814"/>
      <c r="AA20" s="1811">
        <v>1</v>
      </c>
      <c r="AB20" s="1811">
        <v>1</v>
      </c>
      <c r="AC20" s="2669">
        <v>1</v>
      </c>
    </row>
    <row r="21" spans="1:29" ht="27.6">
      <c r="A21" s="428"/>
      <c r="B21" s="633" t="s">
        <v>2686</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229"/>
      <c r="Q22" s="1810"/>
      <c r="R22" s="774"/>
      <c r="S22" s="775"/>
      <c r="T22" s="774"/>
      <c r="U22" s="775"/>
      <c r="V22" s="774"/>
      <c r="W22" s="775"/>
      <c r="X22" s="1813"/>
      <c r="Y22" s="3231"/>
      <c r="Z22" s="1814"/>
      <c r="AA22" s="1811">
        <v>1</v>
      </c>
      <c r="AB22" s="1811">
        <v>1</v>
      </c>
      <c r="AC22" s="2669">
        <v>1</v>
      </c>
    </row>
    <row r="23" spans="1:29" ht="55.2">
      <c r="A23" s="428"/>
      <c r="B23" s="631" t="s">
        <v>2687</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229"/>
      <c r="Q24" s="1810"/>
      <c r="R24" s="774"/>
      <c r="S24" s="775"/>
      <c r="T24" s="774"/>
      <c r="U24" s="775"/>
      <c r="V24" s="774"/>
      <c r="W24" s="775"/>
      <c r="X24" s="1813"/>
      <c r="Y24" s="3231"/>
      <c r="Z24" s="1814"/>
      <c r="AA24" s="1811">
        <v>1</v>
      </c>
      <c r="AB24" s="1811">
        <v>1</v>
      </c>
      <c r="AC24" s="2669">
        <v>1</v>
      </c>
    </row>
    <row r="25" spans="1:29" ht="28.8">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29"/>
      <c r="Q25" s="1810" t="str">
        <f>B25</f>
        <v>毗邻道路的类型与等级</v>
      </c>
      <c r="R25" s="774" t="s">
        <v>17</v>
      </c>
      <c r="S25" s="775">
        <f>F25</f>
        <v>100</v>
      </c>
      <c r="T25" s="774" t="s">
        <v>17</v>
      </c>
      <c r="U25" s="775">
        <f>H25</f>
        <v>100</v>
      </c>
      <c r="V25" s="774" t="s">
        <v>17</v>
      </c>
      <c r="W25" s="775">
        <f>J25</f>
        <v>100</v>
      </c>
      <c r="X25" s="1813"/>
      <c r="Y25" s="3231"/>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229"/>
      <c r="Q26" s="1810"/>
      <c r="R26" s="774"/>
      <c r="S26" s="775"/>
      <c r="T26" s="774"/>
      <c r="U26" s="775"/>
      <c r="V26" s="774"/>
      <c r="W26" s="775"/>
      <c r="X26" s="1813"/>
      <c r="Y26" s="3231"/>
      <c r="Z26" s="1814"/>
      <c r="AA26" s="1811">
        <v>1</v>
      </c>
      <c r="AB26" s="1811">
        <v>1</v>
      </c>
      <c r="AC26" s="2669">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10" t="str">
        <f t="shared" ref="Q27:Q47" si="11">B27</f>
        <v>楼层</v>
      </c>
      <c r="R27" s="774" t="s">
        <v>17</v>
      </c>
      <c r="S27" s="775">
        <f>F27</f>
        <v>100</v>
      </c>
      <c r="T27" s="774" t="s">
        <v>17</v>
      </c>
      <c r="U27" s="775">
        <f>H27</f>
        <v>100</v>
      </c>
      <c r="V27" s="774" t="s">
        <v>17</v>
      </c>
      <c r="W27" s="775">
        <f>J27</f>
        <v>100</v>
      </c>
      <c r="X27" s="1813"/>
      <c r="Y27" s="3231"/>
      <c r="Z27" s="1814" t="str">
        <f>Q27</f>
        <v>楼层</v>
      </c>
      <c r="AA27" s="1811">
        <f t="shared" si="3"/>
        <v>1</v>
      </c>
      <c r="AB27" s="1811">
        <f t="shared" si="4"/>
        <v>1</v>
      </c>
      <c r="AC27" s="2669">
        <f t="shared" si="5"/>
        <v>1</v>
      </c>
    </row>
    <row r="28" spans="1:29" s="117" customFormat="1" ht="15">
      <c r="A28" s="431"/>
      <c r="B28" s="631" t="s">
        <v>2689</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29"/>
      <c r="Q28" s="1795" t="str">
        <f t="shared" si="11"/>
        <v>朝向</v>
      </c>
      <c r="R28" s="770" t="s">
        <v>17</v>
      </c>
      <c r="S28" s="771">
        <f>F28</f>
        <v>100</v>
      </c>
      <c r="T28" s="770" t="s">
        <v>17</v>
      </c>
      <c r="U28" s="771">
        <f>H28</f>
        <v>100</v>
      </c>
      <c r="V28" s="770" t="s">
        <v>17</v>
      </c>
      <c r="W28" s="771">
        <f>J28</f>
        <v>100</v>
      </c>
      <c r="X28" s="772"/>
      <c r="Y28" s="3231"/>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29"/>
      <c r="Q29" s="1810">
        <f t="shared" si="11"/>
        <v>111</v>
      </c>
      <c r="R29" s="774" t="s">
        <v>17</v>
      </c>
      <c r="S29" s="775">
        <f t="shared" ref="S29:S47" si="12">F29</f>
        <v>100</v>
      </c>
      <c r="T29" s="774" t="s">
        <v>17</v>
      </c>
      <c r="U29" s="775">
        <f t="shared" ref="U29:U47" si="13">H29</f>
        <v>100</v>
      </c>
      <c r="V29" s="774" t="s">
        <v>17</v>
      </c>
      <c r="W29" s="775">
        <f t="shared" ref="W29:W47" si="14">J29</f>
        <v>100</v>
      </c>
      <c r="X29" s="1813"/>
      <c r="Y29" s="3231"/>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2669">
        <f t="shared" si="5"/>
        <v>1</v>
      </c>
    </row>
    <row r="32" spans="1:29" ht="15.6"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29"/>
      <c r="Q32" s="1810">
        <f t="shared" si="11"/>
        <v>111</v>
      </c>
      <c r="R32" s="774" t="s">
        <v>17</v>
      </c>
      <c r="S32" s="775">
        <f t="shared" si="12"/>
        <v>100</v>
      </c>
      <c r="T32" s="774" t="s">
        <v>17</v>
      </c>
      <c r="U32" s="775">
        <f t="shared" si="13"/>
        <v>100</v>
      </c>
      <c r="V32" s="774" t="s">
        <v>17</v>
      </c>
      <c r="W32" s="775">
        <f t="shared" si="14"/>
        <v>100</v>
      </c>
      <c r="X32" s="1813"/>
      <c r="Y32" s="3231"/>
      <c r="Z32" s="1814">
        <f t="shared" si="15"/>
        <v>111</v>
      </c>
      <c r="AA32" s="1811">
        <f t="shared" si="3"/>
        <v>1</v>
      </c>
      <c r="AB32" s="1811">
        <f t="shared" si="4"/>
        <v>1</v>
      </c>
      <c r="AC32" s="2669">
        <f t="shared" si="5"/>
        <v>1</v>
      </c>
    </row>
    <row r="33" spans="1:29" ht="15">
      <c r="A33" s="440" t="s">
        <v>2560</v>
      </c>
      <c r="B33" s="71" t="s">
        <v>2690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32" t="s">
        <v>2562</v>
      </c>
      <c r="Q33" s="1810" t="str">
        <f t="shared" si="11"/>
        <v>建筑类型</v>
      </c>
      <c r="R33" s="774" t="s">
        <v>17</v>
      </c>
      <c r="S33" s="775">
        <f t="shared" si="12"/>
        <v>100</v>
      </c>
      <c r="T33" s="774" t="s">
        <v>17</v>
      </c>
      <c r="U33" s="775">
        <f t="shared" si="13"/>
        <v>100</v>
      </c>
      <c r="V33" s="774" t="s">
        <v>17</v>
      </c>
      <c r="W33" s="775">
        <f t="shared" si="14"/>
        <v>100</v>
      </c>
      <c r="X33" s="1813"/>
      <c r="Y33" s="3235" t="s">
        <v>2562</v>
      </c>
      <c r="Z33" s="1814" t="str">
        <f t="shared" si="15"/>
        <v>建筑类型</v>
      </c>
      <c r="AA33" s="1811">
        <f t="shared" si="3"/>
        <v>1</v>
      </c>
      <c r="AB33" s="1811">
        <f t="shared" si="4"/>
        <v>1</v>
      </c>
      <c r="AC33" s="2669">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35"/>
      <c r="Z34" s="780" t="str">
        <f t="shared" si="15"/>
        <v>项目建筑规模</v>
      </c>
      <c r="AA34" s="1811" t="e">
        <f t="shared" si="3"/>
        <v>#N/A</v>
      </c>
      <c r="AB34" s="1811" t="e">
        <f t="shared" si="4"/>
        <v>#N/A</v>
      </c>
      <c r="AC34" s="2669"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10" t="str">
        <f t="shared" si="11"/>
        <v>建筑结构</v>
      </c>
      <c r="R35" s="774" t="s">
        <v>17</v>
      </c>
      <c r="S35" s="775">
        <f t="shared" si="12"/>
        <v>100</v>
      </c>
      <c r="T35" s="774" t="s">
        <v>17</v>
      </c>
      <c r="U35" s="775">
        <f t="shared" si="13"/>
        <v>100</v>
      </c>
      <c r="V35" s="774" t="s">
        <v>17</v>
      </c>
      <c r="W35" s="775">
        <f t="shared" si="14"/>
        <v>100</v>
      </c>
      <c r="X35" s="1813"/>
      <c r="Y35" s="3235"/>
      <c r="Z35" s="1814" t="str">
        <f t="shared" si="15"/>
        <v>建筑结构</v>
      </c>
      <c r="AA35" s="1811">
        <f t="shared" si="3"/>
        <v>1</v>
      </c>
      <c r="AB35" s="1811">
        <f t="shared" si="4"/>
        <v>1</v>
      </c>
      <c r="AC35" s="2669">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10" t="str">
        <f t="shared" si="11"/>
        <v>公共部分装修</v>
      </c>
      <c r="R36" s="774" t="s">
        <v>17</v>
      </c>
      <c r="S36" s="775">
        <f t="shared" si="12"/>
        <v>100</v>
      </c>
      <c r="T36" s="774" t="s">
        <v>17</v>
      </c>
      <c r="U36" s="775">
        <f t="shared" si="13"/>
        <v>100</v>
      </c>
      <c r="V36" s="774" t="s">
        <v>17</v>
      </c>
      <c r="W36" s="775">
        <f t="shared" si="14"/>
        <v>100</v>
      </c>
      <c r="X36" s="1813"/>
      <c r="Y36" s="3235"/>
      <c r="Z36" s="1814" t="str">
        <f t="shared" si="15"/>
        <v>公共部分装修</v>
      </c>
      <c r="AA36" s="1811">
        <f t="shared" si="3"/>
        <v>1</v>
      </c>
      <c r="AB36" s="1811">
        <f t="shared" si="4"/>
        <v>1</v>
      </c>
      <c r="AC36" s="2669">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10" t="str">
        <f t="shared" si="11"/>
        <v>成新度</v>
      </c>
      <c r="R37" s="774" t="s">
        <v>17</v>
      </c>
      <c r="S37" s="775" t="e">
        <f t="shared" si="12"/>
        <v>#N/A</v>
      </c>
      <c r="T37" s="774" t="s">
        <v>17</v>
      </c>
      <c r="U37" s="775" t="e">
        <f t="shared" si="13"/>
        <v>#N/A</v>
      </c>
      <c r="V37" s="774" t="s">
        <v>17</v>
      </c>
      <c r="W37" s="775" t="e">
        <f t="shared" si="14"/>
        <v>#N/A</v>
      </c>
      <c r="X37" s="1813"/>
      <c r="Y37" s="3235"/>
      <c r="Z37" s="1814" t="str">
        <f t="shared" si="15"/>
        <v>成新度</v>
      </c>
      <c r="AA37" s="1811" t="e">
        <f t="shared" si="3"/>
        <v>#N/A</v>
      </c>
      <c r="AB37" s="1811" t="e">
        <f t="shared" si="4"/>
        <v>#N/A</v>
      </c>
      <c r="AC37" s="2669"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5" t="str">
        <f t="shared" si="11"/>
        <v>写字楼等级</v>
      </c>
      <c r="R38" s="770" t="s">
        <v>17</v>
      </c>
      <c r="S38" s="771">
        <f t="shared" si="12"/>
        <v>100</v>
      </c>
      <c r="T38" s="770" t="s">
        <v>17</v>
      </c>
      <c r="U38" s="771">
        <f t="shared" si="13"/>
        <v>100</v>
      </c>
      <c r="V38" s="770" t="s">
        <v>17</v>
      </c>
      <c r="W38" s="771">
        <f t="shared" si="14"/>
        <v>100</v>
      </c>
      <c r="X38" s="772"/>
      <c r="Y38" s="3235"/>
      <c r="Z38" s="55" t="str">
        <f t="shared" si="15"/>
        <v>写字楼等级</v>
      </c>
      <c r="AA38" s="773">
        <f t="shared" si="3"/>
        <v>1</v>
      </c>
      <c r="AB38" s="773">
        <f t="shared" si="4"/>
        <v>1</v>
      </c>
      <c r="AC38" s="2666">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2562</v>
      </c>
      <c r="Q39" s="1810" t="str">
        <f t="shared" si="11"/>
        <v>物业管理</v>
      </c>
      <c r="R39" s="774" t="s">
        <v>17</v>
      </c>
      <c r="S39" s="775">
        <f t="shared" si="12"/>
        <v>100</v>
      </c>
      <c r="T39" s="774" t="s">
        <v>17</v>
      </c>
      <c r="U39" s="775">
        <f t="shared" si="13"/>
        <v>100</v>
      </c>
      <c r="V39" s="774" t="s">
        <v>17</v>
      </c>
      <c r="W39" s="775">
        <f t="shared" si="14"/>
        <v>100</v>
      </c>
      <c r="X39" s="1813"/>
      <c r="Y39" s="3235" t="s">
        <v>2562</v>
      </c>
      <c r="Z39" s="1814" t="str">
        <f t="shared" si="15"/>
        <v>物业管理</v>
      </c>
      <c r="AA39" s="1811">
        <f t="shared" si="3"/>
        <v>1</v>
      </c>
      <c r="AB39" s="1811">
        <f t="shared" si="4"/>
        <v>1</v>
      </c>
      <c r="AC39" s="2669">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10" t="str">
        <f t="shared" si="11"/>
        <v>市政基础设施</v>
      </c>
      <c r="R40" s="774" t="s">
        <v>17</v>
      </c>
      <c r="S40" s="775">
        <f t="shared" si="12"/>
        <v>100</v>
      </c>
      <c r="T40" s="774" t="s">
        <v>17</v>
      </c>
      <c r="U40" s="775">
        <f t="shared" si="13"/>
        <v>100</v>
      </c>
      <c r="V40" s="774" t="s">
        <v>17</v>
      </c>
      <c r="W40" s="775">
        <f t="shared" si="14"/>
        <v>100</v>
      </c>
      <c r="X40" s="1813"/>
      <c r="Y40" s="3235"/>
      <c r="Z40" s="1814" t="str">
        <f t="shared" si="15"/>
        <v>市政基础设施</v>
      </c>
      <c r="AA40" s="1811">
        <f t="shared" si="3"/>
        <v>1</v>
      </c>
      <c r="AB40" s="1811">
        <f t="shared" si="4"/>
        <v>1</v>
      </c>
      <c r="AC40" s="2669">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10" t="str">
        <f t="shared" si="11"/>
        <v>层高</v>
      </c>
      <c r="R41" s="774" t="s">
        <v>17</v>
      </c>
      <c r="S41" s="775">
        <f t="shared" si="12"/>
        <v>100</v>
      </c>
      <c r="T41" s="774" t="s">
        <v>17</v>
      </c>
      <c r="U41" s="775">
        <f t="shared" si="13"/>
        <v>100</v>
      </c>
      <c r="V41" s="774" t="s">
        <v>17</v>
      </c>
      <c r="W41" s="775">
        <f t="shared" si="14"/>
        <v>100</v>
      </c>
      <c r="X41" s="1813"/>
      <c r="Y41" s="3235"/>
      <c r="Z41" s="1814" t="str">
        <f t="shared" si="15"/>
        <v>层高</v>
      </c>
      <c r="AA41" s="1811">
        <f t="shared" si="3"/>
        <v>1</v>
      </c>
      <c r="AB41" s="1811">
        <f t="shared" si="4"/>
        <v>1</v>
      </c>
      <c r="AC41" s="2669">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35"/>
      <c r="Z42" s="780" t="str">
        <f t="shared" si="15"/>
        <v>单套建筑面积</v>
      </c>
      <c r="AA42" s="1811">
        <f t="shared" si="3"/>
        <v>1</v>
      </c>
      <c r="AB42" s="1811">
        <f t="shared" si="4"/>
        <v>1</v>
      </c>
      <c r="AC42" s="2669">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10" t="str">
        <f t="shared" si="11"/>
        <v>内部装修</v>
      </c>
      <c r="R43" s="774" t="s">
        <v>17</v>
      </c>
      <c r="S43" s="775">
        <f t="shared" si="12"/>
        <v>100</v>
      </c>
      <c r="T43" s="774" t="s">
        <v>17</v>
      </c>
      <c r="U43" s="775">
        <f t="shared" si="13"/>
        <v>100</v>
      </c>
      <c r="V43" s="774" t="s">
        <v>17</v>
      </c>
      <c r="W43" s="775">
        <f t="shared" si="14"/>
        <v>100</v>
      </c>
      <c r="X43" s="1813"/>
      <c r="Y43" s="3235"/>
      <c r="Z43" s="1814" t="str">
        <f t="shared" si="15"/>
        <v>内部装修</v>
      </c>
      <c r="AA43" s="1811">
        <f t="shared" si="3"/>
        <v>1</v>
      </c>
      <c r="AB43" s="1811">
        <f t="shared" si="4"/>
        <v>1</v>
      </c>
      <c r="AC43" s="2669">
        <f t="shared" si="5"/>
        <v>1</v>
      </c>
    </row>
    <row r="44" spans="1:29" ht="28.8">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33"/>
      <c r="Q44" s="1810" t="str">
        <f t="shared" si="11"/>
        <v>内部装修维护情况</v>
      </c>
      <c r="R44" s="774" t="s">
        <v>17</v>
      </c>
      <c r="S44" s="775">
        <f t="shared" si="12"/>
        <v>100</v>
      </c>
      <c r="T44" s="774" t="s">
        <v>17</v>
      </c>
      <c r="U44" s="775">
        <f t="shared" si="13"/>
        <v>100</v>
      </c>
      <c r="V44" s="774" t="s">
        <v>17</v>
      </c>
      <c r="W44" s="775">
        <f t="shared" si="14"/>
        <v>100</v>
      </c>
      <c r="X44" s="1813"/>
      <c r="Y44" s="3235"/>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5">
        <f t="shared" si="11"/>
        <v>111</v>
      </c>
      <c r="R45" s="770" t="s">
        <v>17</v>
      </c>
      <c r="S45" s="771">
        <f t="shared" si="12"/>
        <v>100</v>
      </c>
      <c r="T45" s="770" t="s">
        <v>17</v>
      </c>
      <c r="U45" s="771">
        <f t="shared" si="13"/>
        <v>100</v>
      </c>
      <c r="V45" s="770" t="s">
        <v>17</v>
      </c>
      <c r="W45" s="771">
        <f t="shared" si="14"/>
        <v>100</v>
      </c>
      <c r="X45" s="772"/>
      <c r="Y45" s="3235"/>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2669">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10">
        <f t="shared" si="11"/>
        <v>111</v>
      </c>
      <c r="R47" s="774" t="s">
        <v>17</v>
      </c>
      <c r="S47" s="775">
        <f t="shared" si="12"/>
        <v>100</v>
      </c>
      <c r="T47" s="774" t="s">
        <v>17</v>
      </c>
      <c r="U47" s="775">
        <f t="shared" si="13"/>
        <v>100</v>
      </c>
      <c r="V47" s="774" t="s">
        <v>17</v>
      </c>
      <c r="W47" s="775">
        <f t="shared" si="14"/>
        <v>100</v>
      </c>
      <c r="X47" s="1813"/>
      <c r="Y47" s="3236"/>
      <c r="Z47" s="1814">
        <f t="shared" si="15"/>
        <v>111</v>
      </c>
      <c r="AA47" s="1811">
        <f t="shared" si="3"/>
        <v>1</v>
      </c>
      <c r="AB47" s="1811">
        <f t="shared" si="4"/>
        <v>1</v>
      </c>
      <c r="AC47" s="2669">
        <f t="shared" si="5"/>
        <v>1</v>
      </c>
    </row>
    <row r="48" spans="1:29" ht="14.4">
      <c r="A48" s="479" t="s">
        <v>2574</v>
      </c>
      <c r="B48" s="480"/>
      <c r="C48" s="1407" t="s">
        <v>1</v>
      </c>
      <c r="D48" s="1408"/>
      <c r="E48" s="1409"/>
      <c r="F48" s="1410"/>
      <c r="G48" s="1411"/>
      <c r="H48" s="1412"/>
      <c r="I48" s="1409"/>
      <c r="J48" s="485"/>
      <c r="K48" s="783"/>
      <c r="L48" s="1143"/>
      <c r="M48" s="1131"/>
      <c r="N48" s="1131"/>
      <c r="O48" s="1131"/>
      <c r="P48" s="3227" t="str">
        <f>A48</f>
        <v>成交单价（元/平方米）</v>
      </c>
      <c r="Q48" s="3237"/>
      <c r="R48" s="3238">
        <f>E48</f>
        <v>0</v>
      </c>
      <c r="S48" s="3238"/>
      <c r="T48" s="3238">
        <f>G48</f>
        <v>0</v>
      </c>
      <c r="U48" s="3238"/>
      <c r="V48" s="3238">
        <f>I48</f>
        <v>0</v>
      </c>
      <c r="W48" s="3238"/>
      <c r="X48" s="446"/>
      <c r="Y48" s="781"/>
      <c r="Z48" s="446"/>
      <c r="AA48" s="446"/>
      <c r="AB48" s="446"/>
      <c r="AC48" s="630"/>
    </row>
    <row r="49" spans="1:29" ht="1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27"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 thickBot="1">
      <c r="A50" s="492" t="s">
        <v>2667</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76"/>
      <c r="Q58" s="504"/>
    </row>
    <row r="59" spans="1:29" s="508" customFormat="1" ht="14.4">
      <c r="A59" s="505" t="s">
        <v>2545</v>
      </c>
      <c r="B59" s="506"/>
      <c r="C59" s="1574" t="str">
        <f>YEAR(C7)&amp;"-"&amp;MONTH(C7)</f>
        <v>2018-9</v>
      </c>
      <c r="D59" s="1575">
        <f>EDATE(C59,-1)</f>
        <v>43313</v>
      </c>
      <c r="E59" s="1575">
        <f>EDATE(D59,-1)</f>
        <v>43282</v>
      </c>
      <c r="F59" s="1575">
        <f t="shared" ref="F59:O59" si="16">EDATE(E59,-1)</f>
        <v>43252</v>
      </c>
      <c r="G59" s="1575">
        <f t="shared" si="16"/>
        <v>43221</v>
      </c>
      <c r="H59" s="1575">
        <f t="shared" si="16"/>
        <v>43191</v>
      </c>
      <c r="I59" s="1575">
        <f t="shared" si="16"/>
        <v>43160</v>
      </c>
      <c r="J59" s="1575">
        <f t="shared" si="16"/>
        <v>43132</v>
      </c>
      <c r="K59" s="1575">
        <f t="shared" si="16"/>
        <v>43101</v>
      </c>
      <c r="L59" s="1575">
        <f t="shared" si="16"/>
        <v>43070</v>
      </c>
      <c r="M59" s="1575">
        <f t="shared" si="16"/>
        <v>43040</v>
      </c>
      <c r="N59" s="1575">
        <f t="shared" si="16"/>
        <v>43009</v>
      </c>
      <c r="O59" s="1575">
        <f t="shared" si="16"/>
        <v>42979</v>
      </c>
      <c r="P59" s="1571"/>
    </row>
    <row r="60" spans="1:29" s="117" customFormat="1">
      <c r="A60" s="509"/>
      <c r="B60" s="510"/>
      <c r="C60" s="1573">
        <v>100</v>
      </c>
      <c r="D60" s="512"/>
      <c r="E60" s="512"/>
      <c r="F60" s="512"/>
      <c r="G60" s="512"/>
      <c r="H60" s="512"/>
      <c r="I60" s="512"/>
      <c r="J60" s="512"/>
      <c r="K60" s="512"/>
      <c r="L60" s="512"/>
      <c r="M60" s="513"/>
      <c r="N60" s="512"/>
      <c r="O60" s="513"/>
      <c r="P60" s="2677"/>
    </row>
    <row r="61" spans="1:29" s="117" customFormat="1" ht="15" thickBot="1">
      <c r="A61" s="515" t="s">
        <v>2582</v>
      </c>
      <c r="B61" s="516"/>
      <c r="C61" s="517"/>
      <c r="D61" s="518"/>
      <c r="E61" s="518"/>
      <c r="F61" s="518"/>
      <c r="G61" s="518"/>
      <c r="H61" s="518"/>
      <c r="I61" s="518"/>
      <c r="J61" s="518"/>
      <c r="K61" s="518"/>
      <c r="L61" s="518"/>
      <c r="M61" s="519"/>
      <c r="N61" s="518"/>
      <c r="O61" s="519"/>
      <c r="P61" s="2677"/>
      <c r="Q61" s="504"/>
    </row>
    <row r="62" spans="1:29" s="117" customFormat="1" ht="14.4">
      <c r="A62" s="521" t="s">
        <v>2547</v>
      </c>
      <c r="B62" s="510"/>
      <c r="C62" s="522" t="s">
        <v>2649</v>
      </c>
      <c r="D62" s="523"/>
      <c r="E62" s="523"/>
      <c r="F62" s="523"/>
      <c r="G62" s="523"/>
      <c r="H62" s="523"/>
      <c r="I62" s="523"/>
      <c r="J62" s="523"/>
      <c r="K62" s="523"/>
      <c r="L62" s="524"/>
      <c r="M62" s="525"/>
      <c r="N62" s="1151"/>
      <c r="O62" s="1151"/>
      <c r="P62" s="2678"/>
      <c r="Q62" s="504"/>
    </row>
    <row r="63" spans="1:29" s="117" customFormat="1" ht="14.4" thickBot="1">
      <c r="A63" s="521"/>
      <c r="B63" s="510"/>
      <c r="C63" s="511">
        <v>100</v>
      </c>
      <c r="D63" s="512"/>
      <c r="E63" s="512"/>
      <c r="F63" s="512"/>
      <c r="G63" s="512"/>
      <c r="H63" s="512"/>
      <c r="I63" s="512"/>
      <c r="J63" s="512"/>
      <c r="K63" s="512"/>
      <c r="L63" s="512"/>
      <c r="M63" s="514"/>
      <c r="N63" s="1151"/>
      <c r="O63" s="1151"/>
      <c r="P63" s="2677"/>
      <c r="Q63" s="504"/>
    </row>
    <row r="64" spans="1:29" ht="14.4">
      <c r="A64" s="527" t="s">
        <v>2585</v>
      </c>
      <c r="B64" s="528" t="s">
        <v>2551</v>
      </c>
      <c r="C64" s="529">
        <f>C9</f>
        <v>0</v>
      </c>
      <c r="D64" s="530"/>
      <c r="E64" s="530"/>
      <c r="F64" s="530"/>
      <c r="G64" s="530"/>
      <c r="H64" s="530"/>
      <c r="I64" s="530"/>
      <c r="J64" s="530"/>
      <c r="K64" s="531"/>
      <c r="L64" s="532"/>
      <c r="M64" s="533"/>
      <c r="N64" s="1152"/>
      <c r="O64" s="1152"/>
      <c r="P64" s="2679"/>
      <c r="Q64" s="504"/>
    </row>
    <row r="65" spans="1:17" ht="14.4" thickBot="1">
      <c r="A65" s="534"/>
      <c r="B65" s="535"/>
      <c r="C65" s="536">
        <v>100</v>
      </c>
      <c r="D65" s="536"/>
      <c r="E65" s="536"/>
      <c r="F65" s="536"/>
      <c r="G65" s="536"/>
      <c r="H65" s="536"/>
      <c r="I65" s="536"/>
      <c r="J65" s="536"/>
      <c r="K65" s="536"/>
      <c r="L65" s="536"/>
      <c r="M65" s="537"/>
      <c r="N65" s="1153"/>
      <c r="O65" s="1153"/>
      <c r="P65" s="2679"/>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c r="A69" s="534"/>
      <c r="B69" s="548"/>
      <c r="C69" s="549"/>
      <c r="D69" s="549"/>
      <c r="E69" s="549"/>
      <c r="F69" s="549"/>
      <c r="G69" s="549"/>
      <c r="H69" s="549"/>
      <c r="I69" s="549"/>
      <c r="J69" s="549"/>
      <c r="K69" s="550"/>
      <c r="L69" s="551"/>
      <c r="M69" s="552"/>
      <c r="N69" s="1152"/>
      <c r="O69" s="1152"/>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4.4" thickTop="1">
      <c r="A71" s="553"/>
      <c r="B71" s="538">
        <f>B12</f>
        <v>111</v>
      </c>
      <c r="C71" s="554"/>
      <c r="D71" s="554"/>
      <c r="E71" s="554"/>
      <c r="F71" s="554"/>
      <c r="G71" s="554"/>
      <c r="H71" s="555"/>
      <c r="I71" s="555"/>
      <c r="J71" s="555"/>
      <c r="K71" s="555"/>
      <c r="L71" s="556"/>
      <c r="M71" s="557"/>
      <c r="N71" s="1154"/>
      <c r="O71" s="1154"/>
      <c r="P71" s="2680"/>
      <c r="Q71" s="559"/>
    </row>
    <row r="72" spans="1:17" s="471" customFormat="1" ht="14.4" thickBot="1">
      <c r="A72" s="553"/>
      <c r="B72" s="543"/>
      <c r="C72" s="560"/>
      <c r="D72" s="536"/>
      <c r="E72" s="536"/>
      <c r="F72" s="536"/>
      <c r="G72" s="536"/>
      <c r="H72" s="536"/>
      <c r="I72" s="536"/>
      <c r="J72" s="536"/>
      <c r="K72" s="536"/>
      <c r="L72" s="536"/>
      <c r="M72" s="537"/>
      <c r="N72" s="1153"/>
      <c r="O72" s="1153"/>
      <c r="P72" s="2680"/>
      <c r="Q72" s="559"/>
    </row>
    <row r="73" spans="1:17" s="471" customFormat="1" ht="14.4" thickTop="1">
      <c r="A73" s="553"/>
      <c r="B73" s="538">
        <f>B13</f>
        <v>111</v>
      </c>
      <c r="C73" s="554"/>
      <c r="D73" s="554"/>
      <c r="E73" s="554"/>
      <c r="F73" s="554"/>
      <c r="G73" s="554"/>
      <c r="H73" s="555"/>
      <c r="I73" s="555"/>
      <c r="J73" s="555"/>
      <c r="K73" s="555"/>
      <c r="L73" s="556"/>
      <c r="M73" s="557"/>
      <c r="N73" s="1154"/>
      <c r="O73" s="1154"/>
      <c r="P73" s="2681"/>
      <c r="Q73" s="561"/>
    </row>
    <row r="74" spans="1:17" s="471" customFormat="1" ht="14.4" thickBot="1">
      <c r="A74" s="553"/>
      <c r="B74" s="543"/>
      <c r="C74" s="560"/>
      <c r="D74" s="560"/>
      <c r="E74" s="560"/>
      <c r="F74" s="560"/>
      <c r="G74" s="560"/>
      <c r="H74" s="562"/>
      <c r="I74" s="562"/>
      <c r="J74" s="562"/>
      <c r="K74" s="562"/>
      <c r="L74" s="562"/>
      <c r="M74" s="563"/>
      <c r="N74" s="1154"/>
      <c r="O74" s="1154"/>
      <c r="P74" s="2680"/>
      <c r="Q74" s="559"/>
    </row>
    <row r="75" spans="1:17" s="471" customFormat="1" ht="14.4" thickTop="1">
      <c r="A75" s="553"/>
      <c r="B75" s="546">
        <f>B14</f>
        <v>111</v>
      </c>
      <c r="C75" s="523"/>
      <c r="D75" s="523"/>
      <c r="E75" s="523"/>
      <c r="F75" s="523"/>
      <c r="G75" s="523"/>
      <c r="H75" s="564"/>
      <c r="I75" s="564"/>
      <c r="J75" s="564"/>
      <c r="K75" s="564"/>
      <c r="L75" s="565"/>
      <c r="M75" s="566"/>
      <c r="N75" s="1154"/>
      <c r="O75" s="1154"/>
      <c r="P75" s="2682"/>
      <c r="Q75" s="559"/>
    </row>
    <row r="76" spans="1:17" s="471" customFormat="1" ht="14.4" thickBot="1">
      <c r="A76" s="568"/>
      <c r="B76" s="569"/>
      <c r="C76" s="570"/>
      <c r="D76" s="570"/>
      <c r="E76" s="570"/>
      <c r="F76" s="570"/>
      <c r="G76" s="570"/>
      <c r="H76" s="571"/>
      <c r="I76" s="571"/>
      <c r="J76" s="571"/>
      <c r="K76" s="571"/>
      <c r="L76" s="571"/>
      <c r="M76" s="572"/>
      <c r="N76" s="1154"/>
      <c r="O76" s="1154"/>
      <c r="P76" s="2680"/>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9.4" thickTop="1">
      <c r="A87" s="579"/>
      <c r="B87" s="538" t="s">
        <v>2696</v>
      </c>
      <c r="C87" s="554"/>
      <c r="D87" s="554"/>
      <c r="E87" s="554"/>
      <c r="F87" s="554"/>
      <c r="G87" s="554"/>
      <c r="H87" s="554"/>
      <c r="I87" s="554"/>
      <c r="J87" s="554"/>
      <c r="K87" s="554"/>
      <c r="L87" s="580"/>
      <c r="M87" s="581"/>
      <c r="N87" s="1151"/>
      <c r="O87" s="1151"/>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4.4"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4.4" thickTop="1">
      <c r="A93" s="534"/>
      <c r="B93" s="538">
        <f>B29</f>
        <v>111</v>
      </c>
      <c r="C93" s="554"/>
      <c r="D93" s="554"/>
      <c r="E93" s="554"/>
      <c r="F93" s="554"/>
      <c r="G93" s="554"/>
      <c r="H93" s="554"/>
      <c r="I93" s="554"/>
      <c r="J93" s="554"/>
      <c r="K93" s="554"/>
      <c r="L93" s="580"/>
      <c r="M93" s="581"/>
      <c r="N93" s="1152"/>
      <c r="O93" s="1152"/>
      <c r="P93" s="2679"/>
      <c r="Q93" s="504"/>
    </row>
    <row r="94" spans="1:17" ht="14.4" thickBot="1">
      <c r="A94" s="534"/>
      <c r="B94" s="543"/>
      <c r="C94" s="560"/>
      <c r="D94" s="536"/>
      <c r="E94" s="536"/>
      <c r="F94" s="536"/>
      <c r="G94" s="536"/>
      <c r="H94" s="536"/>
      <c r="I94" s="536"/>
      <c r="J94" s="536"/>
      <c r="K94" s="536"/>
      <c r="L94" s="536"/>
      <c r="M94" s="537"/>
      <c r="N94" s="1153"/>
      <c r="O94" s="1153"/>
      <c r="P94" s="2679"/>
      <c r="Q94" s="504"/>
    </row>
    <row r="95" spans="1:17" ht="14.4" thickTop="1">
      <c r="A95" s="534"/>
      <c r="B95" s="538">
        <f>B30</f>
        <v>111</v>
      </c>
      <c r="C95" s="554"/>
      <c r="D95" s="554"/>
      <c r="E95" s="554"/>
      <c r="F95" s="554"/>
      <c r="G95" s="583"/>
      <c r="H95" s="583"/>
      <c r="I95" s="583"/>
      <c r="J95" s="583"/>
      <c r="K95" s="584"/>
      <c r="L95" s="585"/>
      <c r="M95" s="586"/>
      <c r="N95" s="1152"/>
      <c r="O95" s="1152"/>
      <c r="P95" s="2679"/>
      <c r="Q95" s="504"/>
    </row>
    <row r="96" spans="1:17" ht="14.4" thickBot="1">
      <c r="A96" s="534"/>
      <c r="B96" s="543"/>
      <c r="C96" s="560"/>
      <c r="D96" s="560"/>
      <c r="E96" s="560"/>
      <c r="F96" s="560"/>
      <c r="G96" s="536"/>
      <c r="H96" s="536"/>
      <c r="I96" s="536"/>
      <c r="J96" s="536"/>
      <c r="K96" s="536"/>
      <c r="L96" s="536"/>
      <c r="M96" s="537"/>
      <c r="N96" s="1153"/>
      <c r="O96" s="1153"/>
      <c r="P96" s="2679"/>
      <c r="Q96" s="504"/>
    </row>
    <row r="97" spans="1:17" ht="14.4" thickTop="1">
      <c r="A97" s="534"/>
      <c r="B97" s="538">
        <f>B31</f>
        <v>111</v>
      </c>
      <c r="C97" s="554"/>
      <c r="D97" s="554"/>
      <c r="E97" s="554"/>
      <c r="F97" s="554"/>
      <c r="G97" s="583"/>
      <c r="H97" s="583"/>
      <c r="I97" s="583"/>
      <c r="J97" s="583"/>
      <c r="K97" s="584"/>
      <c r="L97" s="585"/>
      <c r="M97" s="586"/>
      <c r="N97" s="1152"/>
      <c r="O97" s="1152"/>
      <c r="P97" s="2679"/>
      <c r="Q97" s="504"/>
    </row>
    <row r="98" spans="1:17" ht="14.4" thickBot="1">
      <c r="A98" s="534"/>
      <c r="B98" s="543"/>
      <c r="C98" s="560"/>
      <c r="D98" s="536"/>
      <c r="E98" s="536"/>
      <c r="F98" s="536"/>
      <c r="G98" s="536"/>
      <c r="H98" s="536"/>
      <c r="I98" s="536"/>
      <c r="J98" s="536"/>
      <c r="K98" s="536"/>
      <c r="L98" s="536"/>
      <c r="M98" s="537"/>
      <c r="N98" s="1153"/>
      <c r="O98" s="1153"/>
      <c r="P98" s="2679"/>
      <c r="Q98" s="504"/>
    </row>
    <row r="99" spans="1:17" ht="14.4" thickTop="1">
      <c r="A99" s="534"/>
      <c r="B99" s="546">
        <f>B32</f>
        <v>111</v>
      </c>
      <c r="C99" s="523"/>
      <c r="D99" s="523"/>
      <c r="E99" s="523"/>
      <c r="F99" s="523"/>
      <c r="G99" s="587"/>
      <c r="H99" s="587"/>
      <c r="I99" s="587"/>
      <c r="J99" s="587"/>
      <c r="K99" s="588"/>
      <c r="L99" s="589"/>
      <c r="M99" s="590"/>
      <c r="N99" s="1152"/>
      <c r="O99" s="1152"/>
      <c r="P99" s="2679"/>
      <c r="Q99" s="504"/>
    </row>
    <row r="100" spans="1:17" ht="14.4" thickBot="1">
      <c r="A100" s="2631"/>
      <c r="B100" s="569"/>
      <c r="C100" s="570"/>
      <c r="D100" s="570"/>
      <c r="E100" s="570"/>
      <c r="F100" s="570"/>
      <c r="G100" s="591"/>
      <c r="H100" s="591"/>
      <c r="I100" s="591"/>
      <c r="J100" s="591"/>
      <c r="K100" s="591"/>
      <c r="L100" s="591"/>
      <c r="M100" s="592"/>
      <c r="N100" s="1153"/>
      <c r="O100" s="1153"/>
      <c r="P100" s="2679"/>
      <c r="Q100" s="504"/>
    </row>
    <row r="101" spans="1:17" ht="14.4">
      <c r="A101" s="527" t="s">
        <v>2560</v>
      </c>
      <c r="B101" s="528" t="s">
        <v>2609</v>
      </c>
      <c r="C101" s="530"/>
      <c r="D101" s="530"/>
      <c r="E101" s="530"/>
      <c r="F101" s="530"/>
      <c r="G101" s="530"/>
      <c r="H101" s="530"/>
      <c r="I101" s="530"/>
      <c r="J101" s="530"/>
      <c r="K101" s="531"/>
      <c r="L101" s="532"/>
      <c r="M101" s="533"/>
      <c r="N101" s="1152"/>
      <c r="O101" s="1152"/>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2611</v>
      </c>
      <c r="C106" s="554"/>
      <c r="D106" s="554"/>
      <c r="E106" s="583"/>
      <c r="F106" s="583"/>
      <c r="G106" s="583"/>
      <c r="H106" s="583"/>
      <c r="I106" s="583"/>
      <c r="J106" s="583"/>
      <c r="K106" s="584"/>
      <c r="L106" s="585"/>
      <c r="M106" s="586"/>
      <c r="N106" s="1152"/>
      <c r="O106" s="1152"/>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2613</v>
      </c>
      <c r="C108" s="554"/>
      <c r="D108" s="554"/>
      <c r="E108" s="554"/>
      <c r="F108" s="583"/>
      <c r="G108" s="583"/>
      <c r="H108" s="583"/>
      <c r="I108" s="583"/>
      <c r="J108" s="583"/>
      <c r="K108" s="584"/>
      <c r="L108" s="585"/>
      <c r="M108" s="586"/>
      <c r="N108" s="1152"/>
      <c r="O108" s="1152"/>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2614</v>
      </c>
      <c r="C115" s="554"/>
      <c r="D115" s="554"/>
      <c r="E115" s="583"/>
      <c r="F115" s="583"/>
      <c r="G115" s="583"/>
      <c r="H115" s="583"/>
      <c r="I115" s="583"/>
      <c r="J115" s="583"/>
      <c r="K115" s="584"/>
      <c r="L115" s="585"/>
      <c r="M115" s="586"/>
      <c r="N115" s="1152"/>
      <c r="O115" s="1152"/>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2615</v>
      </c>
      <c r="C117" s="554"/>
      <c r="D117" s="554"/>
      <c r="E117" s="554"/>
      <c r="F117" s="554"/>
      <c r="G117" s="554"/>
      <c r="H117" s="583"/>
      <c r="I117" s="583"/>
      <c r="J117" s="583"/>
      <c r="K117" s="584"/>
      <c r="L117" s="585"/>
      <c r="M117" s="586"/>
      <c r="N117" s="1152"/>
      <c r="O117" s="1152"/>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2698</v>
      </c>
      <c r="C119" s="583"/>
      <c r="D119" s="583"/>
      <c r="E119" s="583"/>
      <c r="F119" s="583"/>
      <c r="G119" s="583"/>
      <c r="H119" s="583"/>
      <c r="I119" s="583"/>
      <c r="J119" s="583"/>
      <c r="K119" s="583"/>
      <c r="L119" s="2684"/>
      <c r="M119" s="2685"/>
      <c r="N119" s="1153"/>
      <c r="O119" s="1153"/>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0"/>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2617</v>
      </c>
      <c r="C123" s="554"/>
      <c r="D123" s="554"/>
      <c r="E123" s="554"/>
      <c r="F123" s="583"/>
      <c r="G123" s="583"/>
      <c r="H123" s="583"/>
      <c r="I123" s="583"/>
      <c r="J123" s="583"/>
      <c r="K123" s="584"/>
      <c r="L123" s="585"/>
      <c r="M123" s="586"/>
      <c r="N123" s="1152"/>
      <c r="O123" s="1152"/>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0"/>
      <c r="Q128" s="559"/>
    </row>
    <row r="129" spans="1:17" ht="14.4" thickTop="1">
      <c r="A129" s="599"/>
      <c r="B129" s="538">
        <f>B46</f>
        <v>111</v>
      </c>
      <c r="C129" s="554"/>
      <c r="D129" s="554"/>
      <c r="E129" s="554"/>
      <c r="F129" s="554"/>
      <c r="G129" s="583"/>
      <c r="H129" s="583"/>
      <c r="I129" s="583"/>
      <c r="J129" s="583"/>
      <c r="K129" s="584"/>
      <c r="L129" s="585"/>
      <c r="M129" s="586"/>
      <c r="N129" s="1152"/>
      <c r="O129" s="1152"/>
      <c r="P129" s="2679"/>
      <c r="Q129" s="504"/>
    </row>
    <row r="130" spans="1:17" ht="14.4" thickBot="1">
      <c r="A130" s="534"/>
      <c r="B130" s="543"/>
      <c r="C130" s="560"/>
      <c r="D130" s="560"/>
      <c r="E130" s="560"/>
      <c r="F130" s="560"/>
      <c r="G130" s="536"/>
      <c r="H130" s="536"/>
      <c r="I130" s="536"/>
      <c r="J130" s="536"/>
      <c r="K130" s="536"/>
      <c r="L130" s="536"/>
      <c r="M130" s="537"/>
      <c r="N130" s="1153"/>
      <c r="O130" s="1153"/>
      <c r="P130" s="2679"/>
      <c r="Q130" s="504"/>
    </row>
    <row r="131" spans="1:17" ht="14.4" thickTop="1">
      <c r="A131" s="599"/>
      <c r="B131" s="546">
        <f>B47</f>
        <v>111</v>
      </c>
      <c r="C131" s="523"/>
      <c r="D131" s="523"/>
      <c r="E131" s="523"/>
      <c r="F131" s="523"/>
      <c r="G131" s="587"/>
      <c r="H131" s="587"/>
      <c r="I131" s="587"/>
      <c r="J131" s="587"/>
      <c r="K131" s="523"/>
      <c r="L131" s="524"/>
      <c r="M131" s="590"/>
      <c r="N131" s="1152"/>
      <c r="O131" s="1152"/>
      <c r="P131" s="2679"/>
      <c r="Q131" s="504"/>
    </row>
    <row r="132" spans="1:17" ht="14.4"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64" t="s">
        <v>2699</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4"/>
      <c r="D2" s="1124"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86753.520000000164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199" t="s">
        <v>2645</v>
      </c>
      <c r="AC4" s="3198" t="s">
        <v>2646</v>
      </c>
    </row>
    <row r="5" spans="1:29">
      <c r="A5" s="404"/>
      <c r="B5" s="405"/>
      <c r="C5" s="3243" t="s">
        <v>2539</v>
      </c>
      <c r="D5" s="3216"/>
      <c r="E5" s="3242" t="s">
        <v>2540</v>
      </c>
      <c r="F5" s="3218"/>
      <c r="G5" s="3243" t="s">
        <v>2541</v>
      </c>
      <c r="H5" s="3216"/>
      <c r="I5" s="3243" t="s">
        <v>2542</v>
      </c>
      <c r="J5" s="3216"/>
      <c r="K5" s="610"/>
      <c r="L5" s="1130"/>
      <c r="M5" s="1131"/>
      <c r="N5" s="1131"/>
      <c r="O5" s="1131"/>
      <c r="P5" s="3207"/>
      <c r="Q5" s="3208"/>
      <c r="R5" s="3213"/>
      <c r="S5" s="3214"/>
      <c r="T5" s="3213"/>
      <c r="U5" s="3214"/>
      <c r="V5" s="3223"/>
      <c r="W5" s="3223"/>
      <c r="X5" s="1813"/>
      <c r="Y5" s="3213"/>
      <c r="Z5" s="3214"/>
      <c r="AA5" s="3199"/>
      <c r="AB5" s="3199"/>
      <c r="AC5" s="3199"/>
    </row>
    <row r="6" spans="1:29" ht="15" thickBot="1">
      <c r="A6" s="406"/>
      <c r="B6" s="407"/>
      <c r="C6" s="3244" t="s">
        <v>2543</v>
      </c>
      <c r="D6" s="3220"/>
      <c r="E6" s="3245" t="s">
        <v>2543</v>
      </c>
      <c r="F6" s="3246"/>
      <c r="G6" s="3244" t="s">
        <v>2543</v>
      </c>
      <c r="H6" s="3220"/>
      <c r="I6" s="3244" t="s">
        <v>2543</v>
      </c>
      <c r="J6" s="3220"/>
      <c r="K6" s="610" t="s">
        <v>2544</v>
      </c>
      <c r="L6" s="1130"/>
      <c r="M6" s="1131"/>
      <c r="N6" s="1131"/>
      <c r="O6" s="1131"/>
      <c r="P6" s="3209"/>
      <c r="Q6" s="3210"/>
      <c r="R6" s="3213"/>
      <c r="S6" s="3214"/>
      <c r="T6" s="3221"/>
      <c r="U6" s="3222"/>
      <c r="V6" s="3223"/>
      <c r="W6" s="3223"/>
      <c r="X6" s="1813"/>
      <c r="Y6" s="3221"/>
      <c r="Z6" s="3222"/>
      <c r="AA6" s="3200"/>
      <c r="AB6" s="3200"/>
      <c r="AC6" s="3200"/>
    </row>
    <row r="7" spans="1:29" s="117" customFormat="1" ht="15" thickBot="1">
      <c r="A7" s="408" t="s">
        <v>2545</v>
      </c>
      <c r="B7" s="409"/>
      <c r="C7" s="410">
        <f>'数据-取费表'!B2</f>
        <v>43356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4" t="s">
        <v>2546</v>
      </c>
      <c r="Q7" s="3225"/>
      <c r="R7" s="770" t="s">
        <v>17</v>
      </c>
      <c r="S7" s="771">
        <f t="shared" ref="S7:S15" si="0">F7</f>
        <v>0</v>
      </c>
      <c r="T7" s="770" t="s">
        <v>17</v>
      </c>
      <c r="U7" s="771">
        <f t="shared" ref="U7:U15" si="1">H7</f>
        <v>0</v>
      </c>
      <c r="V7" s="770" t="s">
        <v>17</v>
      </c>
      <c r="W7" s="771">
        <f t="shared" ref="W7:W15" si="2">J7</f>
        <v>0</v>
      </c>
      <c r="X7" s="772"/>
      <c r="Y7" s="3224" t="s">
        <v>2546</v>
      </c>
      <c r="Z7" s="3226"/>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4" t="s">
        <v>2549</v>
      </c>
      <c r="Q8" s="3226"/>
      <c r="R8" s="770" t="s">
        <v>17</v>
      </c>
      <c r="S8" s="771">
        <f t="shared" si="0"/>
        <v>0</v>
      </c>
      <c r="T8" s="770" t="s">
        <v>17</v>
      </c>
      <c r="U8" s="771">
        <f t="shared" si="1"/>
        <v>0</v>
      </c>
      <c r="V8" s="770" t="s">
        <v>17</v>
      </c>
      <c r="W8" s="771">
        <f t="shared" si="2"/>
        <v>0</v>
      </c>
      <c r="X8" s="772"/>
      <c r="Y8" s="3224" t="s">
        <v>2549</v>
      </c>
      <c r="Z8" s="3226"/>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7"/>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2556</v>
      </c>
      <c r="B15" s="69" t="s">
        <v>2700</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2557</v>
      </c>
      <c r="Q15" s="1810" t="str">
        <f t="shared" si="6"/>
        <v>产业集聚程度</v>
      </c>
      <c r="R15" s="774" t="s">
        <v>17</v>
      </c>
      <c r="S15" s="775">
        <f t="shared" si="0"/>
        <v>100</v>
      </c>
      <c r="T15" s="774" t="s">
        <v>17</v>
      </c>
      <c r="U15" s="775">
        <f t="shared" si="1"/>
        <v>100</v>
      </c>
      <c r="V15" s="774" t="s">
        <v>17</v>
      </c>
      <c r="W15" s="775">
        <f t="shared" si="2"/>
        <v>100</v>
      </c>
      <c r="X15" s="1813"/>
      <c r="Y15" s="3230"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1"/>
      <c r="Q16" s="1810"/>
      <c r="R16" s="774"/>
      <c r="S16" s="775"/>
      <c r="T16" s="774"/>
      <c r="U16" s="775"/>
      <c r="V16" s="774"/>
      <c r="W16" s="775"/>
      <c r="X16" s="1813"/>
      <c r="Y16" s="3231"/>
      <c r="Z16" s="1814"/>
      <c r="AA16" s="1811">
        <v>1</v>
      </c>
      <c r="AB16" s="1811">
        <v>1</v>
      </c>
      <c r="AC16" s="1811">
        <v>1</v>
      </c>
    </row>
    <row r="17" spans="1:29" ht="96.6">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31"/>
      <c r="Q18" s="1810"/>
      <c r="R18" s="774"/>
      <c r="S18" s="775"/>
      <c r="T18" s="774"/>
      <c r="U18" s="775"/>
      <c r="V18" s="774"/>
      <c r="W18" s="775"/>
      <c r="X18" s="1813"/>
      <c r="Y18" s="3231"/>
      <c r="Z18" s="1814"/>
      <c r="AA18" s="1811">
        <v>1</v>
      </c>
      <c r="AB18" s="1811">
        <v>1</v>
      </c>
      <c r="AC18" s="1811">
        <v>1</v>
      </c>
    </row>
    <row r="19" spans="1:29" ht="41.4">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31"/>
      <c r="Q20" s="1810"/>
      <c r="R20" s="774"/>
      <c r="S20" s="775"/>
      <c r="T20" s="774"/>
      <c r="U20" s="775"/>
      <c r="V20" s="774"/>
      <c r="W20" s="775"/>
      <c r="X20" s="1813"/>
      <c r="Y20" s="3231"/>
      <c r="Z20" s="1814"/>
      <c r="AA20" s="1811">
        <v>1</v>
      </c>
      <c r="AB20" s="1811">
        <v>1</v>
      </c>
      <c r="AC20" s="1811">
        <v>1</v>
      </c>
    </row>
    <row r="21" spans="1:29" ht="41.4">
      <c r="A21" s="428"/>
      <c r="B21" s="1384"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31"/>
      <c r="Q22" s="1810"/>
      <c r="R22" s="774"/>
      <c r="S22" s="775"/>
      <c r="T22" s="774"/>
      <c r="U22" s="775"/>
      <c r="V22" s="774"/>
      <c r="W22" s="775"/>
      <c r="X22" s="1813"/>
      <c r="Y22" s="3231"/>
      <c r="Z22" s="1814"/>
      <c r="AA22" s="1811">
        <v>1</v>
      </c>
      <c r="AB22" s="1811">
        <v>1</v>
      </c>
      <c r="AC22" s="1811">
        <v>1</v>
      </c>
    </row>
    <row r="23" spans="1:29" ht="82.8">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31"/>
      <c r="Q24" s="1810"/>
      <c r="R24" s="774"/>
      <c r="S24" s="775"/>
      <c r="T24" s="774"/>
      <c r="U24" s="775"/>
      <c r="V24" s="774"/>
      <c r="W24" s="775"/>
      <c r="X24" s="1813"/>
      <c r="Y24" s="323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10">
        <f>B25</f>
        <v>111</v>
      </c>
      <c r="R25" s="774" t="s">
        <v>17</v>
      </c>
      <c r="S25" s="775">
        <f>F25</f>
        <v>100</v>
      </c>
      <c r="T25" s="774" t="s">
        <v>17</v>
      </c>
      <c r="U25" s="775">
        <f>H25</f>
        <v>100</v>
      </c>
      <c r="V25" s="774" t="s">
        <v>17</v>
      </c>
      <c r="W25" s="775">
        <f>J25</f>
        <v>100</v>
      </c>
      <c r="X25" s="1813"/>
      <c r="Y25" s="323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10">
        <f t="shared" ref="Q26:Q40" si="11">B26</f>
        <v>111</v>
      </c>
      <c r="R26" s="774" t="s">
        <v>17</v>
      </c>
      <c r="S26" s="775">
        <f>F26</f>
        <v>100</v>
      </c>
      <c r="T26" s="774" t="s">
        <v>17</v>
      </c>
      <c r="U26" s="775">
        <f>H26</f>
        <v>100</v>
      </c>
      <c r="V26" s="774" t="s">
        <v>17</v>
      </c>
      <c r="W26" s="775">
        <f>J26</f>
        <v>100</v>
      </c>
      <c r="X26" s="1813"/>
      <c r="Y26" s="323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95">
        <f t="shared" si="11"/>
        <v>111</v>
      </c>
      <c r="R27" s="770" t="s">
        <v>17</v>
      </c>
      <c r="S27" s="771">
        <f>F27</f>
        <v>100</v>
      </c>
      <c r="T27" s="770" t="s">
        <v>17</v>
      </c>
      <c r="U27" s="771">
        <f>H27</f>
        <v>100</v>
      </c>
      <c r="V27" s="770" t="s">
        <v>17</v>
      </c>
      <c r="W27" s="771">
        <f>J27</f>
        <v>100</v>
      </c>
      <c r="X27" s="772"/>
      <c r="Y27" s="3231"/>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10">
        <f t="shared" si="11"/>
        <v>111</v>
      </c>
      <c r="R28" s="774" t="s">
        <v>17</v>
      </c>
      <c r="S28" s="775">
        <f t="shared" ref="S28:S40" si="12">F28</f>
        <v>100</v>
      </c>
      <c r="T28" s="774" t="s">
        <v>17</v>
      </c>
      <c r="U28" s="775">
        <f t="shared" ref="U28:U40" si="13">H28</f>
        <v>100</v>
      </c>
      <c r="V28" s="774" t="s">
        <v>17</v>
      </c>
      <c r="W28" s="775">
        <f t="shared" ref="W28:W40" si="14">J28</f>
        <v>100</v>
      </c>
      <c r="X28" s="1813"/>
      <c r="Y28" s="3231"/>
      <c r="Z28" s="1814">
        <f t="shared" ref="Z28:Z40" si="15">Q28</f>
        <v>111</v>
      </c>
      <c r="AA28" s="1811">
        <f t="shared" si="3"/>
        <v>1</v>
      </c>
      <c r="AB28" s="1811">
        <f t="shared" si="4"/>
        <v>1</v>
      </c>
      <c r="AC28" s="1811">
        <f t="shared" si="5"/>
        <v>1</v>
      </c>
    </row>
    <row r="29" spans="1:29" ht="30">
      <c r="A29" s="466" t="s">
        <v>2560</v>
      </c>
      <c r="B29" s="71" t="s">
        <v>2690</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62" t="s">
        <v>2562</v>
      </c>
      <c r="Q29" s="1810" t="str">
        <f t="shared" si="11"/>
        <v>建筑类型</v>
      </c>
      <c r="R29" s="774" t="s">
        <v>17</v>
      </c>
      <c r="S29" s="775">
        <f t="shared" si="12"/>
        <v>100</v>
      </c>
      <c r="T29" s="774" t="s">
        <v>17</v>
      </c>
      <c r="U29" s="775">
        <f t="shared" si="13"/>
        <v>100</v>
      </c>
      <c r="V29" s="774" t="s">
        <v>17</v>
      </c>
      <c r="W29" s="775">
        <f t="shared" si="14"/>
        <v>100</v>
      </c>
      <c r="X29" s="1813"/>
      <c r="Y29" s="3235"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5"/>
      <c r="Q30" s="776" t="str">
        <f t="shared" si="11"/>
        <v>项目建筑规模</v>
      </c>
      <c r="R30" s="777" t="s">
        <v>17</v>
      </c>
      <c r="S30" s="778" t="e">
        <f t="shared" si="12"/>
        <v>#N/A</v>
      </c>
      <c r="T30" s="777" t="s">
        <v>17</v>
      </c>
      <c r="U30" s="778" t="e">
        <f t="shared" si="13"/>
        <v>#N/A</v>
      </c>
      <c r="V30" s="777" t="s">
        <v>17</v>
      </c>
      <c r="W30" s="778" t="e">
        <f t="shared" si="14"/>
        <v>#N/A</v>
      </c>
      <c r="X30" s="779"/>
      <c r="Y30" s="3235"/>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5"/>
      <c r="Q31" s="1810" t="str">
        <f t="shared" si="11"/>
        <v>建筑结构</v>
      </c>
      <c r="R31" s="774" t="s">
        <v>17</v>
      </c>
      <c r="S31" s="775">
        <f t="shared" si="12"/>
        <v>100</v>
      </c>
      <c r="T31" s="774" t="s">
        <v>17</v>
      </c>
      <c r="U31" s="775">
        <f t="shared" si="13"/>
        <v>100</v>
      </c>
      <c r="V31" s="774" t="s">
        <v>17</v>
      </c>
      <c r="W31" s="775">
        <f t="shared" si="14"/>
        <v>100</v>
      </c>
      <c r="X31" s="1813"/>
      <c r="Y31" s="3235"/>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5"/>
      <c r="Q32" s="1810" t="str">
        <f t="shared" si="11"/>
        <v>公共部分装修</v>
      </c>
      <c r="R32" s="774" t="s">
        <v>17</v>
      </c>
      <c r="S32" s="775">
        <f t="shared" si="12"/>
        <v>100</v>
      </c>
      <c r="T32" s="774" t="s">
        <v>17</v>
      </c>
      <c r="U32" s="775">
        <f t="shared" si="13"/>
        <v>100</v>
      </c>
      <c r="V32" s="774" t="s">
        <v>17</v>
      </c>
      <c r="W32" s="775">
        <f t="shared" si="14"/>
        <v>100</v>
      </c>
      <c r="X32" s="1813"/>
      <c r="Y32" s="3235"/>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5"/>
      <c r="Q33" s="1810" t="str">
        <f t="shared" si="11"/>
        <v>成新度</v>
      </c>
      <c r="R33" s="774" t="s">
        <v>17</v>
      </c>
      <c r="S33" s="775" t="e">
        <f t="shared" si="12"/>
        <v>#N/A</v>
      </c>
      <c r="T33" s="774" t="s">
        <v>17</v>
      </c>
      <c r="U33" s="775" t="e">
        <f t="shared" si="13"/>
        <v>#N/A</v>
      </c>
      <c r="V33" s="774" t="s">
        <v>17</v>
      </c>
      <c r="W33" s="775" t="e">
        <f t="shared" si="14"/>
        <v>#N/A</v>
      </c>
      <c r="X33" s="1813"/>
      <c r="Y33" s="3235"/>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5"/>
      <c r="Q34" s="1795" t="str">
        <f t="shared" si="11"/>
        <v>物业管理</v>
      </c>
      <c r="R34" s="770" t="s">
        <v>17</v>
      </c>
      <c r="S34" s="771">
        <f t="shared" si="12"/>
        <v>100</v>
      </c>
      <c r="T34" s="770" t="s">
        <v>17</v>
      </c>
      <c r="U34" s="771">
        <f t="shared" si="13"/>
        <v>100</v>
      </c>
      <c r="V34" s="770" t="s">
        <v>17</v>
      </c>
      <c r="W34" s="771">
        <f t="shared" si="14"/>
        <v>100</v>
      </c>
      <c r="X34" s="772"/>
      <c r="Y34" s="3235"/>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5" t="s">
        <v>2562</v>
      </c>
      <c r="Q35" s="1810" t="str">
        <f t="shared" si="11"/>
        <v>市政基础设施</v>
      </c>
      <c r="R35" s="774" t="s">
        <v>17</v>
      </c>
      <c r="S35" s="775">
        <f t="shared" si="12"/>
        <v>100</v>
      </c>
      <c r="T35" s="774" t="s">
        <v>17</v>
      </c>
      <c r="U35" s="775">
        <f t="shared" si="13"/>
        <v>100</v>
      </c>
      <c r="V35" s="774" t="s">
        <v>17</v>
      </c>
      <c r="W35" s="775">
        <f t="shared" si="14"/>
        <v>100</v>
      </c>
      <c r="X35" s="1813"/>
      <c r="Y35" s="3235"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5"/>
      <c r="Q36" s="1810" t="str">
        <f t="shared" si="11"/>
        <v>内部装修</v>
      </c>
      <c r="R36" s="774" t="s">
        <v>17</v>
      </c>
      <c r="S36" s="775">
        <f t="shared" si="12"/>
        <v>100</v>
      </c>
      <c r="T36" s="774" t="s">
        <v>17</v>
      </c>
      <c r="U36" s="775">
        <f t="shared" si="13"/>
        <v>100</v>
      </c>
      <c r="V36" s="774" t="s">
        <v>17</v>
      </c>
      <c r="W36" s="775">
        <f t="shared" si="14"/>
        <v>100</v>
      </c>
      <c r="X36" s="1813"/>
      <c r="Y36" s="3235"/>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5"/>
      <c r="Q37" s="1810" t="str">
        <f t="shared" si="11"/>
        <v>内部装修状况</v>
      </c>
      <c r="R37" s="774" t="s">
        <v>17</v>
      </c>
      <c r="S37" s="775">
        <f t="shared" si="12"/>
        <v>100</v>
      </c>
      <c r="T37" s="774" t="s">
        <v>17</v>
      </c>
      <c r="U37" s="775">
        <f t="shared" si="13"/>
        <v>100</v>
      </c>
      <c r="V37" s="774" t="s">
        <v>17</v>
      </c>
      <c r="W37" s="775">
        <f t="shared" si="14"/>
        <v>100</v>
      </c>
      <c r="X37" s="1813"/>
      <c r="Y37" s="323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5"/>
      <c r="Q38" s="776">
        <f t="shared" si="11"/>
        <v>111</v>
      </c>
      <c r="R38" s="777" t="s">
        <v>17</v>
      </c>
      <c r="S38" s="778">
        <f t="shared" si="12"/>
        <v>100</v>
      </c>
      <c r="T38" s="777" t="s">
        <v>17</v>
      </c>
      <c r="U38" s="778">
        <f t="shared" si="13"/>
        <v>100</v>
      </c>
      <c r="V38" s="777" t="s">
        <v>17</v>
      </c>
      <c r="W38" s="778">
        <f t="shared" si="14"/>
        <v>100</v>
      </c>
      <c r="X38" s="779"/>
      <c r="Y38" s="323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5"/>
      <c r="Q39" s="1810">
        <f t="shared" si="11"/>
        <v>111</v>
      </c>
      <c r="R39" s="774" t="s">
        <v>17</v>
      </c>
      <c r="S39" s="775">
        <f t="shared" si="12"/>
        <v>100</v>
      </c>
      <c r="T39" s="774" t="s">
        <v>17</v>
      </c>
      <c r="U39" s="775">
        <f t="shared" si="13"/>
        <v>100</v>
      </c>
      <c r="V39" s="774" t="s">
        <v>17</v>
      </c>
      <c r="W39" s="775">
        <f t="shared" si="14"/>
        <v>100</v>
      </c>
      <c r="X39" s="1813"/>
      <c r="Y39" s="3235"/>
      <c r="Z39" s="1814">
        <f t="shared" si="15"/>
        <v>111</v>
      </c>
      <c r="AA39" s="1811">
        <f t="shared" si="3"/>
        <v>1</v>
      </c>
      <c r="AB39" s="1811">
        <f t="shared" si="4"/>
        <v>1</v>
      </c>
      <c r="AC39" s="1811">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10">
        <f t="shared" si="11"/>
        <v>111</v>
      </c>
      <c r="R40" s="774" t="s">
        <v>17</v>
      </c>
      <c r="S40" s="775">
        <f t="shared" si="12"/>
        <v>100</v>
      </c>
      <c r="T40" s="774" t="s">
        <v>17</v>
      </c>
      <c r="U40" s="775">
        <f t="shared" si="13"/>
        <v>100</v>
      </c>
      <c r="V40" s="774" t="s">
        <v>17</v>
      </c>
      <c r="W40" s="775">
        <f t="shared" si="14"/>
        <v>100</v>
      </c>
      <c r="X40" s="1813"/>
      <c r="Y40" s="3236"/>
      <c r="Z40" s="1814">
        <f t="shared" si="15"/>
        <v>111</v>
      </c>
      <c r="AA40" s="1811">
        <f t="shared" si="3"/>
        <v>1</v>
      </c>
      <c r="AB40" s="1811">
        <f t="shared" si="4"/>
        <v>1</v>
      </c>
      <c r="AC40" s="1811">
        <f t="shared" si="5"/>
        <v>1</v>
      </c>
    </row>
    <row r="41" spans="1:29" ht="14.4">
      <c r="A41" s="479" t="s">
        <v>2574</v>
      </c>
      <c r="B41" s="480"/>
      <c r="C41" s="1407" t="s">
        <v>1</v>
      </c>
      <c r="D41" s="1408"/>
      <c r="E41" s="1409"/>
      <c r="F41" s="1410"/>
      <c r="G41" s="1411"/>
      <c r="H41" s="1412"/>
      <c r="I41" s="1409"/>
      <c r="J41" s="1412"/>
      <c r="K41" s="783"/>
      <c r="L41" s="1143"/>
      <c r="M41" s="1144"/>
      <c r="N41" s="1131"/>
      <c r="O41" s="1144"/>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 thickBot="1">
      <c r="A43" s="492" t="s">
        <v>2667</v>
      </c>
      <c r="B43" s="493"/>
      <c r="C43" s="1417" t="e">
        <f>R43</f>
        <v>#DIV/0!</v>
      </c>
      <c r="D43" s="1417"/>
      <c r="E43" s="1417"/>
      <c r="F43" s="1417"/>
      <c r="G43" s="1417"/>
      <c r="H43" s="1417"/>
      <c r="I43" s="1417"/>
      <c r="J43" s="1417"/>
      <c r="K43" s="785"/>
      <c r="L43" s="1143"/>
      <c r="M43" s="1144"/>
      <c r="N43" s="1144"/>
      <c r="O43" s="1144"/>
      <c r="P43" s="3239" t="str">
        <f>A43</f>
        <v>估价对象XX用房的比较价值（楼面单价，元/平方米）</v>
      </c>
      <c r="Q43" s="3240"/>
      <c r="R43" s="3241" t="e">
        <f>IF(F1="售价",ROUND(AVERAGE(R42:V42),0),ROUND(AVERAGE(R42:V42),1))</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4" t="str">
        <f>YEAR(C7)&amp;"-"&amp;MONTH(C7)</f>
        <v>2018-9</v>
      </c>
      <c r="D52" s="1575">
        <f>EDATE(C52,-1)</f>
        <v>43313</v>
      </c>
      <c r="E52" s="1575">
        <f t="shared" ref="E52:O52" si="16">EDATE(D52,-1)</f>
        <v>43282</v>
      </c>
      <c r="F52" s="1575">
        <f t="shared" si="16"/>
        <v>43252</v>
      </c>
      <c r="G52" s="1575">
        <f t="shared" si="16"/>
        <v>43221</v>
      </c>
      <c r="H52" s="1575">
        <f t="shared" si="16"/>
        <v>43191</v>
      </c>
      <c r="I52" s="1575">
        <f t="shared" si="16"/>
        <v>43160</v>
      </c>
      <c r="J52" s="1575">
        <f t="shared" si="16"/>
        <v>43132</v>
      </c>
      <c r="K52" s="1575">
        <f t="shared" si="16"/>
        <v>43101</v>
      </c>
      <c r="L52" s="1575">
        <f t="shared" si="16"/>
        <v>43070</v>
      </c>
      <c r="M52" s="1575">
        <f t="shared" si="16"/>
        <v>43040</v>
      </c>
      <c r="N52" s="1575">
        <f t="shared" si="16"/>
        <v>43009</v>
      </c>
      <c r="O52" s="1575">
        <f t="shared" si="16"/>
        <v>42979</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1"/>
      <c r="B87" s="569"/>
      <c r="C87" s="570"/>
      <c r="D87" s="570"/>
      <c r="E87" s="570"/>
      <c r="F87" s="570"/>
      <c r="G87" s="591"/>
      <c r="H87" s="591"/>
      <c r="I87" s="591"/>
      <c r="J87" s="591"/>
      <c r="K87" s="591"/>
      <c r="L87" s="591"/>
      <c r="M87" s="592"/>
      <c r="N87" s="1153"/>
      <c r="O87" s="1153"/>
      <c r="P87" s="45"/>
      <c r="Q87" s="504"/>
    </row>
    <row r="88" spans="1:17" ht="14.4">
      <c r="A88" s="527" t="s">
        <v>2560</v>
      </c>
      <c r="B88" s="528" t="s">
        <v>2609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I5" sqref="I5:J6"/>
    </sheetView>
  </sheetViews>
  <sheetFormatPr defaultColWidth="9" defaultRowHeight="13.8"/>
  <cols>
    <col min="1" max="1" width="10.44140625" style="403" customWidth="1"/>
    <col min="2" max="2" width="16.77734375" style="403" customWidth="1"/>
    <col min="3" max="3" width="16.2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t="s">
        <v>3057</v>
      </c>
      <c r="C1" s="1620" t="s">
        <v>2527</v>
      </c>
      <c r="D1" s="1621" t="s">
        <v>48</v>
      </c>
      <c r="E1" s="1622"/>
      <c r="F1" s="2582" t="s">
        <v>3493</v>
      </c>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f>IF(C2="——",IF(B37="元/平方米",ROUND(C39*D3/10000,0),ROUND(F3*C39/10000,0)),IF(B37="元/平方米",ROUND(C39*D3/10000,0),ROUND(F3*C39/10000,0))-D2)</f>
        <v>9320</v>
      </c>
      <c r="C2" s="2584" t="s">
        <v>70</v>
      </c>
      <c r="D2" s="1124" t="e">
        <f ca="1">SUMIF(INDIRECT("'"&amp;F2&amp;"'"&amp;"!A:A"),"承租人权益价值",INDIRECT("'"&amp;F2&amp;"'"&amp;"!c:c"))</f>
        <v>#REF!</v>
      </c>
      <c r="E2" s="2585" t="s">
        <v>2328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11610</v>
      </c>
      <c r="C3" s="400" t="s">
        <v>2641</v>
      </c>
      <c r="D3" s="399">
        <f>SUMIF('数据-汇总表'!$C19:$C33,D1,'数据-汇总表'!$E19:$E33)</f>
        <v>8027.2500000000664</v>
      </c>
      <c r="E3" s="400" t="s">
        <v>2705</v>
      </c>
      <c r="F3" s="399">
        <f>SUMIF('数据-取费表'!A5:A15,D1,'数据-取费表'!AH5:AH15)</f>
        <v>630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199" t="s">
        <v>2645</v>
      </c>
      <c r="AC4" s="3198" t="s">
        <v>2646</v>
      </c>
    </row>
    <row r="5" spans="1:29" ht="13.95" customHeight="1">
      <c r="A5" s="404"/>
      <c r="B5" s="405"/>
      <c r="C5" s="3243" t="str">
        <f>'比较法-排屋'!C5:D5</f>
        <v>优优学府</v>
      </c>
      <c r="D5" s="3216"/>
      <c r="E5" s="3242" t="str">
        <f>'比较法-高层'!E5:F5</f>
        <v>恒大悦珑湾</v>
      </c>
      <c r="F5" s="3218"/>
      <c r="G5" s="3242" t="str">
        <f>'比较法-高层'!G5:H5</f>
        <v>融创西山宸院</v>
      </c>
      <c r="H5" s="3218"/>
      <c r="I5" s="3242">
        <v>93</v>
      </c>
      <c r="J5" s="3218"/>
      <c r="K5" s="610"/>
      <c r="L5" s="1130"/>
      <c r="M5" s="1131"/>
      <c r="N5" s="1131"/>
      <c r="O5" s="1131"/>
      <c r="P5" s="3207"/>
      <c r="Q5" s="3208"/>
      <c r="R5" s="3213"/>
      <c r="S5" s="3214"/>
      <c r="T5" s="3213"/>
      <c r="U5" s="3214"/>
      <c r="V5" s="3223"/>
      <c r="W5" s="3223"/>
      <c r="X5" s="1813"/>
      <c r="Y5" s="3213"/>
      <c r="Z5" s="3214"/>
      <c r="AA5" s="3199"/>
      <c r="AB5" s="3199"/>
      <c r="AC5" s="3199"/>
    </row>
    <row r="6" spans="1:29" ht="15" thickBot="1">
      <c r="A6" s="406"/>
      <c r="B6" s="407"/>
      <c r="C6" s="3243" t="str">
        <f>'比较法-排屋'!C6:D6</f>
        <v>吴兴区</v>
      </c>
      <c r="D6" s="3216"/>
      <c r="E6" s="3242" t="str">
        <f>'比较法-高层'!E6:F6</f>
        <v>吴兴区</v>
      </c>
      <c r="F6" s="3218"/>
      <c r="G6" s="3242" t="str">
        <f>'比较法-高层'!G6:H6</f>
        <v>吴兴区</v>
      </c>
      <c r="H6" s="3218"/>
      <c r="I6" s="3242" t="str">
        <f>'比较法-高层'!I6:J6</f>
        <v>吴兴区</v>
      </c>
      <c r="J6" s="3218"/>
      <c r="K6" s="610" t="s">
        <v>2544</v>
      </c>
      <c r="L6" s="1130"/>
      <c r="M6" s="1131"/>
      <c r="N6" s="1131"/>
      <c r="O6" s="1131"/>
      <c r="P6" s="3209"/>
      <c r="Q6" s="3210"/>
      <c r="R6" s="3213"/>
      <c r="S6" s="3214"/>
      <c r="T6" s="3221"/>
      <c r="U6" s="3222"/>
      <c r="V6" s="3223"/>
      <c r="W6" s="3223"/>
      <c r="X6" s="1813"/>
      <c r="Y6" s="3221"/>
      <c r="Z6" s="3222"/>
      <c r="AA6" s="3200"/>
      <c r="AB6" s="3200"/>
      <c r="AC6" s="3200"/>
    </row>
    <row r="7" spans="1:29" s="117" customFormat="1" ht="15" thickBot="1">
      <c r="A7" s="408" t="s">
        <v>2545</v>
      </c>
      <c r="B7" s="409"/>
      <c r="C7" s="410">
        <f>'数据-取费表'!B2</f>
        <v>43356</v>
      </c>
      <c r="D7" s="411">
        <v>100</v>
      </c>
      <c r="E7" s="2969">
        <v>43344</v>
      </c>
      <c r="F7" s="413">
        <f>SUMIF(48:48,YEAR(E7)&amp;"-"&amp;MONTH(E7),49:49)</f>
        <v>100</v>
      </c>
      <c r="G7" s="2969">
        <v>43344</v>
      </c>
      <c r="H7" s="411">
        <f>SUMIF(48:48,YEAR(G7)&amp;"-"&amp;MONTH(G7),49:49)</f>
        <v>100</v>
      </c>
      <c r="I7" s="2969">
        <v>43344</v>
      </c>
      <c r="J7" s="411">
        <f>SUMIF(48:48,YEAR(I7)&amp;"-"&amp;MONTH(I7),49:49)</f>
        <v>100</v>
      </c>
      <c r="K7" s="611"/>
      <c r="L7" s="1132"/>
      <c r="M7" s="1133"/>
      <c r="N7" s="1133"/>
      <c r="O7" s="1133"/>
      <c r="P7" s="3224" t="s">
        <v>2546</v>
      </c>
      <c r="Q7" s="3225"/>
      <c r="R7" s="770" t="s">
        <v>17</v>
      </c>
      <c r="S7" s="771">
        <f t="shared" ref="S7:S14" si="0">F7</f>
        <v>100</v>
      </c>
      <c r="T7" s="770" t="s">
        <v>17</v>
      </c>
      <c r="U7" s="771">
        <f t="shared" ref="U7:U14" si="1">H7</f>
        <v>100</v>
      </c>
      <c r="V7" s="770" t="s">
        <v>17</v>
      </c>
      <c r="W7" s="771">
        <f t="shared" ref="W7:W14" si="2">J7</f>
        <v>100</v>
      </c>
      <c r="X7" s="772"/>
      <c r="Y7" s="3224" t="s">
        <v>2546</v>
      </c>
      <c r="Z7" s="3226"/>
      <c r="AA7" s="773">
        <f>D7/F7</f>
        <v>1</v>
      </c>
      <c r="AB7" s="773">
        <f>D7/H7</f>
        <v>1</v>
      </c>
      <c r="AC7" s="773">
        <f>D7/J7</f>
        <v>1</v>
      </c>
    </row>
    <row r="8" spans="1:29" s="117" customFormat="1" ht="15" thickBot="1">
      <c r="A8" s="408" t="s">
        <v>2547</v>
      </c>
      <c r="B8" s="409"/>
      <c r="C8" s="414" t="s">
        <v>2649</v>
      </c>
      <c r="D8" s="411">
        <v>100</v>
      </c>
      <c r="E8" s="414" t="s">
        <v>2584</v>
      </c>
      <c r="F8" s="413">
        <f>SUMIF(51:51,E8,52:52)-SUMIF(51:51,C8,52:52)+100</f>
        <v>100</v>
      </c>
      <c r="G8" s="414" t="s">
        <v>2584</v>
      </c>
      <c r="H8" s="411">
        <f>SUMIF(51:51,G8,52:52)-SUMIF(51:51,C8,52:52)+100</f>
        <v>100</v>
      </c>
      <c r="I8" s="414" t="s">
        <v>2584</v>
      </c>
      <c r="J8" s="411">
        <f>SUMIF(51:51,I8,52:52)-SUMIF(51:51,C8,52:52)+100</f>
        <v>100</v>
      </c>
      <c r="K8" s="611"/>
      <c r="L8" s="1132"/>
      <c r="M8" s="1133"/>
      <c r="N8" s="1133"/>
      <c r="O8" s="1133"/>
      <c r="P8" s="3224" t="s">
        <v>2549</v>
      </c>
      <c r="Q8" s="3226"/>
      <c r="R8" s="770" t="s">
        <v>17</v>
      </c>
      <c r="S8" s="771">
        <f t="shared" si="0"/>
        <v>100</v>
      </c>
      <c r="T8" s="770" t="s">
        <v>17</v>
      </c>
      <c r="U8" s="771">
        <f t="shared" si="1"/>
        <v>100</v>
      </c>
      <c r="V8" s="770" t="s">
        <v>17</v>
      </c>
      <c r="W8" s="771">
        <f t="shared" si="2"/>
        <v>100</v>
      </c>
      <c r="X8" s="772"/>
      <c r="Y8" s="3224" t="s">
        <v>2549</v>
      </c>
      <c r="Z8" s="3226"/>
      <c r="AA8" s="773">
        <f t="shared" ref="AA8:AA36" si="3">D8/F8</f>
        <v>1</v>
      </c>
      <c r="AB8" s="773">
        <f t="shared" ref="AB8:AB36" si="4">D8/H8</f>
        <v>1</v>
      </c>
      <c r="AC8" s="773">
        <f t="shared" ref="AC8:AC36" si="5">D8/J8</f>
        <v>1</v>
      </c>
    </row>
    <row r="9" spans="1:29" s="117" customFormat="1" ht="14.4">
      <c r="A9" s="68" t="s">
        <v>2550</v>
      </c>
      <c r="B9" s="640" t="s">
        <v>2551</v>
      </c>
      <c r="C9" s="2967" t="s">
        <v>3494</v>
      </c>
      <c r="D9" s="135">
        <v>100</v>
      </c>
      <c r="E9" s="419" t="s">
        <v>3076</v>
      </c>
      <c r="F9" s="135">
        <f>SUMIF(53:53,E9,54:54)-SUMIF(53:53,C9,54:54)+100</f>
        <v>100</v>
      </c>
      <c r="G9" s="419" t="s">
        <v>3076</v>
      </c>
      <c r="H9" s="135">
        <f>SUMIF(53:53,G9,54:54)-SUMIF(53:53,C9,54:54)+100</f>
        <v>100</v>
      </c>
      <c r="I9" s="419" t="s">
        <v>3076</v>
      </c>
      <c r="J9" s="135">
        <f>SUMIF(53:53,I9,54:54)-SUMIF(53:53,C9,54:54)+100</f>
        <v>100</v>
      </c>
      <c r="K9" s="611"/>
      <c r="L9" s="1132"/>
      <c r="M9" s="1133"/>
      <c r="N9" s="1133"/>
      <c r="O9" s="1133"/>
      <c r="P9" s="3237" t="s">
        <v>2552</v>
      </c>
      <c r="Q9" s="1795" t="str">
        <f t="shared" ref="Q9:Q14" si="6">B9</f>
        <v>用途</v>
      </c>
      <c r="R9" s="770" t="s">
        <v>17</v>
      </c>
      <c r="S9" s="771">
        <f t="shared" si="0"/>
        <v>100</v>
      </c>
      <c r="T9" s="770" t="s">
        <v>17</v>
      </c>
      <c r="U9" s="771">
        <f t="shared" si="1"/>
        <v>100</v>
      </c>
      <c r="V9" s="770" t="s">
        <v>17</v>
      </c>
      <c r="W9" s="771">
        <f t="shared" si="2"/>
        <v>100</v>
      </c>
      <c r="X9" s="772"/>
      <c r="Y9" s="3047" t="s">
        <v>2553</v>
      </c>
      <c r="Z9" s="55" t="str">
        <f t="shared" ref="Z9:Z14" si="7">Q9</f>
        <v>用途</v>
      </c>
      <c r="AA9" s="773">
        <f t="shared" si="3"/>
        <v>1</v>
      </c>
      <c r="AB9" s="773">
        <f t="shared" si="4"/>
        <v>1</v>
      </c>
      <c r="AC9" s="773">
        <f t="shared" si="5"/>
        <v>1</v>
      </c>
    </row>
    <row r="10" spans="1:29" s="427" customFormat="1" ht="28.8">
      <c r="A10" s="641"/>
      <c r="B10" s="642" t="s">
        <v>2554</v>
      </c>
      <c r="C10" s="423" t="s">
        <v>3495</v>
      </c>
      <c r="D10" s="136">
        <v>100</v>
      </c>
      <c r="E10" s="423" t="s">
        <v>3495</v>
      </c>
      <c r="F10" s="136">
        <f>SUMIF(55:55,E10,56:56)-SUMIF(55:55,C10,56:56)+100</f>
        <v>100</v>
      </c>
      <c r="G10" s="423" t="s">
        <v>3495</v>
      </c>
      <c r="H10" s="136">
        <f>SUMIF(55:55,G10,56:56)-SUMIF(55:55,C10,56:56)+100</f>
        <v>100</v>
      </c>
      <c r="I10" s="423" t="s">
        <v>3495</v>
      </c>
      <c r="J10" s="136">
        <f>SUMIF(55:55,I10,56:56)-SUMIF(55:55,C10,56:56)+100</f>
        <v>100</v>
      </c>
      <c r="K10" s="612">
        <v>1</v>
      </c>
      <c r="L10" s="1135"/>
      <c r="M10" s="1136"/>
      <c r="N10" s="1136"/>
      <c r="O10" s="1136"/>
      <c r="P10" s="323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7"/>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82.8">
      <c r="A14" s="401" t="s">
        <v>2556</v>
      </c>
      <c r="B14" s="629" t="s">
        <v>2706</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0"/>
      <c r="M14" s="1131"/>
      <c r="N14" s="1131"/>
      <c r="O14" s="1131"/>
      <c r="P14" s="3230" t="s">
        <v>2557</v>
      </c>
      <c r="Q14" s="1810" t="str">
        <f t="shared" si="6"/>
        <v>交通便捷度</v>
      </c>
      <c r="R14" s="774" t="s">
        <v>17</v>
      </c>
      <c r="S14" s="775">
        <f t="shared" si="0"/>
        <v>100</v>
      </c>
      <c r="T14" s="774" t="s">
        <v>17</v>
      </c>
      <c r="U14" s="775">
        <f t="shared" si="1"/>
        <v>100</v>
      </c>
      <c r="V14" s="774" t="s">
        <v>17</v>
      </c>
      <c r="W14" s="775">
        <f t="shared" si="2"/>
        <v>100</v>
      </c>
      <c r="X14" s="1813"/>
      <c r="Y14" s="3230" t="s">
        <v>2557</v>
      </c>
      <c r="Z14" s="1814" t="str">
        <f t="shared" si="7"/>
        <v>交通便捷度</v>
      </c>
      <c r="AA14" s="1811">
        <f t="shared" si="3"/>
        <v>1</v>
      </c>
      <c r="AB14" s="1811">
        <f t="shared" si="4"/>
        <v>1</v>
      </c>
      <c r="AC14" s="1811">
        <f t="shared" si="5"/>
        <v>1</v>
      </c>
    </row>
    <row r="15" spans="1:29" ht="15">
      <c r="A15" s="404"/>
      <c r="B15" s="647"/>
      <c r="C15" s="447" t="s">
        <v>3437</v>
      </c>
      <c r="D15" s="448"/>
      <c r="E15" s="447" t="s">
        <v>3437</v>
      </c>
      <c r="F15" s="449"/>
      <c r="G15" s="447" t="s">
        <v>3437</v>
      </c>
      <c r="H15" s="450"/>
      <c r="I15" s="447" t="s">
        <v>3437</v>
      </c>
      <c r="J15" s="448"/>
      <c r="K15" s="615"/>
      <c r="L15" s="1140"/>
      <c r="M15" s="1131"/>
      <c r="N15" s="1131"/>
      <c r="O15" s="1131"/>
      <c r="P15" s="3231"/>
      <c r="Q15" s="1810"/>
      <c r="R15" s="774"/>
      <c r="S15" s="775"/>
      <c r="T15" s="774"/>
      <c r="U15" s="775"/>
      <c r="V15" s="774"/>
      <c r="W15" s="775"/>
      <c r="X15" s="1813"/>
      <c r="Y15" s="3231"/>
      <c r="Z15" s="1814"/>
      <c r="AA15" s="1811">
        <v>1</v>
      </c>
      <c r="AB15" s="1811">
        <v>1</v>
      </c>
      <c r="AC15" s="1811">
        <v>1</v>
      </c>
    </row>
    <row r="16" spans="1:29" ht="41.4">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0"/>
      <c r="M16" s="1131"/>
      <c r="N16" s="1131"/>
      <c r="O16" s="1131"/>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04"/>
      <c r="B17" s="632"/>
      <c r="C17" s="2605" t="s">
        <v>3437</v>
      </c>
      <c r="D17" s="448"/>
      <c r="E17" s="2605" t="s">
        <v>3437</v>
      </c>
      <c r="F17" s="449"/>
      <c r="G17" s="2605" t="s">
        <v>3437</v>
      </c>
      <c r="H17" s="448"/>
      <c r="I17" s="2605" t="s">
        <v>3437</v>
      </c>
      <c r="J17" s="448"/>
      <c r="K17" s="615"/>
      <c r="L17" s="1140"/>
      <c r="M17" s="1131"/>
      <c r="N17" s="1131"/>
      <c r="O17" s="1131"/>
      <c r="P17" s="3231"/>
      <c r="Q17" s="1810"/>
      <c r="R17" s="774"/>
      <c r="S17" s="775"/>
      <c r="T17" s="774"/>
      <c r="U17" s="775"/>
      <c r="V17" s="774"/>
      <c r="W17" s="775"/>
      <c r="X17" s="1813"/>
      <c r="Y17" s="3231"/>
      <c r="Z17" s="1814"/>
      <c r="AA17" s="1811">
        <v>1</v>
      </c>
      <c r="AB17" s="1811">
        <v>1</v>
      </c>
      <c r="AC17" s="1811">
        <v>1</v>
      </c>
    </row>
    <row r="18" spans="1:29" ht="27.6">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40"/>
      <c r="M18" s="1131"/>
      <c r="N18" s="1131"/>
      <c r="O18" s="1131"/>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04"/>
      <c r="B19" s="633"/>
      <c r="C19" s="2605" t="s">
        <v>3438</v>
      </c>
      <c r="D19" s="450"/>
      <c r="E19" s="2605" t="s">
        <v>3438</v>
      </c>
      <c r="F19" s="453"/>
      <c r="G19" s="2605" t="s">
        <v>3438</v>
      </c>
      <c r="H19" s="448"/>
      <c r="I19" s="2605" t="s">
        <v>3438</v>
      </c>
      <c r="J19" s="448"/>
      <c r="K19" s="1383"/>
      <c r="L19" s="1140"/>
      <c r="M19" s="1131"/>
      <c r="N19" s="1131"/>
      <c r="O19" s="1131"/>
      <c r="P19" s="3231"/>
      <c r="Q19" s="1810"/>
      <c r="R19" s="774"/>
      <c r="S19" s="775"/>
      <c r="T19" s="774"/>
      <c r="U19" s="775"/>
      <c r="V19" s="774"/>
      <c r="W19" s="775"/>
      <c r="X19" s="1813"/>
      <c r="Y19" s="3231"/>
      <c r="Z19" s="1814"/>
      <c r="AA19" s="1811">
        <v>1</v>
      </c>
      <c r="AB19" s="1811">
        <v>1</v>
      </c>
      <c r="AC19" s="1811">
        <v>1</v>
      </c>
    </row>
    <row r="20" spans="1:29" ht="55.2">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0"/>
      <c r="M20" s="1131"/>
      <c r="N20" s="1131"/>
      <c r="O20" s="1131"/>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04"/>
      <c r="B21" s="632"/>
      <c r="C21" s="447" t="s">
        <v>3437</v>
      </c>
      <c r="D21" s="448"/>
      <c r="E21" s="447" t="s">
        <v>3437</v>
      </c>
      <c r="F21" s="449"/>
      <c r="G21" s="447" t="s">
        <v>3437</v>
      </c>
      <c r="H21" s="448"/>
      <c r="I21" s="447" t="s">
        <v>3437</v>
      </c>
      <c r="J21" s="448"/>
      <c r="K21" s="615"/>
      <c r="L21" s="1140"/>
      <c r="M21" s="1131"/>
      <c r="N21" s="1131"/>
      <c r="O21" s="1131"/>
      <c r="P21" s="3231"/>
      <c r="Q21" s="1810"/>
      <c r="R21" s="774"/>
      <c r="S21" s="775"/>
      <c r="T21" s="774"/>
      <c r="U21" s="775"/>
      <c r="V21" s="774"/>
      <c r="W21" s="775"/>
      <c r="X21" s="1813"/>
      <c r="Y21" s="3231"/>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10">
        <f t="shared" ref="Q24:Q36"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30">
      <c r="A26" s="652" t="s">
        <v>2560</v>
      </c>
      <c r="B26" s="70" t="s">
        <v>2709</v>
      </c>
      <c r="C26" s="2689" t="str">
        <f>B1</f>
        <v>住宅</v>
      </c>
      <c r="D26" s="448">
        <v>100</v>
      </c>
      <c r="E26" s="447" t="s">
        <v>3057</v>
      </c>
      <c r="F26" s="449">
        <f>SUMIF(79:79,E26,80:80)-SUMIF(79:79,C26,80:80)+100</f>
        <v>100</v>
      </c>
      <c r="G26" s="447" t="s">
        <v>3057</v>
      </c>
      <c r="H26" s="448">
        <f>SUMIF(79:79,G26,80:80)-SUMIF(79:79,C26,80:80)+100</f>
        <v>100</v>
      </c>
      <c r="I26" s="447" t="s">
        <v>3057</v>
      </c>
      <c r="J26" s="448">
        <f>SUMIF(79:79,I26,80:80)-SUMIF(79:79,C26,80:80)+100</f>
        <v>100</v>
      </c>
      <c r="K26" s="612">
        <v>2</v>
      </c>
      <c r="L26" s="1140"/>
      <c r="M26" s="1131"/>
      <c r="N26" s="1131"/>
      <c r="O26" s="1131"/>
      <c r="P26" s="326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5"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5"/>
      <c r="Q27" s="776" t="str">
        <f t="shared" si="11"/>
        <v>项目停车位配比</v>
      </c>
      <c r="R27" s="777" t="s">
        <v>17</v>
      </c>
      <c r="S27" s="778">
        <f t="shared" si="12"/>
        <v>100</v>
      </c>
      <c r="T27" s="777" t="s">
        <v>17</v>
      </c>
      <c r="U27" s="778">
        <f t="shared" si="13"/>
        <v>100</v>
      </c>
      <c r="V27" s="777" t="s">
        <v>17</v>
      </c>
      <c r="W27" s="778">
        <f t="shared" si="14"/>
        <v>100</v>
      </c>
      <c r="X27" s="779"/>
      <c r="Y27" s="3235"/>
      <c r="Z27" s="780" t="str">
        <f t="shared" si="15"/>
        <v>项目停车位配比</v>
      </c>
      <c r="AA27" s="1811">
        <f t="shared" si="3"/>
        <v>1</v>
      </c>
      <c r="AB27" s="1811">
        <f t="shared" si="4"/>
        <v>1</v>
      </c>
      <c r="AC27" s="1811">
        <f t="shared" si="5"/>
        <v>1</v>
      </c>
    </row>
    <row r="28" spans="1:29" ht="15">
      <c r="A28" s="656"/>
      <c r="B28" s="654" t="s">
        <v>2711</v>
      </c>
      <c r="C28" s="460" t="s">
        <v>3497</v>
      </c>
      <c r="D28" s="435">
        <v>100</v>
      </c>
      <c r="E28" s="460" t="s">
        <v>3497</v>
      </c>
      <c r="F28" s="461">
        <f>SUMIF(83:83,E28,84:84)-SUMIF(83:83,C28,84:84)+100</f>
        <v>100</v>
      </c>
      <c r="G28" s="460" t="s">
        <v>3497</v>
      </c>
      <c r="H28" s="435">
        <f>SUMIF(83:83,G28,84:84)-SUMIF(83:83,C28,84:84)+100</f>
        <v>100</v>
      </c>
      <c r="I28" s="460" t="s">
        <v>3497</v>
      </c>
      <c r="J28" s="435">
        <f>SUMIF(83:83,I28,84:84)-SUMIF(83:83,C28,84:84)+100</f>
        <v>100</v>
      </c>
      <c r="K28" s="612">
        <v>2</v>
      </c>
      <c r="L28" s="1140"/>
      <c r="M28" s="1131"/>
      <c r="N28" s="1131"/>
      <c r="O28" s="1131"/>
      <c r="P28" s="3235"/>
      <c r="Q28" s="1810" t="str">
        <f t="shared" si="11"/>
        <v>公共部分装修</v>
      </c>
      <c r="R28" s="774" t="s">
        <v>17</v>
      </c>
      <c r="S28" s="775">
        <f t="shared" si="12"/>
        <v>100</v>
      </c>
      <c r="T28" s="774" t="s">
        <v>17</v>
      </c>
      <c r="U28" s="775">
        <f t="shared" si="13"/>
        <v>100</v>
      </c>
      <c r="V28" s="774" t="s">
        <v>17</v>
      </c>
      <c r="W28" s="775">
        <f t="shared" si="14"/>
        <v>100</v>
      </c>
      <c r="X28" s="1813"/>
      <c r="Y28" s="3235"/>
      <c r="Z28" s="1814" t="str">
        <f t="shared" si="15"/>
        <v>公共部分装修</v>
      </c>
      <c r="AA28" s="1811">
        <f t="shared" si="3"/>
        <v>1</v>
      </c>
      <c r="AB28" s="1811">
        <f t="shared" si="4"/>
        <v>1</v>
      </c>
      <c r="AC28" s="1811">
        <f t="shared" si="5"/>
        <v>1</v>
      </c>
    </row>
    <row r="29" spans="1:29" ht="15">
      <c r="A29" s="656"/>
      <c r="B29" s="654" t="s">
        <v>2712</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35"/>
      <c r="Q29" s="1810" t="str">
        <f t="shared" si="11"/>
        <v>成新率</v>
      </c>
      <c r="R29" s="774" t="s">
        <v>17</v>
      </c>
      <c r="S29" s="775">
        <f t="shared" si="12"/>
        <v>100</v>
      </c>
      <c r="T29" s="774" t="s">
        <v>17</v>
      </c>
      <c r="U29" s="775">
        <f t="shared" si="13"/>
        <v>100</v>
      </c>
      <c r="V29" s="774" t="s">
        <v>17</v>
      </c>
      <c r="W29" s="775">
        <f t="shared" si="14"/>
        <v>100</v>
      </c>
      <c r="X29" s="1813"/>
      <c r="Y29" s="3235"/>
      <c r="Z29" s="1814" t="str">
        <f t="shared" si="15"/>
        <v>成新率</v>
      </c>
      <c r="AA29" s="1811">
        <f t="shared" si="3"/>
        <v>1</v>
      </c>
      <c r="AB29" s="1811">
        <f t="shared" si="4"/>
        <v>1</v>
      </c>
      <c r="AC29" s="1811">
        <f t="shared" si="5"/>
        <v>1</v>
      </c>
    </row>
    <row r="30" spans="1:29" ht="15">
      <c r="A30" s="656"/>
      <c r="B30" s="654" t="s">
        <v>2713</v>
      </c>
      <c r="C30" s="657" t="s">
        <v>3436</v>
      </c>
      <c r="D30" s="435">
        <v>100</v>
      </c>
      <c r="E30" s="657" t="s">
        <v>3436</v>
      </c>
      <c r="F30" s="461">
        <f>SUMIF(88:88,E30,89:89)-SUMIF(88:88,C30,89:89)+100</f>
        <v>100</v>
      </c>
      <c r="G30" s="657" t="s">
        <v>3436</v>
      </c>
      <c r="H30" s="435">
        <f>SUMIF(88:88,E30,89:89)-SUMIF(88:88,C30,89:89)+100</f>
        <v>100</v>
      </c>
      <c r="I30" s="657" t="s">
        <v>3436</v>
      </c>
      <c r="J30" s="435">
        <f>SUMIF(88:88,E30,89:89)-SUMIF(88:88,C30,89:89)+100</f>
        <v>100</v>
      </c>
      <c r="K30" s="612">
        <v>1</v>
      </c>
      <c r="L30" s="1140"/>
      <c r="M30" s="1131"/>
      <c r="N30" s="1131"/>
      <c r="O30" s="1131"/>
      <c r="P30" s="3235"/>
      <c r="Q30" s="1810" t="str">
        <f t="shared" si="11"/>
        <v>物业等级</v>
      </c>
      <c r="R30" s="774" t="s">
        <v>17</v>
      </c>
      <c r="S30" s="775">
        <f t="shared" si="12"/>
        <v>100</v>
      </c>
      <c r="T30" s="774" t="s">
        <v>17</v>
      </c>
      <c r="U30" s="775">
        <f t="shared" si="13"/>
        <v>100</v>
      </c>
      <c r="V30" s="774" t="s">
        <v>17</v>
      </c>
      <c r="W30" s="775">
        <f t="shared" si="14"/>
        <v>100</v>
      </c>
      <c r="X30" s="1813"/>
      <c r="Y30" s="3235"/>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f>LOOKUP(E31,91:91,92:92)-LOOKUP(C31,91:91,92:92)+100</f>
        <v>100</v>
      </c>
      <c r="G31" s="469"/>
      <c r="H31" s="435">
        <f>LOOKUP(G31,91:91,92:92)-LOOKUP(C31,91:91,92:92)+100</f>
        <v>100</v>
      </c>
      <c r="I31" s="469"/>
      <c r="J31" s="435">
        <f>LOOKUP(I31,91:91,92:92)-LOOKUP(C31,91:91,92:92)+100</f>
        <v>100</v>
      </c>
      <c r="K31" s="612">
        <v>1</v>
      </c>
      <c r="L31" s="1132"/>
      <c r="M31" s="1133"/>
      <c r="N31" s="1133"/>
      <c r="O31" s="1133"/>
      <c r="P31" s="3235"/>
      <c r="Q31" s="1795" t="str">
        <f t="shared" si="11"/>
        <v>停车位面积</v>
      </c>
      <c r="R31" s="770" t="s">
        <v>17</v>
      </c>
      <c r="S31" s="771">
        <f t="shared" si="12"/>
        <v>100</v>
      </c>
      <c r="T31" s="770" t="s">
        <v>17</v>
      </c>
      <c r="U31" s="771">
        <f t="shared" si="13"/>
        <v>100</v>
      </c>
      <c r="V31" s="770" t="s">
        <v>17</v>
      </c>
      <c r="W31" s="771">
        <f t="shared" si="14"/>
        <v>100</v>
      </c>
      <c r="X31" s="772"/>
      <c r="Y31" s="3235"/>
      <c r="Z31" s="55" t="str">
        <f t="shared" si="15"/>
        <v>停车位面积</v>
      </c>
      <c r="AA31" s="773">
        <f t="shared" si="3"/>
        <v>1</v>
      </c>
      <c r="AB31" s="773">
        <f t="shared" si="4"/>
        <v>1</v>
      </c>
      <c r="AC31" s="773">
        <f t="shared" si="5"/>
        <v>1</v>
      </c>
    </row>
    <row r="32" spans="1:29" ht="15">
      <c r="A32" s="656"/>
      <c r="B32" s="654" t="s">
        <v>2715</v>
      </c>
      <c r="C32" s="460" t="s">
        <v>3502</v>
      </c>
      <c r="D32" s="435">
        <v>100</v>
      </c>
      <c r="E32" s="460" t="s">
        <v>3502</v>
      </c>
      <c r="F32" s="461">
        <f>SUMIF(93:93,E32,94:94)-SUMIF(93:93,C32,94:94)+100</f>
        <v>100</v>
      </c>
      <c r="G32" s="460" t="s">
        <v>3502</v>
      </c>
      <c r="H32" s="435">
        <f>SUMIF(93:93,G32,94:94)-SUMIF(93:93,C32,94:94)+100</f>
        <v>100</v>
      </c>
      <c r="I32" s="460" t="s">
        <v>3502</v>
      </c>
      <c r="J32" s="435">
        <f>SUMIF(93:93,I32,94:94)-SUMIF(93:93,C32,94:94)+100</f>
        <v>100</v>
      </c>
      <c r="K32" s="612">
        <v>1</v>
      </c>
      <c r="L32" s="1140"/>
      <c r="M32" s="1131"/>
      <c r="N32" s="1131"/>
      <c r="O32" s="1131"/>
      <c r="P32" s="3235" t="s">
        <v>2562</v>
      </c>
      <c r="Q32" s="1810" t="str">
        <f t="shared" si="11"/>
        <v>车位类型</v>
      </c>
      <c r="R32" s="774" t="s">
        <v>17</v>
      </c>
      <c r="S32" s="775">
        <f t="shared" si="12"/>
        <v>100</v>
      </c>
      <c r="T32" s="774" t="s">
        <v>17</v>
      </c>
      <c r="U32" s="775">
        <f t="shared" si="13"/>
        <v>100</v>
      </c>
      <c r="V32" s="774" t="s">
        <v>17</v>
      </c>
      <c r="W32" s="775">
        <f t="shared" si="14"/>
        <v>100</v>
      </c>
      <c r="X32" s="1813"/>
      <c r="Y32" s="3235" t="s">
        <v>2562</v>
      </c>
      <c r="Z32" s="1814" t="str">
        <f t="shared" si="15"/>
        <v>车位类型</v>
      </c>
      <c r="AA32" s="1811">
        <f t="shared" si="3"/>
        <v>1</v>
      </c>
      <c r="AB32" s="1811">
        <f t="shared" si="4"/>
        <v>1</v>
      </c>
      <c r="AC32" s="1811">
        <f t="shared" si="5"/>
        <v>1</v>
      </c>
    </row>
    <row r="33" spans="1:29" ht="15">
      <c r="A33" s="656"/>
      <c r="B33" s="654" t="s">
        <v>2716</v>
      </c>
      <c r="C33" s="460" t="s">
        <v>3068</v>
      </c>
      <c r="D33" s="435">
        <v>100</v>
      </c>
      <c r="E33" s="460" t="s">
        <v>3068</v>
      </c>
      <c r="F33" s="461">
        <f>SUMIF(95:95,E33,96:96)-SUMIF(95:95,C33,96:96)+100</f>
        <v>100</v>
      </c>
      <c r="G33" s="460" t="s">
        <v>3068</v>
      </c>
      <c r="H33" s="435">
        <f>SUMIF(95:95,G33,96:96)-SUMIF(95:95,C33,96:96)+100</f>
        <v>100</v>
      </c>
      <c r="I33" s="460" t="s">
        <v>3068</v>
      </c>
      <c r="J33" s="435">
        <f>SUMIF(95:95,I33,96:96)-SUMIF(95:95,C33,96:96)+100</f>
        <v>100</v>
      </c>
      <c r="K33" s="612">
        <v>1</v>
      </c>
      <c r="L33" s="1140"/>
      <c r="M33" s="1131"/>
      <c r="N33" s="1131"/>
      <c r="O33" s="1131"/>
      <c r="P33" s="3235"/>
      <c r="Q33" s="1810" t="str">
        <f t="shared" si="11"/>
        <v>是否直接入户</v>
      </c>
      <c r="R33" s="774" t="s">
        <v>17</v>
      </c>
      <c r="S33" s="775">
        <f t="shared" si="12"/>
        <v>100</v>
      </c>
      <c r="T33" s="774" t="s">
        <v>17</v>
      </c>
      <c r="U33" s="775">
        <f t="shared" si="13"/>
        <v>100</v>
      </c>
      <c r="V33" s="774" t="s">
        <v>17</v>
      </c>
      <c r="W33" s="775">
        <f t="shared" si="14"/>
        <v>100</v>
      </c>
      <c r="X33" s="1813"/>
      <c r="Y33" s="323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5"/>
      <c r="Q35" s="776">
        <f t="shared" si="11"/>
        <v>111</v>
      </c>
      <c r="R35" s="777" t="s">
        <v>17</v>
      </c>
      <c r="S35" s="778">
        <f t="shared" si="12"/>
        <v>100</v>
      </c>
      <c r="T35" s="777" t="s">
        <v>17</v>
      </c>
      <c r="U35" s="778">
        <f t="shared" si="13"/>
        <v>100</v>
      </c>
      <c r="V35" s="777" t="s">
        <v>17</v>
      </c>
      <c r="W35" s="778">
        <f t="shared" si="14"/>
        <v>100</v>
      </c>
      <c r="X35" s="779"/>
      <c r="Y35" s="3235"/>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5"/>
      <c r="Q36" s="1810">
        <f t="shared" si="11"/>
        <v>111</v>
      </c>
      <c r="R36" s="774" t="s">
        <v>17</v>
      </c>
      <c r="S36" s="775">
        <f t="shared" si="12"/>
        <v>100</v>
      </c>
      <c r="T36" s="774" t="s">
        <v>17</v>
      </c>
      <c r="U36" s="775">
        <f t="shared" si="13"/>
        <v>100</v>
      </c>
      <c r="V36" s="774" t="s">
        <v>17</v>
      </c>
      <c r="W36" s="775">
        <f t="shared" si="14"/>
        <v>100</v>
      </c>
      <c r="X36" s="1813"/>
      <c r="Y36" s="3235"/>
      <c r="Z36" s="1814">
        <f t="shared" si="15"/>
        <v>111</v>
      </c>
      <c r="AA36" s="1811">
        <f t="shared" si="3"/>
        <v>1</v>
      </c>
      <c r="AB36" s="1811">
        <f t="shared" si="4"/>
        <v>1</v>
      </c>
      <c r="AC36" s="1811">
        <f t="shared" si="5"/>
        <v>1</v>
      </c>
    </row>
    <row r="37" spans="1:29" ht="14.4">
      <c r="A37" s="479" t="s">
        <v>2717</v>
      </c>
      <c r="B37" s="2690" t="s">
        <v>2718</v>
      </c>
      <c r="C37" s="1407" t="s">
        <v>1</v>
      </c>
      <c r="D37" s="1408"/>
      <c r="E37" s="1409">
        <v>150000</v>
      </c>
      <c r="F37" s="1410"/>
      <c r="G37" s="1411">
        <v>143800</v>
      </c>
      <c r="H37" s="1412"/>
      <c r="I37" s="1409">
        <v>150000</v>
      </c>
      <c r="J37" s="1412"/>
      <c r="K37" s="619"/>
      <c r="L37" s="1143"/>
      <c r="M37" s="1144"/>
      <c r="N37" s="1131"/>
      <c r="O37" s="1144"/>
      <c r="P37" s="3237" t="str">
        <f>A37</f>
        <v>成交单价</v>
      </c>
      <c r="Q37" s="3237"/>
      <c r="R37" s="3238">
        <f>E37</f>
        <v>150000</v>
      </c>
      <c r="S37" s="3238"/>
      <c r="T37" s="3238">
        <f>G37</f>
        <v>143800</v>
      </c>
      <c r="U37" s="3238"/>
      <c r="V37" s="3238">
        <f>I37</f>
        <v>150000</v>
      </c>
      <c r="W37" s="3238"/>
      <c r="X37" s="759"/>
      <c r="Y37" s="781"/>
      <c r="Z37" s="759"/>
      <c r="AA37" s="759"/>
      <c r="AB37" s="759"/>
      <c r="AC37" s="759"/>
    </row>
    <row r="38" spans="1:29" ht="15" thickBot="1">
      <c r="A38" s="486" t="s">
        <v>2719</v>
      </c>
      <c r="B38" s="487" t="str">
        <f>B37</f>
        <v>元/车位</v>
      </c>
      <c r="C38" s="1413">
        <f>R39</f>
        <v>147933</v>
      </c>
      <c r="D38" s="1414"/>
      <c r="E38" s="1415">
        <f>R38</f>
        <v>150000</v>
      </c>
      <c r="F38" s="1415"/>
      <c r="G38" s="1413">
        <f>T38</f>
        <v>143800</v>
      </c>
      <c r="H38" s="1414"/>
      <c r="I38" s="1415">
        <f>V38</f>
        <v>150000</v>
      </c>
      <c r="J38" s="1414"/>
      <c r="K38" s="620"/>
      <c r="L38" s="1143"/>
      <c r="M38" s="1144"/>
      <c r="N38" s="1144"/>
      <c r="O38" s="1144"/>
      <c r="P38" s="3237" t="str">
        <f>A38</f>
        <v>比较价值（元/平方米）</v>
      </c>
      <c r="Q38" s="3237"/>
      <c r="R38" s="3238">
        <f>IF(F1="售价",ROUND(PRODUCT(R37,AA7:AA36),0),ROUND(PRODUCT(R37,AA7:AA36),1))</f>
        <v>150000</v>
      </c>
      <c r="S38" s="3238"/>
      <c r="T38" s="3238">
        <f>IF(F1="售价",ROUND(PRODUCT(T37,AB7:AB36),0),ROUND(PRODUCT(T37,AB7:AB36),1))</f>
        <v>143800</v>
      </c>
      <c r="U38" s="3238"/>
      <c r="V38" s="3238">
        <f>IF(F1="售价",ROUND(PRODUCT(V37,AC7:AC36),0),ROUND(PRODUCT(V37,AC7:AC36),1))</f>
        <v>150000</v>
      </c>
      <c r="W38" s="3238"/>
      <c r="X38" s="759"/>
      <c r="Y38" s="759"/>
      <c r="Z38" s="759"/>
      <c r="AA38" s="759"/>
      <c r="AB38" s="759"/>
      <c r="AC38" s="759"/>
    </row>
    <row r="39" spans="1:29" ht="15" thickBot="1">
      <c r="A39" s="492" t="s">
        <v>2720</v>
      </c>
      <c r="B39" s="493"/>
      <c r="C39" s="1417">
        <f>R39</f>
        <v>147933</v>
      </c>
      <c r="D39" s="1417"/>
      <c r="E39" s="1417"/>
      <c r="F39" s="1417"/>
      <c r="G39" s="1417"/>
      <c r="H39" s="1417"/>
      <c r="I39" s="1417"/>
      <c r="J39" s="1417"/>
      <c r="K39" s="621"/>
      <c r="L39" s="1143"/>
      <c r="M39" s="1144"/>
      <c r="N39" s="1144"/>
      <c r="O39" s="1144"/>
      <c r="P39" s="3239" t="str">
        <f>A39</f>
        <v>估价对象XX用房的比较价值（楼面单价，元/平方米）</v>
      </c>
      <c r="Q39" s="3240"/>
      <c r="R39" s="3241">
        <f>IF(F1="售价",ROUND(AVERAGE(R38:V38),0),ROUND(AVERAGE(R38:V38),1))</f>
        <v>147933</v>
      </c>
      <c r="S39" s="3241"/>
      <c r="T39" s="3241"/>
      <c r="U39" s="3241"/>
      <c r="V39" s="3241"/>
      <c r="W39" s="324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f>IF(E38&lt;G38,G38/E38-1,E38/G38-1)</f>
        <v>4.311543810848395E-2</v>
      </c>
      <c r="F43" s="500" t="str">
        <f>IF(OR(E43&gt;=0.2,E43&lt;=-0.2),"超过20%","")</f>
        <v/>
      </c>
      <c r="G43" s="499">
        <f>IF(G38&lt;I38,I38/G38-1,G38/I38-1)</f>
        <v>4.311543810848395E-2</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f>IF(E37&lt;G37,G37/E37-1,E37/G37-1)</f>
        <v>4.311543810848395E-2</v>
      </c>
      <c r="F44" s="500" t="str">
        <f>IF(OR(E44&gt;=0.3,E44&lt;=-0.3),"超过30%","")</f>
        <v/>
      </c>
      <c r="G44" s="499">
        <f>IF(G37&lt;I37,I37/G37-1,G37/I37-1)</f>
        <v>4.311543810848395E-2</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2725</v>
      </c>
      <c r="B48" s="506"/>
      <c r="C48" s="1574" t="str">
        <f>YEAR(C7)&amp;"-"&amp;MONTH(C7)</f>
        <v>2018-9</v>
      </c>
      <c r="D48" s="1575">
        <f>EDATE(C48,-1)</f>
        <v>43313</v>
      </c>
      <c r="E48" s="1575">
        <f t="shared" ref="E48:O48" si="16">EDATE(D48,-1)</f>
        <v>43282</v>
      </c>
      <c r="F48" s="1575">
        <f t="shared" si="16"/>
        <v>43252</v>
      </c>
      <c r="G48" s="1575">
        <f t="shared" si="16"/>
        <v>43221</v>
      </c>
      <c r="H48" s="1575">
        <f t="shared" si="16"/>
        <v>43191</v>
      </c>
      <c r="I48" s="1575">
        <f t="shared" si="16"/>
        <v>43160</v>
      </c>
      <c r="J48" s="1575">
        <f t="shared" si="16"/>
        <v>43132</v>
      </c>
      <c r="K48" s="1575">
        <f t="shared" si="16"/>
        <v>43101</v>
      </c>
      <c r="L48" s="1575">
        <f t="shared" si="16"/>
        <v>43070</v>
      </c>
      <c r="M48" s="1575">
        <f t="shared" si="16"/>
        <v>43040</v>
      </c>
      <c r="N48" s="1575">
        <f t="shared" si="16"/>
        <v>43009</v>
      </c>
      <c r="O48" s="1575">
        <f t="shared" si="16"/>
        <v>42979</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98</v>
      </c>
      <c r="E70" s="544">
        <f>D70-$K20</f>
        <v>96</v>
      </c>
      <c r="F70" s="544">
        <f>E70-$K20</f>
        <v>94</v>
      </c>
      <c r="G70" s="544">
        <f>F70-$K20</f>
        <v>92</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2726</v>
      </c>
      <c r="C71" s="2965" t="s">
        <v>3496</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2727</v>
      </c>
      <c r="C79" s="529" t="str">
        <f>C26</f>
        <v>住宅</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2965" t="s">
        <v>3498</v>
      </c>
      <c r="D83" s="2965" t="s">
        <v>3499</v>
      </c>
      <c r="E83" s="2966" t="s">
        <v>3500</v>
      </c>
      <c r="F83" s="2966" t="s">
        <v>3501</v>
      </c>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2948" t="s">
        <v>3506</v>
      </c>
      <c r="D88" s="2948" t="s">
        <v>3507</v>
      </c>
      <c r="E88" s="2948" t="s">
        <v>3508</v>
      </c>
      <c r="F88" s="2948" t="s">
        <v>3509</v>
      </c>
      <c r="G88" s="2948" t="s">
        <v>3510</v>
      </c>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0(含)-20</v>
      </c>
      <c r="D90" s="578" t="str">
        <f t="shared" ref="D90:L90" si="21">D91&amp;"(含)"&amp;"-"&amp;E91</f>
        <v>20(含)-30</v>
      </c>
      <c r="E90" s="578" t="str">
        <f t="shared" si="21"/>
        <v>30(含)-40</v>
      </c>
      <c r="F90" s="578" t="str">
        <f t="shared" si="21"/>
        <v>40(含)-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30</v>
      </c>
      <c r="F91" s="595">
        <v>40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v>100</v>
      </c>
      <c r="D92" s="536">
        <v>101</v>
      </c>
      <c r="E92" s="536">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2965" t="s">
        <v>3503</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2948" t="s">
        <v>3504</v>
      </c>
      <c r="D95" s="2948" t="s">
        <v>3505</v>
      </c>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199" t="s">
        <v>2645</v>
      </c>
      <c r="AC4" s="3198" t="s">
        <v>2646</v>
      </c>
    </row>
    <row r="5" spans="1:29">
      <c r="A5" s="404"/>
      <c r="B5" s="405"/>
      <c r="C5" s="3243" t="s">
        <v>2539</v>
      </c>
      <c r="D5" s="3216"/>
      <c r="E5" s="3242" t="s">
        <v>2540</v>
      </c>
      <c r="F5" s="3218"/>
      <c r="G5" s="3243" t="s">
        <v>2541</v>
      </c>
      <c r="H5" s="3216"/>
      <c r="I5" s="3243" t="s">
        <v>2542</v>
      </c>
      <c r="J5" s="3216"/>
      <c r="K5" s="610"/>
      <c r="L5" s="1130"/>
      <c r="M5" s="1131"/>
      <c r="N5" s="1131"/>
      <c r="O5" s="1131"/>
      <c r="P5" s="3207"/>
      <c r="Q5" s="3208"/>
      <c r="R5" s="3213"/>
      <c r="S5" s="3214"/>
      <c r="T5" s="3213"/>
      <c r="U5" s="3214"/>
      <c r="V5" s="3223"/>
      <c r="W5" s="3223"/>
      <c r="X5" s="1813"/>
      <c r="Y5" s="3213"/>
      <c r="Z5" s="3214"/>
      <c r="AA5" s="3199"/>
      <c r="AB5" s="3199"/>
      <c r="AC5" s="3199"/>
    </row>
    <row r="6" spans="1:29" ht="15" thickBot="1">
      <c r="A6" s="406"/>
      <c r="B6" s="407"/>
      <c r="C6" s="3244" t="s">
        <v>2543</v>
      </c>
      <c r="D6" s="3220"/>
      <c r="E6" s="3245" t="s">
        <v>2543</v>
      </c>
      <c r="F6" s="3246"/>
      <c r="G6" s="3244" t="s">
        <v>2543</v>
      </c>
      <c r="H6" s="3220"/>
      <c r="I6" s="3244" t="s">
        <v>2543</v>
      </c>
      <c r="J6" s="3220"/>
      <c r="K6" s="610" t="s">
        <v>2544</v>
      </c>
      <c r="L6" s="1130"/>
      <c r="M6" s="1131"/>
      <c r="N6" s="1131"/>
      <c r="O6" s="1131"/>
      <c r="P6" s="3209"/>
      <c r="Q6" s="3210"/>
      <c r="R6" s="3213"/>
      <c r="S6" s="3214"/>
      <c r="T6" s="3221"/>
      <c r="U6" s="3222"/>
      <c r="V6" s="3223"/>
      <c r="W6" s="3223"/>
      <c r="X6" s="1813"/>
      <c r="Y6" s="3221"/>
      <c r="Z6" s="3222"/>
      <c r="AA6" s="3200"/>
      <c r="AB6" s="3200"/>
      <c r="AC6" s="3200"/>
    </row>
    <row r="7" spans="1:29" s="117" customFormat="1" ht="15" thickBot="1">
      <c r="A7" s="408" t="s">
        <v>2545</v>
      </c>
      <c r="B7" s="409"/>
      <c r="C7" s="410">
        <f>'数据-取费表'!B2</f>
        <v>43356</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24" t="s">
        <v>2546</v>
      </c>
      <c r="Q7" s="3225"/>
      <c r="R7" s="770" t="s">
        <v>17</v>
      </c>
      <c r="S7" s="771">
        <f t="shared" ref="S7:S14" si="0">F7</f>
        <v>0</v>
      </c>
      <c r="T7" s="770" t="s">
        <v>17</v>
      </c>
      <c r="U7" s="771">
        <f t="shared" ref="U7:U14" si="1">H7</f>
        <v>0</v>
      </c>
      <c r="V7" s="770" t="s">
        <v>17</v>
      </c>
      <c r="W7" s="771">
        <f t="shared" ref="W7:W14" si="2">J7</f>
        <v>0</v>
      </c>
      <c r="X7" s="772"/>
      <c r="Y7" s="3224" t="s">
        <v>2546</v>
      </c>
      <c r="Z7" s="3226"/>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4" t="s">
        <v>2549</v>
      </c>
      <c r="Q8" s="3226"/>
      <c r="R8" s="770" t="s">
        <v>17</v>
      </c>
      <c r="S8" s="771">
        <f t="shared" si="0"/>
        <v>0</v>
      </c>
      <c r="T8" s="770" t="s">
        <v>17</v>
      </c>
      <c r="U8" s="771">
        <f t="shared" si="1"/>
        <v>0</v>
      </c>
      <c r="V8" s="770" t="s">
        <v>17</v>
      </c>
      <c r="W8" s="771">
        <f t="shared" si="2"/>
        <v>0</v>
      </c>
      <c r="X8" s="772"/>
      <c r="Y8" s="3224" t="s">
        <v>2549</v>
      </c>
      <c r="Z8" s="3226"/>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7" t="s">
        <v>2552</v>
      </c>
      <c r="Q9" s="1795" t="str">
        <f t="shared" ref="Q9:Q14" si="6">B9</f>
        <v>用途</v>
      </c>
      <c r="R9" s="770" t="s">
        <v>17</v>
      </c>
      <c r="S9" s="771">
        <f t="shared" si="0"/>
        <v>100</v>
      </c>
      <c r="T9" s="770" t="s">
        <v>17</v>
      </c>
      <c r="U9" s="771">
        <f t="shared" si="1"/>
        <v>100</v>
      </c>
      <c r="V9" s="770" t="s">
        <v>17</v>
      </c>
      <c r="W9" s="771">
        <f t="shared" si="2"/>
        <v>100</v>
      </c>
      <c r="X9" s="772"/>
      <c r="Y9" s="3047"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7"/>
      <c r="Q11" s="1795">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96.6">
      <c r="A14" s="440" t="s">
        <v>2556</v>
      </c>
      <c r="B14" s="69" t="s">
        <v>2706</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2557</v>
      </c>
      <c r="Q14" s="1810" t="str">
        <f t="shared" si="6"/>
        <v>交通便捷度</v>
      </c>
      <c r="R14" s="774" t="s">
        <v>17</v>
      </c>
      <c r="S14" s="775">
        <f t="shared" si="0"/>
        <v>100</v>
      </c>
      <c r="T14" s="774" t="s">
        <v>17</v>
      </c>
      <c r="U14" s="775">
        <f t="shared" si="1"/>
        <v>100</v>
      </c>
      <c r="V14" s="774" t="s">
        <v>17</v>
      </c>
      <c r="W14" s="775">
        <f t="shared" si="2"/>
        <v>100</v>
      </c>
      <c r="X14" s="1813"/>
      <c r="Y14" s="3230"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1"/>
      <c r="Q15" s="1810"/>
      <c r="R15" s="774"/>
      <c r="S15" s="775"/>
      <c r="T15" s="774"/>
      <c r="U15" s="775"/>
      <c r="V15" s="774"/>
      <c r="W15" s="775"/>
      <c r="X15" s="1813"/>
      <c r="Y15" s="3231"/>
      <c r="Z15" s="1814"/>
      <c r="AA15" s="1811">
        <v>1</v>
      </c>
      <c r="AB15" s="1811">
        <v>1</v>
      </c>
      <c r="AC15" s="1811">
        <v>1</v>
      </c>
    </row>
    <row r="16" spans="1:29" ht="41.4">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31"/>
      <c r="Q17" s="1810"/>
      <c r="R17" s="774"/>
      <c r="S17" s="775"/>
      <c r="T17" s="774"/>
      <c r="U17" s="775"/>
      <c r="V17" s="774"/>
      <c r="W17" s="775"/>
      <c r="X17" s="1813"/>
      <c r="Y17" s="3231"/>
      <c r="Z17" s="1814"/>
      <c r="AA17" s="1811">
        <v>1</v>
      </c>
      <c r="AB17" s="1811">
        <v>1</v>
      </c>
      <c r="AC17" s="1811">
        <v>1</v>
      </c>
    </row>
    <row r="18" spans="1:29" ht="41.4">
      <c r="A18" s="428"/>
      <c r="B18" s="1384"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31"/>
      <c r="Q19" s="1810"/>
      <c r="R19" s="774"/>
      <c r="S19" s="775"/>
      <c r="T19" s="774"/>
      <c r="U19" s="775"/>
      <c r="V19" s="774"/>
      <c r="W19" s="775"/>
      <c r="X19" s="1813"/>
      <c r="Y19" s="3231"/>
      <c r="Z19" s="1814"/>
      <c r="AA19" s="1811">
        <v>1</v>
      </c>
      <c r="AB19" s="1811">
        <v>1</v>
      </c>
      <c r="AC19" s="1811">
        <v>1</v>
      </c>
    </row>
    <row r="20" spans="1:29" ht="55.2">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1"/>
      <c r="Q21" s="1810"/>
      <c r="R21" s="774"/>
      <c r="S21" s="775"/>
      <c r="T21" s="774"/>
      <c r="U21" s="775"/>
      <c r="V21" s="774"/>
      <c r="W21" s="775"/>
      <c r="X21" s="1813"/>
      <c r="Y21" s="3231"/>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10">
        <f t="shared" ref="Q24:Q34"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6"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30">
      <c r="A26" s="466" t="s">
        <v>2560</v>
      </c>
      <c r="B26" s="71" t="s">
        <v>2711</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6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5"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5"/>
      <c r="Q27" s="776" t="str">
        <f t="shared" si="11"/>
        <v>成新率</v>
      </c>
      <c r="R27" s="777" t="s">
        <v>17</v>
      </c>
      <c r="S27" s="778" t="e">
        <f t="shared" si="12"/>
        <v>#N/A</v>
      </c>
      <c r="T27" s="777" t="s">
        <v>17</v>
      </c>
      <c r="U27" s="778" t="e">
        <f t="shared" si="13"/>
        <v>#N/A</v>
      </c>
      <c r="V27" s="777" t="s">
        <v>17</v>
      </c>
      <c r="W27" s="778" t="e">
        <f t="shared" si="14"/>
        <v>#N/A</v>
      </c>
      <c r="X27" s="779"/>
      <c r="Y27" s="3235"/>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5"/>
      <c r="Q28" s="1810" t="str">
        <f t="shared" si="11"/>
        <v>物业等级</v>
      </c>
      <c r="R28" s="774" t="s">
        <v>17</v>
      </c>
      <c r="S28" s="775">
        <f t="shared" si="12"/>
        <v>100</v>
      </c>
      <c r="T28" s="774" t="s">
        <v>17</v>
      </c>
      <c r="U28" s="775">
        <f t="shared" si="13"/>
        <v>100</v>
      </c>
      <c r="V28" s="774" t="s">
        <v>17</v>
      </c>
      <c r="W28" s="775">
        <f t="shared" si="14"/>
        <v>100</v>
      </c>
      <c r="X28" s="1813"/>
      <c r="Y28" s="3235"/>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5"/>
      <c r="Q29" s="1810" t="str">
        <f t="shared" si="11"/>
        <v>有无电梯</v>
      </c>
      <c r="R29" s="774" t="s">
        <v>17</v>
      </c>
      <c r="S29" s="775">
        <f t="shared" si="12"/>
        <v>100</v>
      </c>
      <c r="T29" s="774" t="s">
        <v>17</v>
      </c>
      <c r="U29" s="775">
        <f t="shared" si="13"/>
        <v>100</v>
      </c>
      <c r="V29" s="774" t="s">
        <v>17</v>
      </c>
      <c r="W29" s="775">
        <f t="shared" si="14"/>
        <v>100</v>
      </c>
      <c r="X29" s="1813"/>
      <c r="Y29" s="3235"/>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5"/>
      <c r="Q30" s="1810" t="str">
        <f t="shared" si="11"/>
        <v>建筑面积</v>
      </c>
      <c r="R30" s="774" t="s">
        <v>17</v>
      </c>
      <c r="S30" s="775" t="e">
        <f t="shared" si="12"/>
        <v>#N/A</v>
      </c>
      <c r="T30" s="774" t="s">
        <v>17</v>
      </c>
      <c r="U30" s="775" t="e">
        <f t="shared" si="13"/>
        <v>#N/A</v>
      </c>
      <c r="V30" s="774" t="s">
        <v>17</v>
      </c>
      <c r="W30" s="775" t="e">
        <f t="shared" si="14"/>
        <v>#N/A</v>
      </c>
      <c r="X30" s="1813"/>
      <c r="Y30" s="3235"/>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5"/>
      <c r="Q31" s="1795" t="str">
        <f t="shared" si="11"/>
        <v>是否封闭</v>
      </c>
      <c r="R31" s="770" t="s">
        <v>17</v>
      </c>
      <c r="S31" s="771">
        <f t="shared" si="12"/>
        <v>100</v>
      </c>
      <c r="T31" s="770" t="s">
        <v>17</v>
      </c>
      <c r="U31" s="771">
        <f t="shared" si="13"/>
        <v>100</v>
      </c>
      <c r="V31" s="770" t="s">
        <v>17</v>
      </c>
      <c r="W31" s="771">
        <f t="shared" si="14"/>
        <v>100</v>
      </c>
      <c r="X31" s="772"/>
      <c r="Y31" s="323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5" t="s">
        <v>2562</v>
      </c>
      <c r="Q32" s="1810">
        <f t="shared" si="11"/>
        <v>111</v>
      </c>
      <c r="R32" s="774" t="s">
        <v>17</v>
      </c>
      <c r="S32" s="775">
        <f t="shared" si="12"/>
        <v>100</v>
      </c>
      <c r="T32" s="774" t="s">
        <v>17</v>
      </c>
      <c r="U32" s="775">
        <f t="shared" si="13"/>
        <v>100</v>
      </c>
      <c r="V32" s="774" t="s">
        <v>17</v>
      </c>
      <c r="W32" s="775">
        <f t="shared" si="14"/>
        <v>100</v>
      </c>
      <c r="X32" s="1813"/>
      <c r="Y32" s="3235" t="s">
        <v>2562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5"/>
      <c r="Q33" s="1810">
        <f t="shared" si="11"/>
        <v>111</v>
      </c>
      <c r="R33" s="774" t="s">
        <v>17</v>
      </c>
      <c r="S33" s="775">
        <f t="shared" si="12"/>
        <v>100</v>
      </c>
      <c r="T33" s="774" t="s">
        <v>17</v>
      </c>
      <c r="U33" s="775">
        <f t="shared" si="13"/>
        <v>100</v>
      </c>
      <c r="V33" s="774" t="s">
        <v>17</v>
      </c>
      <c r="W33" s="775">
        <f t="shared" si="14"/>
        <v>100</v>
      </c>
      <c r="X33" s="1813"/>
      <c r="Y33" s="3235"/>
      <c r="Z33" s="1814">
        <f t="shared" si="15"/>
        <v>111</v>
      </c>
      <c r="AA33" s="1811">
        <f t="shared" si="3"/>
        <v>1</v>
      </c>
      <c r="AB33" s="1811">
        <f t="shared" si="4"/>
        <v>1</v>
      </c>
      <c r="AC33" s="1811">
        <f t="shared" si="5"/>
        <v>1</v>
      </c>
    </row>
    <row r="34" spans="1:29" ht="15.6"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ht="14.4">
      <c r="A35" s="479" t="s">
        <v>2574</v>
      </c>
      <c r="B35" s="480"/>
      <c r="C35" s="1407" t="s">
        <v>1</v>
      </c>
      <c r="D35" s="1408"/>
      <c r="E35" s="1409"/>
      <c r="F35" s="1410"/>
      <c r="G35" s="1411"/>
      <c r="H35" s="1412"/>
      <c r="I35" s="1409"/>
      <c r="J35" s="1412"/>
      <c r="K35" s="783"/>
      <c r="L35" s="1143"/>
      <c r="M35" s="1144"/>
      <c r="N35" s="1131"/>
      <c r="O35" s="1144"/>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4" t="str">
        <f>YEAR(C7)&amp;"-"&amp;MONTH(C7)</f>
        <v>2018-9</v>
      </c>
      <c r="D46" s="1575">
        <f>EDATE(C46,-1)</f>
        <v>43313</v>
      </c>
      <c r="E46" s="1575">
        <f t="shared" ref="E46:O46" si="16">EDATE(D46,-1)</f>
        <v>43282</v>
      </c>
      <c r="F46" s="1575">
        <f t="shared" si="16"/>
        <v>43252</v>
      </c>
      <c r="G46" s="1575">
        <f t="shared" si="16"/>
        <v>43221</v>
      </c>
      <c r="H46" s="1575">
        <f t="shared" si="16"/>
        <v>43191</v>
      </c>
      <c r="I46" s="1575">
        <f t="shared" si="16"/>
        <v>43160</v>
      </c>
      <c r="J46" s="1575">
        <f t="shared" si="16"/>
        <v>43132</v>
      </c>
      <c r="K46" s="1575">
        <f t="shared" si="16"/>
        <v>43101</v>
      </c>
      <c r="L46" s="1575">
        <f t="shared" si="16"/>
        <v>43070</v>
      </c>
      <c r="M46" s="1575">
        <f t="shared" si="16"/>
        <v>43040</v>
      </c>
      <c r="N46" s="1575">
        <f t="shared" si="16"/>
        <v>43009</v>
      </c>
      <c r="O46" s="1575">
        <f t="shared" si="16"/>
        <v>42979</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5" zoomScale="70" zoomScaleNormal="70" workbookViewId="0">
      <selection activeCell="I44" sqref="I44"/>
    </sheetView>
  </sheetViews>
  <sheetFormatPr defaultColWidth="9" defaultRowHeight="13.8"/>
  <cols>
    <col min="1" max="1" width="14.33203125" style="403" customWidth="1"/>
    <col min="2" max="2" width="15.77734375" style="403" customWidth="1"/>
    <col min="3" max="3" width="17.441406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50236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5791</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199" t="s">
        <v>2645</v>
      </c>
      <c r="AC4" s="3198" t="s">
        <v>2646</v>
      </c>
    </row>
    <row r="5" spans="1:30">
      <c r="A5" s="404"/>
      <c r="B5" s="405"/>
      <c r="C5" s="3263" t="str">
        <f>项目基本情况!F10</f>
        <v>湖州市吴兴区乌山单元02-06D号地块</v>
      </c>
      <c r="D5" s="3216"/>
      <c r="E5" s="3242" t="str">
        <f>土地案例!A13</f>
        <v>位于湖东分区,南临318国道,北临纬一路,西临大升路,东临规划支路。</v>
      </c>
      <c r="F5" s="3218"/>
      <c r="G5" s="3243" t="str">
        <f>土地案例!A14</f>
        <v>位于湖东分区,318国道北侧,西侧为蜀山路,北侧为纬一路,西侧为规划道路。</v>
      </c>
      <c r="H5" s="3216"/>
      <c r="I5" s="3243" t="str">
        <f>土地案例!A25</f>
        <v>位于湖东分区南片,北靠318国道,西临谈家坝小区,东侧、南侧为河流、绿地</v>
      </c>
      <c r="J5" s="3216"/>
      <c r="K5" s="610"/>
      <c r="L5" s="1130"/>
      <c r="M5" s="1131"/>
      <c r="N5" s="1131"/>
      <c r="O5" s="1131"/>
      <c r="P5" s="3207"/>
      <c r="Q5" s="3208"/>
      <c r="R5" s="3213"/>
      <c r="S5" s="3214"/>
      <c r="T5" s="3213"/>
      <c r="U5" s="3214"/>
      <c r="V5" s="3223"/>
      <c r="W5" s="3223"/>
      <c r="X5" s="1813"/>
      <c r="Y5" s="3213"/>
      <c r="Z5" s="3214"/>
      <c r="AA5" s="3199"/>
      <c r="AB5" s="3199"/>
      <c r="AC5" s="3199"/>
    </row>
    <row r="6" spans="1:30" ht="15" thickBot="1">
      <c r="A6" s="406"/>
      <c r="B6" s="407"/>
      <c r="C6" s="3219" t="s">
        <v>3433</v>
      </c>
      <c r="D6" s="3220"/>
      <c r="E6" s="3245" t="str">
        <f>C6</f>
        <v>吴兴区</v>
      </c>
      <c r="F6" s="3246"/>
      <c r="G6" s="3244" t="str">
        <f>C6</f>
        <v>吴兴区</v>
      </c>
      <c r="H6" s="3220"/>
      <c r="I6" s="3244" t="str">
        <f>C6</f>
        <v>吴兴区</v>
      </c>
      <c r="J6" s="3220"/>
      <c r="K6" s="610" t="s">
        <v>2544</v>
      </c>
      <c r="L6" s="1130"/>
      <c r="M6" s="1131"/>
      <c r="N6" s="1131"/>
      <c r="O6" s="1131"/>
      <c r="P6" s="3209"/>
      <c r="Q6" s="3210"/>
      <c r="R6" s="3213"/>
      <c r="S6" s="3214"/>
      <c r="T6" s="3221"/>
      <c r="U6" s="3222"/>
      <c r="V6" s="3223"/>
      <c r="W6" s="3223"/>
      <c r="X6" s="1813"/>
      <c r="Y6" s="3221"/>
      <c r="Z6" s="3222"/>
      <c r="AA6" s="3200"/>
      <c r="AB6" s="3200"/>
      <c r="AC6" s="3200"/>
    </row>
    <row r="7" spans="1:30" s="117" customFormat="1" ht="15" thickBot="1">
      <c r="A7" s="408" t="s">
        <v>2545</v>
      </c>
      <c r="B7" s="409"/>
      <c r="C7" s="410">
        <f>'数据-取费表'!B2</f>
        <v>43356</v>
      </c>
      <c r="D7" s="411">
        <v>100</v>
      </c>
      <c r="E7" s="412" t="str">
        <f>土地案例!AA13</f>
        <v>2018-05-24</v>
      </c>
      <c r="F7" s="413">
        <f>SUMIF(70:70,YEAR(E7)&amp;"-"&amp;INT((MONTH(E7)+2)/3),71:71)</f>
        <v>99</v>
      </c>
      <c r="G7" s="2691" t="str">
        <f>土地案例!AA14</f>
        <v>2018-05-24</v>
      </c>
      <c r="H7" s="411">
        <f>SUMIF(70:70,YEAR(G7)&amp;"-"&amp;INT((MONTH(G7)+2)/3),71:71)</f>
        <v>99</v>
      </c>
      <c r="I7" s="2691" t="str">
        <f>土地案例!AA25</f>
        <v>2018-03-30</v>
      </c>
      <c r="J7" s="411">
        <f>SUMIF(70:70,YEAR(I7)&amp;"-"&amp;INT((MONTH(I7)+2)/3),71:71)</f>
        <v>98</v>
      </c>
      <c r="K7" s="611"/>
      <c r="L7" s="1132"/>
      <c r="M7" s="1133"/>
      <c r="N7" s="1133"/>
      <c r="O7" s="1133"/>
      <c r="P7" s="3224" t="s">
        <v>2546</v>
      </c>
      <c r="Q7" s="3225"/>
      <c r="R7" s="770" t="s">
        <v>17</v>
      </c>
      <c r="S7" s="771">
        <f t="shared" ref="S7:S15" si="0">F7</f>
        <v>99</v>
      </c>
      <c r="T7" s="770" t="s">
        <v>17</v>
      </c>
      <c r="U7" s="771">
        <f t="shared" ref="U7:U15" si="1">H7</f>
        <v>99</v>
      </c>
      <c r="V7" s="770" t="s">
        <v>17</v>
      </c>
      <c r="W7" s="771">
        <f t="shared" ref="W7:W15" si="2">J7</f>
        <v>98</v>
      </c>
      <c r="X7" s="772"/>
      <c r="Y7" s="3224" t="s">
        <v>2546</v>
      </c>
      <c r="Z7" s="3226"/>
      <c r="AA7" s="773">
        <f>D7/F7</f>
        <v>1.0101010101010102</v>
      </c>
      <c r="AB7" s="773">
        <f>D7/H7</f>
        <v>1.0101010101010102</v>
      </c>
      <c r="AC7" s="773">
        <f>D7/J7</f>
        <v>1.0204081632653061</v>
      </c>
    </row>
    <row r="8" spans="1:30" s="117" customFormat="1" ht="15" thickBot="1">
      <c r="A8" s="408" t="s">
        <v>2547</v>
      </c>
      <c r="B8" s="409"/>
      <c r="C8" s="414" t="s">
        <v>2548</v>
      </c>
      <c r="D8" s="411">
        <v>100</v>
      </c>
      <c r="E8" s="414" t="s">
        <v>2548</v>
      </c>
      <c r="F8" s="413">
        <f>SUMIF(73:73,E8,74:74)-SUMIF(73:73,C8,74:74)+100</f>
        <v>100</v>
      </c>
      <c r="G8" s="414" t="s">
        <v>2548</v>
      </c>
      <c r="H8" s="411">
        <f>SUMIF(73:73,G8,74:74)-SUMIF(73:73,C8,74:74)+100</f>
        <v>100</v>
      </c>
      <c r="I8" s="414" t="s">
        <v>2548</v>
      </c>
      <c r="J8" s="411">
        <f>SUMIF(73:73,I8,74:74)-SUMIF(73:73,C8,74:74)+100</f>
        <v>100</v>
      </c>
      <c r="K8" s="611"/>
      <c r="L8" s="1132"/>
      <c r="M8" s="1133"/>
      <c r="N8" s="1133"/>
      <c r="O8" s="1133"/>
      <c r="P8" s="3224" t="s">
        <v>2549</v>
      </c>
      <c r="Q8" s="3226"/>
      <c r="R8" s="770" t="s">
        <v>17</v>
      </c>
      <c r="S8" s="771">
        <f t="shared" si="0"/>
        <v>100</v>
      </c>
      <c r="T8" s="770" t="s">
        <v>17</v>
      </c>
      <c r="U8" s="771">
        <f t="shared" si="1"/>
        <v>100</v>
      </c>
      <c r="V8" s="770" t="s">
        <v>17</v>
      </c>
      <c r="W8" s="771">
        <f t="shared" si="2"/>
        <v>100</v>
      </c>
      <c r="X8" s="772"/>
      <c r="Y8" s="3224" t="s">
        <v>2549</v>
      </c>
      <c r="Z8" s="3226"/>
      <c r="AA8" s="773">
        <f t="shared" ref="AA8:AA45" si="3">D8/F8</f>
        <v>1</v>
      </c>
      <c r="AB8" s="773">
        <f t="shared" ref="AB8:AB45" si="4">D8/H8</f>
        <v>1</v>
      </c>
      <c r="AC8" s="773">
        <f t="shared" ref="AC8:AC45" si="5">D8/J8</f>
        <v>1</v>
      </c>
    </row>
    <row r="9" spans="1:30" s="117" customFormat="1" ht="14.4">
      <c r="A9" s="415" t="s">
        <v>2550</v>
      </c>
      <c r="B9" s="71" t="s">
        <v>2551</v>
      </c>
      <c r="C9" s="2694" t="s">
        <v>1378</v>
      </c>
      <c r="D9" s="135">
        <v>100</v>
      </c>
      <c r="E9" s="2694" t="s">
        <v>1378</v>
      </c>
      <c r="F9" s="135">
        <f>SUMIF(75:75,E9,76:76)-SUMIF(75:75,C9,76:76)+100</f>
        <v>100</v>
      </c>
      <c r="G9" s="2694" t="s">
        <v>1378</v>
      </c>
      <c r="H9" s="135">
        <f>SUMIF(75:75,G9,76:76)-SUMIF(75:75,C9,76:76)+100</f>
        <v>100</v>
      </c>
      <c r="I9" s="2694" t="s">
        <v>1378</v>
      </c>
      <c r="J9" s="135">
        <f>SUMIF(75:75,I9,76:76)-SUMIF(75:75,C9,76:76)+100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30" s="427" customFormat="1" ht="41.4">
      <c r="A10" s="421"/>
      <c r="B10" s="422" t="s">
        <v>2554</v>
      </c>
      <c r="C10" s="432" t="str">
        <f>项目基本情况!F16</f>
        <v>住宅69.19、商业39.17、车库及储藏室49.18</v>
      </c>
      <c r="D10" s="136">
        <v>100</v>
      </c>
      <c r="E10" s="465" t="s">
        <v>3435</v>
      </c>
      <c r="F10" s="136">
        <f>ROUND(100/'数据-取费表'!G16,0)</f>
        <v>100</v>
      </c>
      <c r="G10" s="463" t="s">
        <v>3435</v>
      </c>
      <c r="H10" s="136">
        <f>ROUND(100/'数据-取费表'!G16,0)</f>
        <v>100</v>
      </c>
      <c r="I10" s="463" t="s">
        <v>3435</v>
      </c>
      <c r="J10" s="136">
        <f>ROUND(100/'数据-取费表'!G16,0)</f>
        <v>100</v>
      </c>
      <c r="K10" s="67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30" ht="15">
      <c r="A11" s="428"/>
      <c r="B11" s="422" t="s">
        <v>2555</v>
      </c>
      <c r="C11" s="429">
        <f>'数据-汇总表'!I7</f>
        <v>1.8</v>
      </c>
      <c r="D11" s="136">
        <v>100</v>
      </c>
      <c r="E11" s="429">
        <v>1.8</v>
      </c>
      <c r="F11" s="136">
        <f>LOOKUP(E11,80:80,81:81)-LOOKUP(C11,80:80,81:81)+100</f>
        <v>100</v>
      </c>
      <c r="G11" s="430">
        <v>2</v>
      </c>
      <c r="H11" s="136">
        <f>LOOKUP(G11,80:80,81:81)-LOOKUP(C11,80:80,81:81)+100</f>
        <v>99</v>
      </c>
      <c r="I11" s="429">
        <v>1.3</v>
      </c>
      <c r="J11" s="136">
        <f>LOOKUP(I11,80:80,81:81)-LOOKUP(C11,80:80,81:81)+100</f>
        <v>101</v>
      </c>
      <c r="K11" s="673">
        <v>1</v>
      </c>
      <c r="L11" s="1138"/>
      <c r="M11" s="1131"/>
      <c r="N11" s="1131"/>
      <c r="O11" s="1139"/>
      <c r="P11" s="3237"/>
      <c r="Q11" s="1795" t="str">
        <f t="shared" si="6"/>
        <v>容积率</v>
      </c>
      <c r="R11" s="770" t="s">
        <v>17</v>
      </c>
      <c r="S11" s="771">
        <f t="shared" si="0"/>
        <v>100</v>
      </c>
      <c r="T11" s="770" t="s">
        <v>17</v>
      </c>
      <c r="U11" s="771">
        <f t="shared" si="1"/>
        <v>99</v>
      </c>
      <c r="V11" s="770" t="s">
        <v>17</v>
      </c>
      <c r="W11" s="771">
        <f t="shared" si="2"/>
        <v>101</v>
      </c>
      <c r="X11" s="772"/>
      <c r="Y11" s="3047"/>
      <c r="Z11" s="55" t="str">
        <f t="shared" si="7"/>
        <v>容积率</v>
      </c>
      <c r="AA11" s="773">
        <f t="shared" si="3"/>
        <v>1</v>
      </c>
      <c r="AB11" s="773">
        <f t="shared" si="4"/>
        <v>1.0101010101010102</v>
      </c>
      <c r="AC11" s="773">
        <f t="shared" si="5"/>
        <v>0.99009900990099009</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7"/>
      <c r="Q12" s="1795" t="str">
        <f t="shared" si="6"/>
        <v>配建</v>
      </c>
      <c r="R12" s="770" t="s">
        <v>17</v>
      </c>
      <c r="S12" s="771">
        <f t="shared" si="0"/>
        <v>100</v>
      </c>
      <c r="T12" s="770" t="s">
        <v>17</v>
      </c>
      <c r="U12" s="771">
        <f t="shared" si="1"/>
        <v>100</v>
      </c>
      <c r="V12" s="770" t="s">
        <v>17</v>
      </c>
      <c r="W12" s="771">
        <f t="shared" si="2"/>
        <v>100</v>
      </c>
      <c r="X12" s="772"/>
      <c r="Y12" s="3047"/>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6"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82.8">
      <c r="A15" s="440" t="s">
        <v>2556</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30" t="s">
        <v>2557</v>
      </c>
      <c r="Q15" s="1810" t="str">
        <f t="shared" si="6"/>
        <v>居住社区成熟度</v>
      </c>
      <c r="R15" s="774" t="s">
        <v>17</v>
      </c>
      <c r="S15" s="775">
        <f t="shared" si="0"/>
        <v>100</v>
      </c>
      <c r="T15" s="774" t="s">
        <v>17</v>
      </c>
      <c r="U15" s="775">
        <f t="shared" si="1"/>
        <v>100</v>
      </c>
      <c r="V15" s="774" t="s">
        <v>17</v>
      </c>
      <c r="W15" s="775">
        <f t="shared" si="2"/>
        <v>100</v>
      </c>
      <c r="X15" s="1813"/>
      <c r="Y15" s="3230" t="s">
        <v>2557</v>
      </c>
      <c r="Z15" s="1814" t="str">
        <f t="shared" si="7"/>
        <v>居住社区成熟度</v>
      </c>
      <c r="AA15" s="1811">
        <f t="shared" si="3"/>
        <v>1</v>
      </c>
      <c r="AB15" s="1811">
        <f t="shared" si="4"/>
        <v>1</v>
      </c>
      <c r="AC15" s="1811">
        <f t="shared" si="5"/>
        <v>1</v>
      </c>
    </row>
    <row r="16" spans="1:30" ht="15">
      <c r="A16" s="428"/>
      <c r="B16" s="446"/>
      <c r="C16" s="447" t="s">
        <v>3436</v>
      </c>
      <c r="D16" s="448"/>
      <c r="E16" s="447" t="s">
        <v>3436</v>
      </c>
      <c r="F16" s="448"/>
      <c r="G16" s="447" t="s">
        <v>3436</v>
      </c>
      <c r="H16" s="450"/>
      <c r="I16" s="447" t="s">
        <v>3436</v>
      </c>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55.2">
      <c r="A17" s="428"/>
      <c r="B17" s="451" t="s">
        <v>2650</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31"/>
      <c r="Q17" s="1810" t="str">
        <f>B17</f>
        <v>商业繁华度</v>
      </c>
      <c r="R17" s="774" t="s">
        <v>17</v>
      </c>
      <c r="S17" s="775">
        <f>F17</f>
        <v>100</v>
      </c>
      <c r="T17" s="774" t="s">
        <v>17</v>
      </c>
      <c r="U17" s="775">
        <f>H17</f>
        <v>100</v>
      </c>
      <c r="V17" s="774" t="s">
        <v>17</v>
      </c>
      <c r="W17" s="775">
        <f>J17</f>
        <v>100</v>
      </c>
      <c r="X17" s="1813"/>
      <c r="Y17" s="3231"/>
      <c r="Z17" s="1814" t="str">
        <f>Q17</f>
        <v>商业繁华度</v>
      </c>
      <c r="AA17" s="1811">
        <f t="shared" si="3"/>
        <v>1</v>
      </c>
      <c r="AB17" s="1811">
        <f t="shared" si="4"/>
        <v>1</v>
      </c>
      <c r="AC17" s="1811">
        <f t="shared" si="5"/>
        <v>1</v>
      </c>
    </row>
    <row r="18" spans="1:29" ht="15">
      <c r="A18" s="428"/>
      <c r="B18" s="456"/>
      <c r="C18" s="2605" t="s">
        <v>3437</v>
      </c>
      <c r="D18" s="450"/>
      <c r="E18" s="2605" t="s">
        <v>3437</v>
      </c>
      <c r="F18" s="450"/>
      <c r="G18" s="2605" t="s">
        <v>3437</v>
      </c>
      <c r="H18" s="448"/>
      <c r="I18" s="2605" t="s">
        <v>3437</v>
      </c>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69">
      <c r="A19" s="428"/>
      <c r="B19" s="451" t="s">
        <v>2684</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1"/>
      <c r="Q19" s="1810" t="str">
        <f>B19</f>
        <v>办公集聚程度</v>
      </c>
      <c r="R19" s="774" t="s">
        <v>17</v>
      </c>
      <c r="S19" s="775">
        <f>F19</f>
        <v>100</v>
      </c>
      <c r="T19" s="774" t="s">
        <v>17</v>
      </c>
      <c r="U19" s="775">
        <f>H19</f>
        <v>100</v>
      </c>
      <c r="V19" s="774" t="s">
        <v>17</v>
      </c>
      <c r="W19" s="775">
        <f>J19</f>
        <v>100</v>
      </c>
      <c r="X19" s="1813"/>
      <c r="Y19" s="3231"/>
      <c r="Z19" s="1814" t="str">
        <f>Q19</f>
        <v>办公集聚程度</v>
      </c>
      <c r="AA19" s="1811">
        <f t="shared" si="3"/>
        <v>1</v>
      </c>
      <c r="AB19" s="1811">
        <f t="shared" si="4"/>
        <v>1</v>
      </c>
      <c r="AC19" s="1811">
        <f t="shared" si="5"/>
        <v>1</v>
      </c>
    </row>
    <row r="20" spans="1:29" ht="15">
      <c r="A20" s="428"/>
      <c r="B20" s="456"/>
      <c r="C20" s="447"/>
      <c r="D20" s="448"/>
      <c r="E20" s="2602"/>
      <c r="F20" s="448"/>
      <c r="G20" s="2602"/>
      <c r="H20" s="448"/>
      <c r="I20" s="2601"/>
      <c r="J20" s="448"/>
      <c r="K20" s="672"/>
      <c r="L20" s="1140"/>
      <c r="M20" s="1131"/>
      <c r="N20" s="1131"/>
      <c r="O20" s="1139"/>
      <c r="P20" s="3231"/>
      <c r="Q20" s="1810"/>
      <c r="R20" s="774"/>
      <c r="S20" s="775"/>
      <c r="T20" s="774"/>
      <c r="U20" s="775"/>
      <c r="V20" s="774"/>
      <c r="W20" s="775"/>
      <c r="X20" s="1813"/>
      <c r="Y20" s="3231"/>
      <c r="Z20" s="1814"/>
      <c r="AA20" s="1811">
        <v>1</v>
      </c>
      <c r="AB20" s="1811">
        <v>1</v>
      </c>
      <c r="AC20" s="1811">
        <v>1</v>
      </c>
    </row>
    <row r="21" spans="1:29" ht="69">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31"/>
      <c r="Q21" s="1810" t="str">
        <f>B21</f>
        <v>交通便捷度</v>
      </c>
      <c r="R21" s="774" t="s">
        <v>17</v>
      </c>
      <c r="S21" s="775">
        <f>F21</f>
        <v>100</v>
      </c>
      <c r="T21" s="774" t="s">
        <v>17</v>
      </c>
      <c r="U21" s="775">
        <f>H21</f>
        <v>100</v>
      </c>
      <c r="V21" s="774" t="s">
        <v>17</v>
      </c>
      <c r="W21" s="775">
        <f>J21</f>
        <v>100</v>
      </c>
      <c r="X21" s="1813"/>
      <c r="Y21" s="3231"/>
      <c r="Z21" s="1814" t="str">
        <f>Q21</f>
        <v>交通便捷度</v>
      </c>
      <c r="AA21" s="1811">
        <f t="shared" si="3"/>
        <v>1</v>
      </c>
      <c r="AB21" s="1811">
        <f t="shared" si="4"/>
        <v>1</v>
      </c>
      <c r="AC21" s="1811">
        <f t="shared" si="5"/>
        <v>1</v>
      </c>
    </row>
    <row r="22" spans="1:29" ht="15">
      <c r="A22" s="428"/>
      <c r="B22" s="1384"/>
      <c r="C22" s="447" t="s">
        <v>3437</v>
      </c>
      <c r="D22" s="450"/>
      <c r="E22" s="447" t="s">
        <v>3437</v>
      </c>
      <c r="F22" s="448"/>
      <c r="G22" s="447" t="s">
        <v>3437</v>
      </c>
      <c r="H22" s="448"/>
      <c r="I22" s="447" t="s">
        <v>3437</v>
      </c>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ht="28.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1"/>
      <c r="Q23" s="1810" t="str">
        <f t="shared" ref="Q23:Q37" si="8">B23</f>
        <v>区域土地利用方向</v>
      </c>
      <c r="R23" s="774" t="s">
        <v>17</v>
      </c>
      <c r="S23" s="775">
        <f>F23</f>
        <v>100</v>
      </c>
      <c r="T23" s="774" t="s">
        <v>17</v>
      </c>
      <c r="U23" s="775">
        <f>H23</f>
        <v>100</v>
      </c>
      <c r="V23" s="774" t="s">
        <v>17</v>
      </c>
      <c r="W23" s="775">
        <f>J23</f>
        <v>100</v>
      </c>
      <c r="X23" s="1813"/>
      <c r="Y23" s="3231"/>
      <c r="Z23" s="1814" t="str">
        <f>Q23</f>
        <v>区域土地利用方向</v>
      </c>
      <c r="AA23" s="1811">
        <f t="shared" si="3"/>
        <v>1</v>
      </c>
      <c r="AB23" s="1811">
        <f t="shared" si="4"/>
        <v>1</v>
      </c>
      <c r="AC23" s="1811">
        <f t="shared" si="5"/>
        <v>1</v>
      </c>
    </row>
    <row r="24" spans="1:29" ht="15">
      <c r="A24" s="404"/>
      <c r="B24" s="456"/>
      <c r="C24" s="616" t="s">
        <v>3436</v>
      </c>
      <c r="D24" s="448"/>
      <c r="E24" s="616" t="s">
        <v>3436</v>
      </c>
      <c r="F24" s="448"/>
      <c r="G24" s="616" t="s">
        <v>3436</v>
      </c>
      <c r="H24" s="448"/>
      <c r="I24" s="616" t="s">
        <v>3436</v>
      </c>
      <c r="J24" s="448"/>
      <c r="K24" s="809"/>
      <c r="L24" s="1140"/>
      <c r="M24" s="1131"/>
      <c r="N24" s="1131"/>
      <c r="O24" s="1139"/>
      <c r="P24" s="3231"/>
      <c r="Q24" s="1810"/>
      <c r="R24" s="774"/>
      <c r="S24" s="775"/>
      <c r="T24" s="774"/>
      <c r="U24" s="775"/>
      <c r="V24" s="774"/>
      <c r="W24" s="775"/>
      <c r="X24" s="1813"/>
      <c r="Y24" s="3231"/>
      <c r="Z24" s="1814"/>
      <c r="AA24" s="1811"/>
      <c r="AB24" s="1811"/>
      <c r="AC24" s="1811"/>
    </row>
    <row r="25" spans="1:29" ht="41.4">
      <c r="A25" s="404"/>
      <c r="B25" s="1384" t="s">
        <v>2746</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31"/>
      <c r="Q25" s="1810" t="str">
        <f t="shared" si="8"/>
        <v>自然及人文环境状况</v>
      </c>
      <c r="R25" s="774" t="s">
        <v>17</v>
      </c>
      <c r="S25" s="775">
        <f>F25</f>
        <v>100</v>
      </c>
      <c r="T25" s="774" t="s">
        <v>17</v>
      </c>
      <c r="U25" s="775">
        <f>H25</f>
        <v>100</v>
      </c>
      <c r="V25" s="774" t="s">
        <v>17</v>
      </c>
      <c r="W25" s="775">
        <f>J25</f>
        <v>100</v>
      </c>
      <c r="X25" s="1813"/>
      <c r="Y25" s="3231"/>
      <c r="Z25" s="1814" t="str">
        <f>Q25</f>
        <v>自然及人文环境状况</v>
      </c>
      <c r="AA25" s="1811">
        <f t="shared" si="3"/>
        <v>1</v>
      </c>
      <c r="AB25" s="1811">
        <f t="shared" si="4"/>
        <v>1</v>
      </c>
      <c r="AC25" s="1811">
        <f t="shared" si="5"/>
        <v>1</v>
      </c>
    </row>
    <row r="26" spans="1:29" ht="15">
      <c r="A26" s="404"/>
      <c r="B26" s="456"/>
      <c r="C26" s="447" t="s">
        <v>3437</v>
      </c>
      <c r="D26" s="448"/>
      <c r="E26" s="447" t="s">
        <v>3437</v>
      </c>
      <c r="F26" s="448"/>
      <c r="G26" s="447" t="s">
        <v>3437</v>
      </c>
      <c r="H26" s="448"/>
      <c r="I26" s="447" t="s">
        <v>3437</v>
      </c>
      <c r="J26" s="448"/>
      <c r="K26" s="672"/>
      <c r="L26" s="1140"/>
      <c r="M26" s="1131"/>
      <c r="N26" s="1131"/>
      <c r="O26" s="1139"/>
      <c r="P26" s="3231"/>
      <c r="Q26" s="1810"/>
      <c r="R26" s="774"/>
      <c r="S26" s="775"/>
      <c r="T26" s="774"/>
      <c r="U26" s="775"/>
      <c r="V26" s="774"/>
      <c r="W26" s="775"/>
      <c r="X26" s="1813"/>
      <c r="Y26" s="3231"/>
      <c r="Z26" s="1814"/>
      <c r="AA26" s="1811">
        <v>1</v>
      </c>
      <c r="AB26" s="1811">
        <v>1</v>
      </c>
      <c r="AC26" s="1811">
        <v>1</v>
      </c>
    </row>
    <row r="27" spans="1:29" s="117" customFormat="1" ht="41.4">
      <c r="A27" s="649"/>
      <c r="B27" s="1384"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31"/>
      <c r="Q27" s="1795" t="str">
        <f t="shared" si="8"/>
        <v>公共配套设施</v>
      </c>
      <c r="R27" s="770" t="s">
        <v>17</v>
      </c>
      <c r="S27" s="771">
        <f>F27</f>
        <v>100</v>
      </c>
      <c r="T27" s="770" t="s">
        <v>17</v>
      </c>
      <c r="U27" s="771">
        <f>H27</f>
        <v>100</v>
      </c>
      <c r="V27" s="770" t="s">
        <v>17</v>
      </c>
      <c r="W27" s="771">
        <f>J27</f>
        <v>100</v>
      </c>
      <c r="X27" s="772"/>
      <c r="Y27" s="3231"/>
      <c r="Z27" s="55" t="str">
        <f>Q27</f>
        <v>公共配套设施</v>
      </c>
      <c r="AA27" s="1811">
        <f>D27/F27</f>
        <v>1</v>
      </c>
      <c r="AB27" s="1811">
        <f>D27/H27</f>
        <v>1</v>
      </c>
      <c r="AC27" s="1811">
        <f>D27/J27</f>
        <v>1</v>
      </c>
    </row>
    <row r="28" spans="1:29" s="117" customFormat="1" ht="15">
      <c r="A28" s="649"/>
      <c r="B28" s="456"/>
      <c r="C28" s="2695" t="s">
        <v>3437</v>
      </c>
      <c r="D28" s="448"/>
      <c r="E28" s="2695" t="s">
        <v>3437</v>
      </c>
      <c r="F28" s="448"/>
      <c r="G28" s="2695" t="s">
        <v>3437</v>
      </c>
      <c r="H28" s="448"/>
      <c r="I28" s="2695" t="s">
        <v>3437</v>
      </c>
      <c r="J28" s="448"/>
      <c r="K28" s="672"/>
      <c r="L28" s="1132"/>
      <c r="M28" s="1133"/>
      <c r="N28" s="1133"/>
      <c r="O28" s="1134"/>
      <c r="P28" s="3231"/>
      <c r="Q28" s="1795"/>
      <c r="R28" s="770"/>
      <c r="S28" s="771"/>
      <c r="T28" s="770"/>
      <c r="U28" s="771"/>
      <c r="V28" s="770"/>
      <c r="W28" s="771"/>
      <c r="X28" s="772"/>
      <c r="Y28" s="3231"/>
      <c r="Z28" s="55"/>
      <c r="AA28" s="1811">
        <v>1</v>
      </c>
      <c r="AB28" s="1811">
        <v>1</v>
      </c>
      <c r="AC28" s="1811">
        <v>1</v>
      </c>
    </row>
    <row r="29" spans="1:29" s="117" customFormat="1" ht="27.6">
      <c r="A29" s="649"/>
      <c r="B29" s="1384"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1"/>
      <c r="Q29" s="1795"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1">
        <f>D29/F29</f>
        <v>1</v>
      </c>
      <c r="AB29" s="1811">
        <f>D29/H29</f>
        <v>1</v>
      </c>
      <c r="AC29" s="1811">
        <f>D29/J29</f>
        <v>1</v>
      </c>
    </row>
    <row r="30" spans="1:29" s="117" customFormat="1" ht="15">
      <c r="A30" s="649"/>
      <c r="B30" s="456"/>
      <c r="C30" s="2695" t="s">
        <v>3438</v>
      </c>
      <c r="D30" s="448"/>
      <c r="E30" s="2695" t="s">
        <v>3438</v>
      </c>
      <c r="F30" s="448"/>
      <c r="G30" s="2695" t="s">
        <v>3438</v>
      </c>
      <c r="H30" s="448"/>
      <c r="I30" s="2695" t="s">
        <v>3438</v>
      </c>
      <c r="J30" s="448"/>
      <c r="K30" s="672"/>
      <c r="L30" s="1132"/>
      <c r="M30" s="1133"/>
      <c r="N30" s="1133"/>
      <c r="O30" s="1134"/>
      <c r="P30" s="3231"/>
      <c r="Q30" s="1795"/>
      <c r="R30" s="770"/>
      <c r="S30" s="771"/>
      <c r="T30" s="770"/>
      <c r="U30" s="771"/>
      <c r="V30" s="770"/>
      <c r="W30" s="771"/>
      <c r="X30" s="772"/>
      <c r="Y30" s="3231"/>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1"/>
      <c r="Z31" s="1814" t="str">
        <f t="shared" ref="Z31:Z45" si="13">Q31</f>
        <v>临街状况</v>
      </c>
      <c r="AA31" s="1811">
        <f t="shared" si="3"/>
        <v>1</v>
      </c>
      <c r="AB31" s="1811">
        <f t="shared" si="4"/>
        <v>1</v>
      </c>
      <c r="AC31" s="1811">
        <f t="shared" si="5"/>
        <v>1</v>
      </c>
    </row>
    <row r="32" spans="1:29" ht="28.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1"/>
      <c r="Q32" s="1810" t="str">
        <f t="shared" si="8"/>
        <v>毗邻道路的类型与等级</v>
      </c>
      <c r="R32" s="774" t="s">
        <v>17</v>
      </c>
      <c r="S32" s="775">
        <f t="shared" si="10"/>
        <v>100</v>
      </c>
      <c r="T32" s="774" t="s">
        <v>17</v>
      </c>
      <c r="U32" s="775">
        <f t="shared" si="11"/>
        <v>100</v>
      </c>
      <c r="V32" s="774" t="s">
        <v>17</v>
      </c>
      <c r="W32" s="775">
        <f t="shared" si="12"/>
        <v>100</v>
      </c>
      <c r="X32" s="1813"/>
      <c r="Y32" s="3231"/>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231"/>
      <c r="Q33" s="1810"/>
      <c r="R33" s="774"/>
      <c r="S33" s="775"/>
      <c r="T33" s="774"/>
      <c r="U33" s="775"/>
      <c r="V33" s="774"/>
      <c r="W33" s="775"/>
      <c r="X33" s="1813"/>
      <c r="Y33" s="3231"/>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1"/>
      <c r="Q34" s="1810" t="str">
        <f t="shared" si="8"/>
        <v>土地级别</v>
      </c>
      <c r="R34" s="774" t="s">
        <v>17</v>
      </c>
      <c r="S34" s="775">
        <f t="shared" si="10"/>
        <v>100</v>
      </c>
      <c r="T34" s="774" t="s">
        <v>17</v>
      </c>
      <c r="U34" s="775">
        <f t="shared" si="11"/>
        <v>100</v>
      </c>
      <c r="V34" s="774" t="s">
        <v>17</v>
      </c>
      <c r="W34" s="775">
        <f t="shared" si="12"/>
        <v>100</v>
      </c>
      <c r="X34" s="1813"/>
      <c r="Y34" s="323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1"/>
      <c r="Q35" s="1810">
        <f t="shared" si="8"/>
        <v>111</v>
      </c>
      <c r="R35" s="774" t="s">
        <v>17</v>
      </c>
      <c r="S35" s="775">
        <f t="shared" si="10"/>
        <v>100</v>
      </c>
      <c r="T35" s="774" t="s">
        <v>17</v>
      </c>
      <c r="U35" s="775">
        <f t="shared" si="11"/>
        <v>100</v>
      </c>
      <c r="V35" s="774" t="s">
        <v>17</v>
      </c>
      <c r="W35" s="775">
        <f t="shared" si="12"/>
        <v>100</v>
      </c>
      <c r="X35" s="1813"/>
      <c r="Y35" s="323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2562</v>
      </c>
      <c r="Q36" s="1810">
        <f t="shared" si="8"/>
        <v>111</v>
      </c>
      <c r="R36" s="774" t="s">
        <v>17</v>
      </c>
      <c r="S36" s="775">
        <f t="shared" si="10"/>
        <v>100</v>
      </c>
      <c r="T36" s="774" t="s">
        <v>17</v>
      </c>
      <c r="U36" s="775">
        <f t="shared" si="11"/>
        <v>100</v>
      </c>
      <c r="V36" s="774" t="s">
        <v>17</v>
      </c>
      <c r="W36" s="775">
        <f t="shared" si="12"/>
        <v>100</v>
      </c>
      <c r="X36" s="1813"/>
      <c r="Y36" s="3235" t="s">
        <v>2562</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5"/>
      <c r="Q37" s="1810">
        <f t="shared" si="8"/>
        <v>111</v>
      </c>
      <c r="R37" s="777" t="s">
        <v>17</v>
      </c>
      <c r="S37" s="778">
        <f t="shared" si="10"/>
        <v>100</v>
      </c>
      <c r="T37" s="777" t="s">
        <v>17</v>
      </c>
      <c r="U37" s="778">
        <f t="shared" si="11"/>
        <v>100</v>
      </c>
      <c r="V37" s="777" t="s">
        <v>17</v>
      </c>
      <c r="W37" s="778">
        <f t="shared" si="12"/>
        <v>100</v>
      </c>
      <c r="X37" s="779"/>
      <c r="Y37" s="3235"/>
      <c r="Z37" s="780">
        <f t="shared" si="13"/>
        <v>111</v>
      </c>
      <c r="AA37" s="1811">
        <f t="shared" si="3"/>
        <v>1</v>
      </c>
      <c r="AB37" s="1811">
        <f t="shared" si="4"/>
        <v>1</v>
      </c>
      <c r="AC37" s="1811">
        <f t="shared" si="5"/>
        <v>1</v>
      </c>
    </row>
    <row r="38" spans="1:29" ht="15.6">
      <c r="A38" s="472" t="s">
        <v>2560</v>
      </c>
      <c r="B38" s="456" t="s">
        <v>2748</v>
      </c>
      <c r="C38" s="679">
        <f>'数据-基础表'!B14</f>
        <v>45476</v>
      </c>
      <c r="D38" s="467">
        <v>100</v>
      </c>
      <c r="E38" s="679">
        <f>土地案例!J13</f>
        <v>46882</v>
      </c>
      <c r="F38" s="467">
        <f>LOOKUP(E38,117:117,118:118)-LOOKUP(C38,117:117,118:118)+100</f>
        <v>100</v>
      </c>
      <c r="G38" s="679">
        <f>土地案例!J14</f>
        <v>47806</v>
      </c>
      <c r="H38" s="467">
        <f>LOOKUP(G38,117:117,118:118)-LOOKUP(C38,117:117,118:118)+100</f>
        <v>100</v>
      </c>
      <c r="I38" s="530">
        <f>土地案例!J25</f>
        <v>20730</v>
      </c>
      <c r="J38" s="467">
        <f>LOOKUP(I38,117:117,118:118)-LOOKUP(C38,117:117,118:118)+100</f>
        <v>98</v>
      </c>
      <c r="K38" s="613"/>
      <c r="L38" s="1140"/>
      <c r="M38" s="1131"/>
      <c r="N38" s="1131"/>
      <c r="O38" s="1139"/>
      <c r="P38" s="3235"/>
      <c r="Q38" s="1810" t="str">
        <f>B38</f>
        <v>宗地面积</v>
      </c>
      <c r="R38" s="774" t="s">
        <v>17</v>
      </c>
      <c r="S38" s="775">
        <f t="shared" si="10"/>
        <v>100</v>
      </c>
      <c r="T38" s="774" t="s">
        <v>17</v>
      </c>
      <c r="U38" s="775">
        <f t="shared" si="11"/>
        <v>100</v>
      </c>
      <c r="V38" s="774" t="s">
        <v>17</v>
      </c>
      <c r="W38" s="775">
        <f t="shared" si="12"/>
        <v>98</v>
      </c>
      <c r="X38" s="1813"/>
      <c r="Y38" s="3235"/>
      <c r="Z38" s="1814" t="str">
        <f t="shared" si="13"/>
        <v>宗地面积</v>
      </c>
      <c r="AA38" s="1811">
        <f t="shared" si="3"/>
        <v>1</v>
      </c>
      <c r="AB38" s="1811">
        <f t="shared" si="4"/>
        <v>1</v>
      </c>
      <c r="AC38" s="1811">
        <f t="shared" si="5"/>
        <v>1.0204081632653061</v>
      </c>
    </row>
    <row r="39" spans="1:29" ht="15">
      <c r="A39" s="472"/>
      <c r="B39" s="422" t="s">
        <v>2749</v>
      </c>
      <c r="C39" s="2610" t="s">
        <v>3459</v>
      </c>
      <c r="D39" s="435">
        <v>100</v>
      </c>
      <c r="E39" s="2610" t="s">
        <v>3459</v>
      </c>
      <c r="F39" s="435">
        <f>SUMIF(119:119,E39,120:120)-SUMIF(119:119,C39,120:120)+100</f>
        <v>100</v>
      </c>
      <c r="G39" s="2610" t="s">
        <v>3459</v>
      </c>
      <c r="H39" s="435">
        <f>SUMIF(119:119,G39,120:120)-SUMIF(119:119,C39,120:120)+100</f>
        <v>100</v>
      </c>
      <c r="I39" s="2610" t="s">
        <v>3459</v>
      </c>
      <c r="J39" s="435">
        <f>SUMIF(119:119,I39,120:120)-SUMIF(119:119,C39,120:120)+100</f>
        <v>100</v>
      </c>
      <c r="K39" s="612">
        <v>1</v>
      </c>
      <c r="L39" s="1140"/>
      <c r="M39" s="1131"/>
      <c r="N39" s="1131"/>
      <c r="O39" s="1139"/>
      <c r="P39" s="3235"/>
      <c r="Q39" s="1810" t="str">
        <f t="shared" ref="Q39:Q45" si="14">B39</f>
        <v>宗地形状</v>
      </c>
      <c r="R39" s="774" t="s">
        <v>17</v>
      </c>
      <c r="S39" s="775">
        <f t="shared" si="10"/>
        <v>100</v>
      </c>
      <c r="T39" s="774" t="s">
        <v>17</v>
      </c>
      <c r="U39" s="775">
        <f t="shared" si="11"/>
        <v>100</v>
      </c>
      <c r="V39" s="774" t="s">
        <v>17</v>
      </c>
      <c r="W39" s="775">
        <f t="shared" si="12"/>
        <v>100</v>
      </c>
      <c r="X39" s="1813"/>
      <c r="Y39" s="3235"/>
      <c r="Z39" s="1814" t="str">
        <f t="shared" si="13"/>
        <v>宗地形状</v>
      </c>
      <c r="AA39" s="1811">
        <f t="shared" si="3"/>
        <v>1</v>
      </c>
      <c r="AB39" s="1811">
        <f t="shared" si="4"/>
        <v>1</v>
      </c>
      <c r="AC39" s="1811">
        <f t="shared" si="5"/>
        <v>1</v>
      </c>
    </row>
    <row r="40" spans="1:29" ht="15">
      <c r="A40" s="472"/>
      <c r="B40" s="422" t="s">
        <v>2750</v>
      </c>
      <c r="C40" s="2610" t="s">
        <v>3460</v>
      </c>
      <c r="D40" s="435">
        <v>100</v>
      </c>
      <c r="E40" s="2610" t="s">
        <v>3460</v>
      </c>
      <c r="F40" s="435">
        <f>SUMIF(121:121,E40,122:122)-SUMIF(121:121,C40,122:122)+100</f>
        <v>100</v>
      </c>
      <c r="G40" s="2610" t="s">
        <v>3460</v>
      </c>
      <c r="H40" s="435">
        <f>SUMIF(121:121,G40,122:122)-SUMIF(121:121,C40,122:122)+100</f>
        <v>100</v>
      </c>
      <c r="I40" s="2610" t="s">
        <v>3460</v>
      </c>
      <c r="J40" s="435">
        <f>SUMIF(121:121,I40,122:122)-SUMIF(121:121,C40,122:122)+100</f>
        <v>100</v>
      </c>
      <c r="K40" s="612">
        <v>1</v>
      </c>
      <c r="L40" s="1140"/>
      <c r="M40" s="1131"/>
      <c r="N40" s="1131"/>
      <c r="O40" s="1139"/>
      <c r="P40" s="3235"/>
      <c r="Q40" s="1810" t="str">
        <f t="shared" si="14"/>
        <v>临街宽度及深度</v>
      </c>
      <c r="R40" s="774" t="s">
        <v>17</v>
      </c>
      <c r="S40" s="775">
        <f t="shared" si="10"/>
        <v>100</v>
      </c>
      <c r="T40" s="774" t="s">
        <v>17</v>
      </c>
      <c r="U40" s="775">
        <f t="shared" si="11"/>
        <v>100</v>
      </c>
      <c r="V40" s="774" t="s">
        <v>17</v>
      </c>
      <c r="W40" s="775">
        <f t="shared" si="12"/>
        <v>100</v>
      </c>
      <c r="X40" s="1813"/>
      <c r="Y40" s="3235"/>
      <c r="Z40" s="1814" t="str">
        <f t="shared" si="13"/>
        <v>临街宽度及深度</v>
      </c>
      <c r="AA40" s="1811">
        <f t="shared" si="3"/>
        <v>1</v>
      </c>
      <c r="AB40" s="1811">
        <f t="shared" si="4"/>
        <v>1</v>
      </c>
      <c r="AC40" s="1811">
        <f t="shared" si="5"/>
        <v>1</v>
      </c>
    </row>
    <row r="41" spans="1:29" s="117" customFormat="1" ht="15">
      <c r="A41" s="473"/>
      <c r="B41" s="422" t="s">
        <v>2751</v>
      </c>
      <c r="C41" s="2697" t="s">
        <v>3438</v>
      </c>
      <c r="D41" s="136">
        <v>100</v>
      </c>
      <c r="E41" s="2697" t="s">
        <v>3442</v>
      </c>
      <c r="F41" s="435">
        <f>SUMIF(123:123,E41,124:124)-SUMIF(123:123,C41,124:124)+100</f>
        <v>98.5</v>
      </c>
      <c r="G41" s="2697" t="s">
        <v>3442</v>
      </c>
      <c r="H41" s="435">
        <f>SUMIF(123:123,G41,124:124)-SUMIF(123:123,C41,124:124)+100</f>
        <v>98.5</v>
      </c>
      <c r="I41" s="2697" t="s">
        <v>3442</v>
      </c>
      <c r="J41" s="435">
        <f>SUMIF(123:123,I41,124:124)-SUMIF(123:123,C41,124:124)+100</f>
        <v>98.5</v>
      </c>
      <c r="K41" s="612">
        <v>0.5</v>
      </c>
      <c r="L41" s="1132"/>
      <c r="M41" s="1133"/>
      <c r="N41" s="1133"/>
      <c r="O41" s="1134"/>
      <c r="P41" s="3235"/>
      <c r="Q41" s="1810" t="str">
        <f t="shared" si="14"/>
        <v>宗地开发程度</v>
      </c>
      <c r="R41" s="770" t="s">
        <v>17</v>
      </c>
      <c r="S41" s="771">
        <f t="shared" si="10"/>
        <v>98.5</v>
      </c>
      <c r="T41" s="770" t="s">
        <v>17</v>
      </c>
      <c r="U41" s="771">
        <f t="shared" si="11"/>
        <v>98.5</v>
      </c>
      <c r="V41" s="770" t="s">
        <v>17</v>
      </c>
      <c r="W41" s="771">
        <f t="shared" si="12"/>
        <v>98.5</v>
      </c>
      <c r="X41" s="772"/>
      <c r="Y41" s="3235"/>
      <c r="Z41" s="55" t="str">
        <f t="shared" si="13"/>
        <v>宗地开发程度</v>
      </c>
      <c r="AA41" s="773">
        <f t="shared" si="3"/>
        <v>1.015228426395939</v>
      </c>
      <c r="AB41" s="773">
        <f t="shared" si="4"/>
        <v>1.015228426395939</v>
      </c>
      <c r="AC41" s="773">
        <f t="shared" si="5"/>
        <v>1.015228426395939</v>
      </c>
    </row>
    <row r="42" spans="1:29" ht="15">
      <c r="A42" s="472"/>
      <c r="B42" s="422" t="s">
        <v>2752</v>
      </c>
      <c r="C42" s="2610" t="s">
        <v>3436</v>
      </c>
      <c r="D42" s="435">
        <v>100</v>
      </c>
      <c r="E42" s="2610" t="s">
        <v>3436</v>
      </c>
      <c r="F42" s="435">
        <f>SUMIF(125:125,E42,126:126)-SUMIF(125:125,C42,126:126)+100</f>
        <v>100</v>
      </c>
      <c r="G42" s="2610" t="s">
        <v>3436</v>
      </c>
      <c r="H42" s="435">
        <f>SUMIF(125:125,G42,126:126)-SUMIF(125:125,C42,126:126)+100</f>
        <v>100</v>
      </c>
      <c r="I42" s="2610" t="s">
        <v>3436</v>
      </c>
      <c r="J42" s="435">
        <f>SUMIF(125:125,I42,126:126)-SUMIF(125:125,C42,126:126)+100</f>
        <v>100</v>
      </c>
      <c r="K42" s="612">
        <v>1</v>
      </c>
      <c r="L42" s="1140"/>
      <c r="M42" s="1131"/>
      <c r="N42" s="1131"/>
      <c r="O42" s="1139"/>
      <c r="P42" s="3235" t="s">
        <v>2562</v>
      </c>
      <c r="Q42" s="1810" t="str">
        <f t="shared" si="14"/>
        <v>工程地质条件</v>
      </c>
      <c r="R42" s="774" t="s">
        <v>17</v>
      </c>
      <c r="S42" s="775">
        <f t="shared" si="10"/>
        <v>100</v>
      </c>
      <c r="T42" s="774" t="s">
        <v>17</v>
      </c>
      <c r="U42" s="775">
        <f t="shared" si="11"/>
        <v>100</v>
      </c>
      <c r="V42" s="774" t="s">
        <v>17</v>
      </c>
      <c r="W42" s="775">
        <f t="shared" si="12"/>
        <v>100</v>
      </c>
      <c r="X42" s="1813"/>
      <c r="Y42" s="3235"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5"/>
      <c r="Q43" s="1810">
        <f t="shared" si="14"/>
        <v>111</v>
      </c>
      <c r="R43" s="774" t="s">
        <v>17</v>
      </c>
      <c r="S43" s="775">
        <f t="shared" si="10"/>
        <v>100</v>
      </c>
      <c r="T43" s="774" t="s">
        <v>17</v>
      </c>
      <c r="U43" s="775">
        <f t="shared" si="11"/>
        <v>100</v>
      </c>
      <c r="V43" s="774" t="s">
        <v>17</v>
      </c>
      <c r="W43" s="775">
        <f t="shared" si="12"/>
        <v>100</v>
      </c>
      <c r="X43" s="1813"/>
      <c r="Y43" s="323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5"/>
      <c r="Q44" s="1810">
        <f t="shared" si="14"/>
        <v>111</v>
      </c>
      <c r="R44" s="774" t="s">
        <v>17</v>
      </c>
      <c r="S44" s="775">
        <f t="shared" si="10"/>
        <v>100</v>
      </c>
      <c r="T44" s="774" t="s">
        <v>17</v>
      </c>
      <c r="U44" s="775">
        <f t="shared" si="11"/>
        <v>100</v>
      </c>
      <c r="V44" s="774" t="s">
        <v>17</v>
      </c>
      <c r="W44" s="775">
        <f t="shared" si="12"/>
        <v>100</v>
      </c>
      <c r="X44" s="1813"/>
      <c r="Y44" s="3235"/>
      <c r="Z44" s="1814">
        <f t="shared" si="13"/>
        <v>111</v>
      </c>
      <c r="AA44" s="1811">
        <f t="shared" si="3"/>
        <v>1</v>
      </c>
      <c r="AB44" s="1811">
        <f t="shared" si="4"/>
        <v>1</v>
      </c>
      <c r="AC44" s="1811">
        <f t="shared" si="5"/>
        <v>1</v>
      </c>
    </row>
    <row r="45" spans="1:29" s="471" customFormat="1" ht="15.6"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5"/>
      <c r="Q45" s="1810">
        <f t="shared" si="14"/>
        <v>111</v>
      </c>
      <c r="R45" s="777" t="s">
        <v>17</v>
      </c>
      <c r="S45" s="778">
        <f t="shared" si="10"/>
        <v>100</v>
      </c>
      <c r="T45" s="777" t="s">
        <v>17</v>
      </c>
      <c r="U45" s="778">
        <f t="shared" si="11"/>
        <v>100</v>
      </c>
      <c r="V45" s="777" t="s">
        <v>17</v>
      </c>
      <c r="W45" s="778">
        <f t="shared" si="12"/>
        <v>100</v>
      </c>
      <c r="X45" s="779"/>
      <c r="Y45" s="3235"/>
      <c r="Z45" s="780">
        <f t="shared" si="13"/>
        <v>111</v>
      </c>
      <c r="AA45" s="1811">
        <f t="shared" si="3"/>
        <v>1</v>
      </c>
      <c r="AB45" s="1811">
        <f t="shared" si="4"/>
        <v>1</v>
      </c>
      <c r="AC45" s="1811">
        <f t="shared" si="5"/>
        <v>1</v>
      </c>
    </row>
    <row r="46" spans="1:29" ht="14.4">
      <c r="A46" s="479" t="s">
        <v>2717</v>
      </c>
      <c r="B46" s="2699" t="s">
        <v>2753</v>
      </c>
      <c r="C46" s="682" t="s">
        <v>1</v>
      </c>
      <c r="D46" s="481"/>
      <c r="E46" s="482">
        <f>ROUND(土地案例!AK13,0)</f>
        <v>6494</v>
      </c>
      <c r="F46" s="483"/>
      <c r="G46" s="484">
        <f>ROUND(土地案例!AK14,0)</f>
        <v>6485</v>
      </c>
      <c r="H46" s="485"/>
      <c r="I46" s="482">
        <f>ROUND(土地案例!AK25,0)</f>
        <v>6531</v>
      </c>
      <c r="J46" s="485"/>
      <c r="K46" s="783"/>
      <c r="L46" s="1143"/>
      <c r="M46" s="1144"/>
      <c r="N46" s="1131"/>
      <c r="O46" s="1144"/>
      <c r="P46" s="3237" t="str">
        <f>A46</f>
        <v>成交单价</v>
      </c>
      <c r="Q46" s="3237"/>
      <c r="R46" s="3223">
        <f>E46</f>
        <v>6494</v>
      </c>
      <c r="S46" s="3223"/>
      <c r="T46" s="3223">
        <f>G46</f>
        <v>6485</v>
      </c>
      <c r="U46" s="3223"/>
      <c r="V46" s="3223">
        <f>I46</f>
        <v>6531</v>
      </c>
      <c r="W46" s="3223"/>
      <c r="X46" s="759"/>
      <c r="Y46" s="781"/>
      <c r="Z46" s="759"/>
      <c r="AA46" s="759"/>
      <c r="AB46" s="759"/>
      <c r="AC46" s="759"/>
    </row>
    <row r="47" spans="1:29" ht="15" thickBot="1">
      <c r="A47" s="486" t="s">
        <v>2666</v>
      </c>
      <c r="B47" s="683"/>
      <c r="C47" s="490">
        <f>R48</f>
        <v>6737</v>
      </c>
      <c r="D47" s="489"/>
      <c r="E47" s="490">
        <f>R47</f>
        <v>6659</v>
      </c>
      <c r="F47" s="491"/>
      <c r="G47" s="488">
        <f>T47</f>
        <v>6717</v>
      </c>
      <c r="H47" s="489"/>
      <c r="I47" s="490">
        <f>V47</f>
        <v>6835</v>
      </c>
      <c r="J47" s="489"/>
      <c r="K47" s="784"/>
      <c r="L47" s="1143"/>
      <c r="M47" s="1144"/>
      <c r="N47" s="1144"/>
      <c r="O47" s="1144"/>
      <c r="P47" s="3237" t="str">
        <f>A47</f>
        <v>比较价值（元/平方米）</v>
      </c>
      <c r="Q47" s="3237"/>
      <c r="R47" s="3264">
        <f>ROUND(PRODUCT(R46,AA7:AA45),0)</f>
        <v>6659</v>
      </c>
      <c r="S47" s="3264"/>
      <c r="T47" s="3264">
        <f>ROUND(PRODUCT(T46,AB7:AB45),0)</f>
        <v>6717</v>
      </c>
      <c r="U47" s="3264"/>
      <c r="V47" s="3264">
        <f>ROUND(PRODUCT(V46,AC7:AC45),0)</f>
        <v>6835</v>
      </c>
      <c r="W47" s="3264"/>
      <c r="X47" s="759"/>
      <c r="Y47" s="759"/>
      <c r="Z47" s="759"/>
      <c r="AA47" s="759"/>
      <c r="AB47" s="759"/>
      <c r="AC47" s="759"/>
    </row>
    <row r="48" spans="1:29" ht="15" thickBot="1">
      <c r="A48" s="492" t="s">
        <v>2754</v>
      </c>
      <c r="B48" s="493"/>
      <c r="C48" s="494">
        <f>R48</f>
        <v>6737</v>
      </c>
      <c r="D48" s="494"/>
      <c r="E48" s="494"/>
      <c r="F48" s="494"/>
      <c r="G48" s="494"/>
      <c r="H48" s="494"/>
      <c r="I48" s="494"/>
      <c r="J48" s="494"/>
      <c r="K48" s="785"/>
      <c r="L48" s="1143"/>
      <c r="M48" s="1144"/>
      <c r="N48" s="1144"/>
      <c r="O48" s="1144"/>
      <c r="P48" s="3239" t="str">
        <f>A48</f>
        <v>估价对象XX用房的比较价值（楼面单价，元/平方米）</v>
      </c>
      <c r="Q48" s="3240"/>
      <c r="R48" s="3265">
        <f>ROUND(AVERAGE(R47:V47),0)</f>
        <v>6737</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2.5408068986757071E-2</v>
      </c>
      <c r="F51" s="500" t="str">
        <f>IF(OR(E51&gt;=0.3,E51&lt;=-0.3),"超过30%","")</f>
        <v/>
      </c>
      <c r="G51" s="499">
        <f>IF(G46&lt;G47,G47/G46-1,G46/G47-1)</f>
        <v>3.5774865073245898E-2</v>
      </c>
      <c r="H51" s="500" t="str">
        <f>IF(OR(G51&gt;=0.3,G51&lt;=-0.3),"超过30%","")</f>
        <v/>
      </c>
      <c r="I51" s="499">
        <f>IF(I46&lt;I47,I47/I46-1,I46/I47-1)</f>
        <v>4.654723625784718E-2</v>
      </c>
      <c r="J51" s="500" t="str">
        <f>IF(OR(I51&gt;=0.3,I51&lt;=-0.3),"超过30%","")</f>
        <v/>
      </c>
      <c r="K51" s="1105"/>
      <c r="L51" s="1106"/>
      <c r="M51" s="1144"/>
      <c r="N51" s="1144"/>
      <c r="O51" s="1144"/>
    </row>
    <row r="52" spans="1:15" ht="13.5" customHeight="1">
      <c r="A52" s="1144"/>
      <c r="B52" s="1144"/>
      <c r="C52" s="497" t="s">
        <v>2669</v>
      </c>
      <c r="D52" s="501"/>
      <c r="E52" s="499">
        <f>IF(E47&lt;G47,G47/E47-1,E47/G47-1)</f>
        <v>8.7100165189968326E-3</v>
      </c>
      <c r="F52" s="500" t="str">
        <f>IF(OR(E52&gt;=0.2,E52&lt;=-0.2),"超过20%","")</f>
        <v/>
      </c>
      <c r="G52" s="499">
        <f>IF(G47&lt;I47,I47/G47-1,G47/I47-1)</f>
        <v>1.7567366383802296E-2</v>
      </c>
      <c r="H52" s="500" t="str">
        <f>IF(OR(G52&gt;=0.2,G52&lt;=-0.2),"超过20%","")</f>
        <v/>
      </c>
      <c r="I52" s="499">
        <f>IF(I47&lt;E47,E47/I47-1,I47/E47-1)</f>
        <v>2.64303949541973E-2</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1.3878180416344588E-3</v>
      </c>
      <c r="F53" s="500" t="str">
        <f>IF(OR(E53&gt;=0.3,E53&lt;=-0.3),"超过30%","")</f>
        <v/>
      </c>
      <c r="G53" s="499">
        <f>IF(G46&lt;I46,I46/G46-1,G46/I46-1)</f>
        <v>7.0932922127988629E-3</v>
      </c>
      <c r="H53" s="500" t="str">
        <f>IF(OR(G53&gt;=0.3,G53&lt;=-0.3),"超过30%","")</f>
        <v/>
      </c>
      <c r="I53" s="499">
        <f>IF(I46&lt;E46,E46/I46-1,I46/E46-1)</f>
        <v>5.697566984909086E-3</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0" t="s">
        <v>2757</v>
      </c>
      <c r="D55" s="2701" t="s">
        <v>2758</v>
      </c>
      <c r="E55" s="686" t="s">
        <v>2759</v>
      </c>
      <c r="F55" s="1107" t="s">
        <v>2760</v>
      </c>
      <c r="G55" s="3201" t="s">
        <v>2761</v>
      </c>
      <c r="H55" s="3266"/>
      <c r="I55" s="144" t="s">
        <v>2762</v>
      </c>
      <c r="J55" s="2702" t="str">
        <f>项目基本情况!F35</f>
        <v>浙江省</v>
      </c>
      <c r="K55" s="2703" t="s">
        <v>2763</v>
      </c>
      <c r="L55" s="1106"/>
      <c r="M55" s="1144"/>
      <c r="N55" s="1144"/>
      <c r="O55" s="1144"/>
    </row>
    <row r="56" spans="1:15" s="692" customFormat="1">
      <c r="A56" s="688" t="s">
        <v>2764</v>
      </c>
      <c r="B56" s="689">
        <f>C48</f>
        <v>6737</v>
      </c>
      <c r="C56" s="690">
        <v>1</v>
      </c>
      <c r="D56" s="1163">
        <v>1</v>
      </c>
      <c r="E56" s="690">
        <f>'数据-汇总表'!E8+'数据-汇总表'!E9</f>
        <v>74566.910000000091</v>
      </c>
      <c r="F56" s="1103">
        <f t="shared" ref="F56:F65" si="15">ROUND(B56*E56/10000,0)</f>
        <v>50236</v>
      </c>
      <c r="G56" s="3227"/>
      <c r="H56" s="3237"/>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267"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67"/>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67"/>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67"/>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4"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4126.1399999999994</v>
      </c>
      <c r="F62" s="1103">
        <f t="shared" si="15"/>
        <v>0</v>
      </c>
      <c r="G62" s="1109"/>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8027.2500000000664</v>
      </c>
      <c r="F63" s="1103">
        <f t="shared" si="15"/>
        <v>0</v>
      </c>
      <c r="G63" s="1109"/>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04" t="s">
        <v>2766</v>
      </c>
      <c r="H64" s="1104">
        <f>项目基本情况!B37</f>
        <v>0</v>
      </c>
      <c r="I64" s="1108">
        <f>SUMIF(修正!A45:A56,H64,修正!H45:H56)</f>
        <v>0</v>
      </c>
      <c r="J64" s="1112"/>
      <c r="K64" s="1145"/>
      <c r="L64" s="941"/>
      <c r="M64" s="941"/>
      <c r="N64" s="941"/>
      <c r="O64" s="941"/>
    </row>
    <row r="65" spans="1:17" s="692" customFormat="1" ht="14.4" thickBot="1">
      <c r="A65" s="693" t="s">
        <v>2777</v>
      </c>
      <c r="B65" s="262">
        <f t="shared" si="17"/>
        <v>0</v>
      </c>
      <c r="C65" s="200">
        <f t="shared" si="16"/>
        <v>0</v>
      </c>
      <c r="D65" s="1164">
        <v>0.25</v>
      </c>
      <c r="E65" s="261">
        <f>'数据-汇总表'!E15</f>
        <v>0</v>
      </c>
      <c r="F65" s="1103">
        <f t="shared" si="15"/>
        <v>0</v>
      </c>
      <c r="G65" s="2705"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1029</v>
      </c>
      <c r="E66" s="696">
        <f>IF(B46="楼面地价",SUM(E56:E65),'数据-汇总表'!D3)</f>
        <v>86720.300000000163</v>
      </c>
      <c r="F66" s="697">
        <f>IF(B46="楼面地价",SUM(F56:F65),ROUND(C48*E66/10000,0))</f>
        <v>50236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06" t="s">
        <v>2779</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7" t="s">
        <v>2780</v>
      </c>
      <c r="B71" s="332" t="str">
        <f>"北京市平均增长率"&amp;TEXT(SUMIF(基准地价修正!N21:N25,A71,基准地价修正!P21:P25),"0.00%")</f>
        <v>北京市平均增长率2.45%</v>
      </c>
      <c r="C71" s="603">
        <v>100</v>
      </c>
      <c r="D71" s="595">
        <v>99</v>
      </c>
      <c r="E71" s="595">
        <v>98</v>
      </c>
      <c r="F71" s="595">
        <v>97</v>
      </c>
      <c r="G71" s="595"/>
      <c r="H71" s="595"/>
      <c r="I71" s="595"/>
      <c r="J71" s="595"/>
      <c r="K71" s="595"/>
      <c r="L71" s="595"/>
      <c r="M71" s="1567"/>
      <c r="N71" s="595"/>
      <c r="O71" s="1568"/>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2948" t="s">
        <v>3434</v>
      </c>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0.5</v>
      </c>
      <c r="E80" s="549">
        <v>1</v>
      </c>
      <c r="F80" s="549">
        <v>1.5</v>
      </c>
      <c r="G80" s="549">
        <v>2</v>
      </c>
      <c r="H80" s="549">
        <v>2.5</v>
      </c>
      <c r="I80" s="549"/>
      <c r="J80" s="549"/>
      <c r="K80" s="550"/>
      <c r="L80" s="551"/>
      <c r="M80" s="552"/>
      <c r="N80" s="1152"/>
      <c r="O80" s="1152"/>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2688</v>
      </c>
      <c r="C106" s="2965" t="s">
        <v>3454</v>
      </c>
      <c r="D106" s="2965" t="s">
        <v>3455</v>
      </c>
      <c r="E106" s="2965" t="s">
        <v>3456</v>
      </c>
      <c r="F106" s="2965" t="s">
        <v>3457</v>
      </c>
      <c r="G106" s="2965" t="s">
        <v>3458</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2747</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4.4" thickBot="1">
      <c r="A118" s="534"/>
      <c r="B118" s="543"/>
      <c r="C118" s="570">
        <v>100</v>
      </c>
      <c r="D118" s="591">
        <f>C118+1</f>
        <v>101</v>
      </c>
      <c r="E118" s="591">
        <f t="shared" ref="E118:H118" si="26">D118+1</f>
        <v>102</v>
      </c>
      <c r="F118" s="591">
        <f t="shared" si="26"/>
        <v>103</v>
      </c>
      <c r="G118" s="591">
        <f t="shared" si="26"/>
        <v>104</v>
      </c>
      <c r="H118" s="591">
        <f t="shared" si="26"/>
        <v>105</v>
      </c>
      <c r="I118" s="591"/>
      <c r="J118" s="591"/>
      <c r="K118" s="591"/>
      <c r="L118" s="591"/>
      <c r="M118" s="592"/>
      <c r="N118" s="1153"/>
      <c r="O118" s="1153"/>
      <c r="P118" s="45"/>
      <c r="Q118" s="504"/>
    </row>
    <row r="119" spans="1:17" ht="15" thickTop="1">
      <c r="A119" s="599"/>
      <c r="B119" s="538" t="s">
        <v>2789</v>
      </c>
      <c r="C119" s="2966" t="s">
        <v>3450</v>
      </c>
      <c r="D119" s="2966" t="s">
        <v>3451</v>
      </c>
      <c r="E119" s="2966" t="s">
        <v>3452</v>
      </c>
      <c r="F119" s="2966" t="s">
        <v>3453</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2790</v>
      </c>
      <c r="C121" s="2965" t="s">
        <v>3446</v>
      </c>
      <c r="D121" s="2965" t="s">
        <v>3447</v>
      </c>
      <c r="E121" s="2965" t="s">
        <v>3448</v>
      </c>
      <c r="F121" s="2966" t="s">
        <v>3449</v>
      </c>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2791</v>
      </c>
      <c r="C123" s="554" t="s">
        <v>3439</v>
      </c>
      <c r="D123" s="554" t="s">
        <v>3438</v>
      </c>
      <c r="E123" s="554" t="s">
        <v>3440</v>
      </c>
      <c r="F123" s="554" t="s">
        <v>3441</v>
      </c>
      <c r="G123" s="554" t="s">
        <v>3442</v>
      </c>
      <c r="H123" s="583"/>
      <c r="I123" s="583"/>
      <c r="J123" s="583"/>
      <c r="K123" s="584"/>
      <c r="L123" s="585"/>
      <c r="M123" s="586"/>
      <c r="N123" s="1154"/>
      <c r="O123" s="1154"/>
      <c r="P123" s="558"/>
      <c r="Q123" s="559"/>
    </row>
    <row r="124" spans="1:17" s="471" customFormat="1" ht="14.4"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2792</v>
      </c>
      <c r="C125" s="554" t="s">
        <v>3443</v>
      </c>
      <c r="D125" s="554" t="s">
        <v>3436</v>
      </c>
      <c r="E125" s="583" t="s">
        <v>3437</v>
      </c>
      <c r="F125" s="583" t="s">
        <v>3444</v>
      </c>
      <c r="G125" s="583" t="s">
        <v>3445</v>
      </c>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1" t="s">
        <v>2643</v>
      </c>
      <c r="D4" s="3202"/>
      <c r="E4" s="3203" t="s">
        <v>2644</v>
      </c>
      <c r="F4" s="3204"/>
      <c r="G4" s="3201" t="s">
        <v>2645</v>
      </c>
      <c r="H4" s="3202"/>
      <c r="I4" s="3201" t="s">
        <v>2646</v>
      </c>
      <c r="J4" s="3202"/>
      <c r="K4" s="610" t="s">
        <v>2647</v>
      </c>
      <c r="L4" s="1130"/>
      <c r="M4" s="1131"/>
      <c r="N4" s="1131"/>
      <c r="O4" s="1131"/>
      <c r="P4" s="3205" t="s">
        <v>2648</v>
      </c>
      <c r="Q4" s="3206"/>
      <c r="R4" s="3211" t="s">
        <v>2644</v>
      </c>
      <c r="S4" s="3212"/>
      <c r="T4" s="3211" t="s">
        <v>2645</v>
      </c>
      <c r="U4" s="3212"/>
      <c r="V4" s="3223" t="s">
        <v>2646</v>
      </c>
      <c r="W4" s="3223"/>
      <c r="X4" s="1813"/>
      <c r="Y4" s="3211" t="s">
        <v>2648</v>
      </c>
      <c r="Z4" s="3212"/>
      <c r="AA4" s="3198" t="s">
        <v>2644</v>
      </c>
      <c r="AB4" s="3199" t="s">
        <v>2645</v>
      </c>
      <c r="AC4" s="3198" t="s">
        <v>2646</v>
      </c>
    </row>
    <row r="5" spans="1:29">
      <c r="A5" s="404"/>
      <c r="B5" s="405"/>
      <c r="C5" s="3243" t="s">
        <v>2539</v>
      </c>
      <c r="D5" s="3216"/>
      <c r="E5" s="3242" t="s">
        <v>2540</v>
      </c>
      <c r="F5" s="3218"/>
      <c r="G5" s="3243" t="s">
        <v>2541</v>
      </c>
      <c r="H5" s="3216"/>
      <c r="I5" s="3243" t="s">
        <v>2542</v>
      </c>
      <c r="J5" s="3216"/>
      <c r="K5" s="610"/>
      <c r="L5" s="1130"/>
      <c r="M5" s="1131"/>
      <c r="N5" s="1131"/>
      <c r="O5" s="1131"/>
      <c r="P5" s="3207"/>
      <c r="Q5" s="3208"/>
      <c r="R5" s="3213"/>
      <c r="S5" s="3214"/>
      <c r="T5" s="3213"/>
      <c r="U5" s="3214"/>
      <c r="V5" s="3223"/>
      <c r="W5" s="3223"/>
      <c r="X5" s="1813"/>
      <c r="Y5" s="3213"/>
      <c r="Z5" s="3214"/>
      <c r="AA5" s="3199"/>
      <c r="AB5" s="3199"/>
      <c r="AC5" s="3199"/>
    </row>
    <row r="6" spans="1:29" ht="15" thickBot="1">
      <c r="A6" s="406"/>
      <c r="B6" s="407"/>
      <c r="C6" s="3268" t="s">
        <v>2794</v>
      </c>
      <c r="D6" s="3269"/>
      <c r="E6" s="3270" t="s">
        <v>2794</v>
      </c>
      <c r="F6" s="3271"/>
      <c r="G6" s="3268" t="s">
        <v>2794</v>
      </c>
      <c r="H6" s="3269"/>
      <c r="I6" s="3268" t="s">
        <v>2794</v>
      </c>
      <c r="J6" s="3269"/>
      <c r="K6" s="610" t="s">
        <v>2544</v>
      </c>
      <c r="L6" s="1130"/>
      <c r="M6" s="1131"/>
      <c r="N6" s="1131"/>
      <c r="O6" s="1131"/>
      <c r="P6" s="3209"/>
      <c r="Q6" s="3210"/>
      <c r="R6" s="3213"/>
      <c r="S6" s="3214"/>
      <c r="T6" s="3221"/>
      <c r="U6" s="3222"/>
      <c r="V6" s="3223"/>
      <c r="W6" s="3223"/>
      <c r="X6" s="1813"/>
      <c r="Y6" s="3221"/>
      <c r="Z6" s="3222"/>
      <c r="AA6" s="3200"/>
      <c r="AB6" s="3200"/>
      <c r="AC6" s="3200"/>
    </row>
    <row r="7" spans="1:29" s="117" customFormat="1" ht="15" thickBot="1">
      <c r="A7" s="408" t="s">
        <v>2545</v>
      </c>
      <c r="B7" s="409"/>
      <c r="C7" s="410">
        <f>'数据-取费表'!B2</f>
        <v>43356</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24" t="s">
        <v>2546</v>
      </c>
      <c r="Q7" s="3225"/>
      <c r="R7" s="770" t="s">
        <v>17</v>
      </c>
      <c r="S7" s="771">
        <f t="shared" ref="S7:S15" si="0">F7</f>
        <v>0</v>
      </c>
      <c r="T7" s="770" t="s">
        <v>17</v>
      </c>
      <c r="U7" s="771">
        <f t="shared" ref="U7:U15" si="1">H7</f>
        <v>0</v>
      </c>
      <c r="V7" s="770" t="s">
        <v>17</v>
      </c>
      <c r="W7" s="771">
        <f t="shared" ref="W7:W15" si="2">J7</f>
        <v>0</v>
      </c>
      <c r="X7" s="772"/>
      <c r="Y7" s="3224" t="s">
        <v>2546</v>
      </c>
      <c r="Z7" s="3226"/>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4" t="s">
        <v>2549</v>
      </c>
      <c r="Q8" s="3226"/>
      <c r="R8" s="770" t="s">
        <v>17</v>
      </c>
      <c r="S8" s="771">
        <f t="shared" si="0"/>
        <v>0</v>
      </c>
      <c r="T8" s="770" t="s">
        <v>17</v>
      </c>
      <c r="U8" s="771">
        <f t="shared" si="1"/>
        <v>0</v>
      </c>
      <c r="V8" s="770" t="s">
        <v>17</v>
      </c>
      <c r="W8" s="771">
        <f t="shared" si="2"/>
        <v>0</v>
      </c>
      <c r="X8" s="772"/>
      <c r="Y8" s="3224" t="s">
        <v>2549</v>
      </c>
      <c r="Z8" s="3226"/>
      <c r="AA8" s="773" t="e">
        <f t="shared" ref="AA8:AA40" si="3">D8/F8</f>
        <v>#DIV/0!</v>
      </c>
      <c r="AB8" s="773" t="e">
        <f t="shared" ref="AB8:AB40" si="4">D8/H8</f>
        <v>#DIV/0!</v>
      </c>
      <c r="AC8" s="773" t="e">
        <f t="shared" ref="AC8:AC40" si="5">D8/J8</f>
        <v>#DIV/0!</v>
      </c>
    </row>
    <row r="9" spans="1:29" s="117" customFormat="1" ht="14.4">
      <c r="A9" s="415" t="s">
        <v>2550</v>
      </c>
      <c r="B9" s="71" t="s">
        <v>2551</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47"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7"/>
      <c r="Q11" s="1795"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2556</v>
      </c>
      <c r="B15" s="629" t="s">
        <v>2795</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0" t="s">
        <v>2557</v>
      </c>
      <c r="Q15" s="1810" t="str">
        <f t="shared" si="6"/>
        <v>产业集聚程度</v>
      </c>
      <c r="R15" s="774" t="s">
        <v>17</v>
      </c>
      <c r="S15" s="775">
        <f t="shared" si="0"/>
        <v>100</v>
      </c>
      <c r="T15" s="774" t="s">
        <v>17</v>
      </c>
      <c r="U15" s="775">
        <f t="shared" si="1"/>
        <v>100</v>
      </c>
      <c r="V15" s="774" t="s">
        <v>17</v>
      </c>
      <c r="W15" s="775">
        <f t="shared" si="2"/>
        <v>100</v>
      </c>
      <c r="X15" s="1813"/>
      <c r="Y15" s="3230" t="s">
        <v>2557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96.6">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28.8">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1"/>
      <c r="Q19" s="1810" t="str">
        <f t="shared" ref="Q19:Q33" si="8">B19</f>
        <v>区域土地利用方向</v>
      </c>
      <c r="R19" s="774" t="s">
        <v>17</v>
      </c>
      <c r="S19" s="775">
        <f>F19</f>
        <v>100</v>
      </c>
      <c r="T19" s="774" t="s">
        <v>17</v>
      </c>
      <c r="U19" s="775">
        <f>H19</f>
        <v>100</v>
      </c>
      <c r="V19" s="774" t="s">
        <v>17</v>
      </c>
      <c r="W19" s="775">
        <f>J19</f>
        <v>100</v>
      </c>
      <c r="X19" s="1813"/>
      <c r="Y19" s="3231"/>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09"/>
      <c r="L20" s="1140"/>
      <c r="M20" s="1131"/>
      <c r="N20" s="1131"/>
      <c r="O20" s="1139"/>
      <c r="P20" s="3231"/>
      <c r="Q20" s="1810"/>
      <c r="R20" s="774"/>
      <c r="S20" s="775"/>
      <c r="T20" s="774"/>
      <c r="U20" s="775"/>
      <c r="V20" s="774"/>
      <c r="W20" s="775"/>
      <c r="X20" s="1813"/>
      <c r="Y20" s="3231"/>
      <c r="Z20" s="1814"/>
      <c r="AA20" s="1811"/>
      <c r="AB20" s="1811"/>
      <c r="AC20" s="1811"/>
    </row>
    <row r="21" spans="1:29" ht="82.8">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1"/>
      <c r="Q21" s="1810" t="str">
        <f t="shared" si="8"/>
        <v>环境状况</v>
      </c>
      <c r="R21" s="774" t="s">
        <v>17</v>
      </c>
      <c r="S21" s="775">
        <f>F21</f>
        <v>100</v>
      </c>
      <c r="T21" s="774" t="s">
        <v>17</v>
      </c>
      <c r="U21" s="775">
        <f>H21</f>
        <v>100</v>
      </c>
      <c r="V21" s="774" t="s">
        <v>17</v>
      </c>
      <c r="W21" s="775">
        <f>J21</f>
        <v>100</v>
      </c>
      <c r="X21" s="1813"/>
      <c r="Y21" s="3231"/>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s="117" customFormat="1" ht="41.4">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1"/>
      <c r="Q23" s="1795" t="str">
        <f t="shared" si="8"/>
        <v>公共配套设施</v>
      </c>
      <c r="R23" s="770" t="s">
        <v>17</v>
      </c>
      <c r="S23" s="771">
        <f>F23</f>
        <v>100</v>
      </c>
      <c r="T23" s="770" t="s">
        <v>17</v>
      </c>
      <c r="U23" s="771">
        <f>H23</f>
        <v>100</v>
      </c>
      <c r="V23" s="770" t="s">
        <v>17</v>
      </c>
      <c r="W23" s="771">
        <f>J23</f>
        <v>100</v>
      </c>
      <c r="X23" s="772"/>
      <c r="Y23" s="3231"/>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31"/>
      <c r="Q24" s="1795"/>
      <c r="R24" s="770"/>
      <c r="S24" s="771"/>
      <c r="T24" s="770"/>
      <c r="U24" s="771"/>
      <c r="V24" s="770"/>
      <c r="W24" s="771"/>
      <c r="X24" s="772"/>
      <c r="Y24" s="3231"/>
      <c r="Z24" s="55"/>
      <c r="AA24" s="773">
        <v>1</v>
      </c>
      <c r="AB24" s="773">
        <v>1</v>
      </c>
      <c r="AC24" s="773">
        <v>1</v>
      </c>
    </row>
    <row r="25" spans="1:29" s="117" customFormat="1" ht="41.4">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1"/>
      <c r="Q25" s="1795"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31"/>
      <c r="Q26" s="1795"/>
      <c r="R26" s="770"/>
      <c r="S26" s="771"/>
      <c r="T26" s="770"/>
      <c r="U26" s="771"/>
      <c r="V26" s="770"/>
      <c r="W26" s="771"/>
      <c r="X26" s="772"/>
      <c r="Y26" s="3231"/>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1"/>
      <c r="Z27" s="1814" t="str">
        <f t="shared" ref="Z27:Z40" si="13">Q27</f>
        <v>临街状况</v>
      </c>
      <c r="AA27" s="1811">
        <f t="shared" si="3"/>
        <v>1</v>
      </c>
      <c r="AB27" s="1811">
        <f t="shared" si="4"/>
        <v>1</v>
      </c>
      <c r="AC27" s="1811">
        <f t="shared" si="5"/>
        <v>1</v>
      </c>
    </row>
    <row r="28" spans="1:29" ht="28.8">
      <c r="A28" s="428"/>
      <c r="B28" s="633" t="s">
        <v>2688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1"/>
      <c r="Q28" s="1810" t="str">
        <f t="shared" si="8"/>
        <v>毗邻道路的类型与等级</v>
      </c>
      <c r="R28" s="774" t="s">
        <v>17</v>
      </c>
      <c r="S28" s="775">
        <f t="shared" si="10"/>
        <v>100</v>
      </c>
      <c r="T28" s="774" t="s">
        <v>17</v>
      </c>
      <c r="U28" s="775">
        <f t="shared" si="11"/>
        <v>100</v>
      </c>
      <c r="V28" s="774" t="s">
        <v>17</v>
      </c>
      <c r="W28" s="775">
        <f t="shared" si="12"/>
        <v>100</v>
      </c>
      <c r="X28" s="1813"/>
      <c r="Y28" s="3231"/>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31"/>
      <c r="Q29" s="1810"/>
      <c r="R29" s="774"/>
      <c r="S29" s="775"/>
      <c r="T29" s="774"/>
      <c r="U29" s="775"/>
      <c r="V29" s="774"/>
      <c r="W29" s="775"/>
      <c r="X29" s="1813"/>
      <c r="Y29" s="3231"/>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1"/>
      <c r="Q30" s="1810" t="str">
        <f t="shared" si="8"/>
        <v>土地级别</v>
      </c>
      <c r="R30" s="774" t="s">
        <v>17</v>
      </c>
      <c r="S30" s="775">
        <f t="shared" si="10"/>
        <v>100</v>
      </c>
      <c r="T30" s="774" t="s">
        <v>17</v>
      </c>
      <c r="U30" s="775">
        <f t="shared" si="11"/>
        <v>100</v>
      </c>
      <c r="V30" s="774" t="s">
        <v>17</v>
      </c>
      <c r="W30" s="775">
        <f t="shared" si="12"/>
        <v>100</v>
      </c>
      <c r="X30" s="1813"/>
      <c r="Y30" s="3231"/>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10">
        <f t="shared" si="8"/>
        <v>111</v>
      </c>
      <c r="R31" s="774" t="s">
        <v>17</v>
      </c>
      <c r="S31" s="775">
        <f t="shared" si="10"/>
        <v>100</v>
      </c>
      <c r="T31" s="774" t="s">
        <v>17</v>
      </c>
      <c r="U31" s="775">
        <f t="shared" si="11"/>
        <v>100</v>
      </c>
      <c r="V31" s="774" t="s">
        <v>17</v>
      </c>
      <c r="W31" s="775">
        <f t="shared" si="12"/>
        <v>100</v>
      </c>
      <c r="X31" s="1813"/>
      <c r="Y31" s="3231"/>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2562</v>
      </c>
      <c r="Q32" s="1810">
        <f t="shared" si="8"/>
        <v>111</v>
      </c>
      <c r="R32" s="774" t="s">
        <v>17</v>
      </c>
      <c r="S32" s="775">
        <f t="shared" si="10"/>
        <v>100</v>
      </c>
      <c r="T32" s="774" t="s">
        <v>17</v>
      </c>
      <c r="U32" s="775">
        <f t="shared" si="11"/>
        <v>100</v>
      </c>
      <c r="V32" s="774" t="s">
        <v>17</v>
      </c>
      <c r="W32" s="775">
        <f t="shared" si="12"/>
        <v>100</v>
      </c>
      <c r="X32" s="1813"/>
      <c r="Y32" s="3235" t="s">
        <v>2562</v>
      </c>
      <c r="Z32" s="1814">
        <f t="shared" si="13"/>
        <v>111</v>
      </c>
      <c r="AA32" s="1811">
        <f t="shared" si="3"/>
        <v>1</v>
      </c>
      <c r="AB32" s="1811">
        <f t="shared" si="4"/>
        <v>1</v>
      </c>
      <c r="AC32" s="1811">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5"/>
      <c r="Q33" s="1810">
        <f t="shared" si="8"/>
        <v>111</v>
      </c>
      <c r="R33" s="777" t="s">
        <v>17</v>
      </c>
      <c r="S33" s="778">
        <f t="shared" si="10"/>
        <v>100</v>
      </c>
      <c r="T33" s="777" t="s">
        <v>17</v>
      </c>
      <c r="U33" s="778">
        <f t="shared" si="11"/>
        <v>100</v>
      </c>
      <c r="V33" s="777" t="s">
        <v>17</v>
      </c>
      <c r="W33" s="778">
        <f t="shared" si="12"/>
        <v>100</v>
      </c>
      <c r="X33" s="779"/>
      <c r="Y33" s="3235"/>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5"/>
      <c r="Q34" s="1810" t="str">
        <f>B34</f>
        <v>宗地面积</v>
      </c>
      <c r="R34" s="774" t="s">
        <v>17</v>
      </c>
      <c r="S34" s="775" t="e">
        <f t="shared" si="10"/>
        <v>#N/A</v>
      </c>
      <c r="T34" s="774" t="s">
        <v>17</v>
      </c>
      <c r="U34" s="775" t="e">
        <f t="shared" si="11"/>
        <v>#N/A</v>
      </c>
      <c r="V34" s="774" t="s">
        <v>17</v>
      </c>
      <c r="W34" s="775" t="e">
        <f t="shared" si="12"/>
        <v>#N/A</v>
      </c>
      <c r="X34" s="1813"/>
      <c r="Y34" s="3235"/>
      <c r="Z34" s="1814" t="str">
        <f t="shared" si="13"/>
        <v>宗地面积</v>
      </c>
      <c r="AA34" s="1811" t="e">
        <f t="shared" si="3"/>
        <v>#N/A</v>
      </c>
      <c r="AB34" s="1811" t="e">
        <f t="shared" si="4"/>
        <v>#N/A</v>
      </c>
      <c r="AC34" s="1811"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35"/>
      <c r="Q35" s="1810" t="str">
        <f t="shared" ref="Q35:Q40" si="14">B35</f>
        <v>宗地形状</v>
      </c>
      <c r="R35" s="774" t="s">
        <v>17</v>
      </c>
      <c r="S35" s="775">
        <f t="shared" si="10"/>
        <v>100</v>
      </c>
      <c r="T35" s="774" t="s">
        <v>17</v>
      </c>
      <c r="U35" s="775">
        <f t="shared" si="11"/>
        <v>100</v>
      </c>
      <c r="V35" s="774" t="s">
        <v>17</v>
      </c>
      <c r="W35" s="775">
        <f t="shared" si="12"/>
        <v>100</v>
      </c>
      <c r="X35" s="1813"/>
      <c r="Y35" s="3235"/>
      <c r="Z35" s="1814" t="str">
        <f t="shared" si="13"/>
        <v>宗地形状</v>
      </c>
      <c r="AA35" s="1811">
        <f t="shared" si="3"/>
        <v>1</v>
      </c>
      <c r="AB35" s="1811">
        <f t="shared" si="4"/>
        <v>1</v>
      </c>
      <c r="AC35" s="1811">
        <f t="shared" si="5"/>
        <v>1</v>
      </c>
    </row>
    <row r="36" spans="1:29" s="117" customFormat="1" ht="15">
      <c r="A36" s="473"/>
      <c r="B36" s="422" t="s">
        <v>2751</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35"/>
      <c r="Q36" s="1810" t="str">
        <f t="shared" si="14"/>
        <v>宗地开发程度</v>
      </c>
      <c r="R36" s="770" t="s">
        <v>17</v>
      </c>
      <c r="S36" s="771">
        <f t="shared" si="10"/>
        <v>100</v>
      </c>
      <c r="T36" s="770" t="s">
        <v>17</v>
      </c>
      <c r="U36" s="771">
        <f t="shared" si="11"/>
        <v>100</v>
      </c>
      <c r="V36" s="770" t="s">
        <v>17</v>
      </c>
      <c r="W36" s="771">
        <f t="shared" si="12"/>
        <v>100</v>
      </c>
      <c r="X36" s="772"/>
      <c r="Y36" s="3235"/>
      <c r="Z36" s="55" t="str">
        <f t="shared" si="13"/>
        <v>宗地开发程度</v>
      </c>
      <c r="AA36" s="773">
        <f t="shared" si="3"/>
        <v>1</v>
      </c>
      <c r="AB36" s="773">
        <f t="shared" si="4"/>
        <v>1</v>
      </c>
      <c r="AC36" s="773">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35" t="s">
        <v>2562</v>
      </c>
      <c r="Q37" s="1810" t="str">
        <f t="shared" si="14"/>
        <v>工程地质条件</v>
      </c>
      <c r="R37" s="774" t="s">
        <v>17</v>
      </c>
      <c r="S37" s="775">
        <f t="shared" si="10"/>
        <v>100</v>
      </c>
      <c r="T37" s="774" t="s">
        <v>17</v>
      </c>
      <c r="U37" s="775">
        <f t="shared" si="11"/>
        <v>100</v>
      </c>
      <c r="V37" s="774" t="s">
        <v>17</v>
      </c>
      <c r="W37" s="775">
        <f t="shared" si="12"/>
        <v>100</v>
      </c>
      <c r="X37" s="1813"/>
      <c r="Y37" s="3235"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5"/>
      <c r="Q38" s="1810">
        <f t="shared" si="14"/>
        <v>111</v>
      </c>
      <c r="R38" s="774" t="s">
        <v>17</v>
      </c>
      <c r="S38" s="775">
        <f t="shared" si="10"/>
        <v>100</v>
      </c>
      <c r="T38" s="774" t="s">
        <v>17</v>
      </c>
      <c r="U38" s="775">
        <f t="shared" si="11"/>
        <v>100</v>
      </c>
      <c r="V38" s="774" t="s">
        <v>17</v>
      </c>
      <c r="W38" s="775">
        <f t="shared" si="12"/>
        <v>100</v>
      </c>
      <c r="X38" s="1813"/>
      <c r="Y38" s="323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5"/>
      <c r="Q39" s="1810">
        <f t="shared" si="14"/>
        <v>111</v>
      </c>
      <c r="R39" s="774" t="s">
        <v>17</v>
      </c>
      <c r="S39" s="775">
        <f t="shared" si="10"/>
        <v>100</v>
      </c>
      <c r="T39" s="774" t="s">
        <v>17</v>
      </c>
      <c r="U39" s="775">
        <f t="shared" si="11"/>
        <v>100</v>
      </c>
      <c r="V39" s="774" t="s">
        <v>17</v>
      </c>
      <c r="W39" s="775">
        <f t="shared" si="12"/>
        <v>100</v>
      </c>
      <c r="X39" s="1813"/>
      <c r="Y39" s="3235"/>
      <c r="Z39" s="1814">
        <f t="shared" si="13"/>
        <v>111</v>
      </c>
      <c r="AA39" s="1811">
        <f t="shared" si="3"/>
        <v>1</v>
      </c>
      <c r="AB39" s="1811">
        <f t="shared" si="4"/>
        <v>1</v>
      </c>
      <c r="AC39" s="1811">
        <f t="shared" si="5"/>
        <v>1</v>
      </c>
    </row>
    <row r="40" spans="1:29" s="471" customFormat="1" ht="15.6"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5"/>
      <c r="Q40" s="1810">
        <f t="shared" si="14"/>
        <v>111</v>
      </c>
      <c r="R40" s="777" t="s">
        <v>17</v>
      </c>
      <c r="S40" s="778">
        <f t="shared" si="10"/>
        <v>100</v>
      </c>
      <c r="T40" s="777" t="s">
        <v>17</v>
      </c>
      <c r="U40" s="778">
        <f t="shared" si="11"/>
        <v>100</v>
      </c>
      <c r="V40" s="777" t="s">
        <v>17</v>
      </c>
      <c r="W40" s="778">
        <f t="shared" si="12"/>
        <v>100</v>
      </c>
      <c r="X40" s="779"/>
      <c r="Y40" s="3235"/>
      <c r="Z40" s="780">
        <f t="shared" si="13"/>
        <v>111</v>
      </c>
      <c r="AA40" s="1811">
        <f t="shared" si="3"/>
        <v>1</v>
      </c>
      <c r="AB40" s="1811">
        <f t="shared" si="4"/>
        <v>1</v>
      </c>
      <c r="AC40" s="1811">
        <f t="shared" si="5"/>
        <v>1</v>
      </c>
    </row>
    <row r="41" spans="1:29" ht="14.4">
      <c r="A41" s="479" t="s">
        <v>2717</v>
      </c>
      <c r="B41" s="2699" t="s">
        <v>2797</v>
      </c>
      <c r="C41" s="682" t="s">
        <v>1</v>
      </c>
      <c r="D41" s="481"/>
      <c r="E41" s="482"/>
      <c r="F41" s="483"/>
      <c r="G41" s="484"/>
      <c r="H41" s="485"/>
      <c r="I41" s="482"/>
      <c r="J41" s="485"/>
      <c r="K41" s="783"/>
      <c r="L41" s="1143"/>
      <c r="M41" s="1131"/>
      <c r="N41" s="1131"/>
      <c r="O41" s="1144"/>
      <c r="P41" s="3237" t="str">
        <f>A41</f>
        <v>成交单价</v>
      </c>
      <c r="Q41" s="3237"/>
      <c r="R41" s="3223">
        <f>E41</f>
        <v>0</v>
      </c>
      <c r="S41" s="3223"/>
      <c r="T41" s="3223">
        <f>G41</f>
        <v>0</v>
      </c>
      <c r="U41" s="3223"/>
      <c r="V41" s="3223">
        <f>I41</f>
        <v>0</v>
      </c>
      <c r="W41" s="3223"/>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239" t="str">
        <f>A43</f>
        <v>估价对象XX用房的比较价值（楼面单价，元/平方米）</v>
      </c>
      <c r="Q43" s="3240"/>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0" t="s">
        <v>2757</v>
      </c>
      <c r="D50" s="2701" t="s">
        <v>2758</v>
      </c>
      <c r="E50" s="686" t="s">
        <v>2759</v>
      </c>
      <c r="F50" s="687" t="s">
        <v>2760</v>
      </c>
      <c r="G50" s="3201" t="s">
        <v>2761</v>
      </c>
      <c r="H50" s="3266"/>
      <c r="I50" s="1814" t="s">
        <v>2798</v>
      </c>
      <c r="J50" s="1814" t="str">
        <f>项目基本情况!F35</f>
        <v>浙江省</v>
      </c>
      <c r="K50" s="2703" t="s">
        <v>2763</v>
      </c>
      <c r="L50" s="1106"/>
      <c r="M50" s="1144"/>
      <c r="N50" s="1144"/>
      <c r="O50" s="1144"/>
    </row>
    <row r="51" spans="1:17" s="692" customFormat="1">
      <c r="A51" s="688" t="s">
        <v>2764</v>
      </c>
      <c r="B51" s="689" t="e">
        <f>C43</f>
        <v>#DIV/0!</v>
      </c>
      <c r="C51" s="690">
        <v>1</v>
      </c>
      <c r="D51" s="1163">
        <v>1</v>
      </c>
      <c r="E51" s="690">
        <f>'数据-汇总表'!E8+'数据-汇总表'!E9</f>
        <v>74566.910000000091</v>
      </c>
      <c r="F51" s="691" t="e">
        <f t="shared" ref="F51:F60" si="15">ROUND(B51*E51/10000,0)</f>
        <v>#DIV/0!</v>
      </c>
      <c r="G51" s="3227"/>
      <c r="H51" s="3237"/>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67"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4"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4126.1399999999994</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0.2</v>
      </c>
      <c r="D58" s="1164">
        <v>0.25</v>
      </c>
      <c r="E58" s="261">
        <f>'数据-汇总表'!E13</f>
        <v>8027.2500000000664</v>
      </c>
      <c r="F58" s="691" t="e">
        <f t="shared" si="15"/>
        <v>#DIV/0!</v>
      </c>
      <c r="G58" s="1109" t="s">
        <v>2775</v>
      </c>
      <c r="H58" s="1104" t="str">
        <f>IF(G58="商业",项目基本情况!B37,IF(G58="办公",项目基本情况!C37,IF(G58="住宅",项目基本情况!D37,项目基本情况!E37)))</f>
        <v>三级</v>
      </c>
      <c r="I58" s="942">
        <f>SUMIF(修正!A45:A56,H58,修正!H45:H56)</f>
        <v>0.2</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4" t="s">
        <v>2766</v>
      </c>
      <c r="H59" s="1104">
        <f>项目基本情况!B37</f>
        <v>0</v>
      </c>
      <c r="I59" s="942">
        <f>SUMIF(修正!A45:A56,H59,修正!H45:H56)</f>
        <v>0</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05"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1029</v>
      </c>
      <c r="E61" s="696">
        <f>IF(B41="楼面地价",SUM(E51:E60),'数据-汇总表'!D3)</f>
        <v>41386.629999999997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06" t="s">
        <v>2779</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11" t="s">
        <v>2799</v>
      </c>
      <c r="B66" s="332" t="str">
        <f>"北京市平均增长率"&amp;TEXT(基准地价修正!P24,"0.00%")</f>
        <v>北京市平均增长率1.41%</v>
      </c>
      <c r="C66" s="603">
        <v>100</v>
      </c>
      <c r="D66" s="595"/>
      <c r="E66" s="595"/>
      <c r="F66" s="595"/>
      <c r="G66" s="595"/>
      <c r="H66" s="595"/>
      <c r="I66" s="595"/>
      <c r="J66" s="595"/>
      <c r="K66" s="595"/>
      <c r="L66" s="595"/>
      <c r="M66" s="1567"/>
      <c r="N66" s="1567"/>
      <c r="O66" s="1569"/>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U43" sqref="U4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72" customWidth="1"/>
    <col min="33" max="36" width="9.33203125" style="2791" customWidth="1"/>
    <col min="37" max="38" width="9.33203125" style="2715" customWidth="1"/>
    <col min="39" max="16384" width="12" style="2715"/>
  </cols>
  <sheetData>
    <row r="1" spans="1:36" ht="31.2">
      <c r="A1" s="240" t="s">
        <v>2801</v>
      </c>
      <c r="B1" s="241"/>
      <c r="C1" s="245" t="s">
        <v>2802</v>
      </c>
      <c r="D1" s="388">
        <f>SUM(D29:D30,D33:D39)</f>
        <v>0</v>
      </c>
      <c r="E1" s="2712"/>
      <c r="F1" s="2712"/>
      <c r="G1" s="2712"/>
      <c r="H1" s="2712"/>
      <c r="I1" s="2712"/>
      <c r="J1" s="2712"/>
      <c r="K1" s="1370"/>
      <c r="L1" s="2713" t="s">
        <v>2803</v>
      </c>
      <c r="M1" s="1080">
        <f>SUMPRODUCT((区片价!B5:B9=I2)*(区片价!C3:F3=E2)*(区片价!C5:F9))</f>
        <v>0</v>
      </c>
      <c r="N1" s="1083">
        <f>SUMPRODUCT((因素修正幅度!B5:B9=I2)*(因素修正幅度!C3:F3=E2)*(因素修正幅度!C5:F9))</f>
        <v>0</v>
      </c>
      <c r="O1" s="2714"/>
      <c r="P1" s="2714"/>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6">
      <c r="A2" s="245" t="s">
        <v>2809</v>
      </c>
      <c r="B2" s="248" t="e">
        <f>C26</f>
        <v>#DIV/0!</v>
      </c>
      <c r="C2" s="2716" t="s">
        <v>2810</v>
      </c>
      <c r="D2" s="2717" t="s">
        <v>2811</v>
      </c>
      <c r="E2" s="2718"/>
      <c r="F2" s="2717" t="s">
        <v>2812</v>
      </c>
      <c r="G2" s="2719">
        <f>IF(E2="商业",项目基本情况!B37,IF(E2="办公",项目基本情况!C37,IF(E2="住宅",项目基本情况!D37,项目基本情况!E37)))</f>
        <v>0</v>
      </c>
      <c r="H2" s="2717" t="s">
        <v>2813</v>
      </c>
      <c r="I2" s="2719">
        <f>IF(E2="商业",项目基本情况!B38,IF(E2="办公",项目基本情况!C38,IF(E2="住宅",项目基本情况!D38,项目基本情况!E38)))</f>
        <v>0</v>
      </c>
      <c r="J2" s="2720"/>
      <c r="K2" s="1370"/>
      <c r="L2" s="2721"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2815</v>
      </c>
      <c r="B3" s="248" t="e">
        <f>ROUND(B2*10000/D1,0)</f>
        <v>#DIV/0!</v>
      </c>
      <c r="C3" s="2716" t="s">
        <v>2816</v>
      </c>
      <c r="D3" s="2717" t="s">
        <v>2817</v>
      </c>
      <c r="E3" s="2722"/>
      <c r="F3" s="2723" t="s">
        <v>2818</v>
      </c>
      <c r="G3" s="913" t="e">
        <f>IF(F3="宗地容积率",'数据-汇总表'!I4,IF(F3="估价对象容积率",'数据-汇总表'!I6,'数据-汇总表'!I7))</f>
        <v>#DIV/0!</v>
      </c>
      <c r="H3" s="198" t="s">
        <v>2819</v>
      </c>
      <c r="I3" s="944"/>
      <c r="J3" s="2720" t="s">
        <v>2820</v>
      </c>
      <c r="K3" s="1370"/>
      <c r="L3" s="2721" t="s">
        <v>2821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86"/>
      <c r="B4" s="3287"/>
      <c r="C4" s="3287"/>
      <c r="D4" s="3288"/>
      <c r="E4" s="3288"/>
      <c r="F4" s="3288"/>
      <c r="G4" s="3288"/>
      <c r="H4" s="3288"/>
      <c r="I4" s="3288"/>
      <c r="J4" s="3289"/>
      <c r="K4" s="1370"/>
      <c r="L4" s="2721" t="s">
        <v>2822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6" thickBot="1">
      <c r="A5" s="2724" t="s">
        <v>807</v>
      </c>
      <c r="B5" s="2725" t="s">
        <v>2823</v>
      </c>
      <c r="C5" s="914" t="e">
        <f>ROUND(IF(E2="商业",IF(F16="增加",C6*C7+C16,C6*C7-C16),IF(E2="住宅",IF(F16="增加",C6*C12+C16,C6*C12-C16),IF(F16="增加",C6+C16,C6-C16))),0)</f>
        <v>#DIV/0!</v>
      </c>
      <c r="D5" s="1787">
        <f>ROUND(IF(E2="商业",IF(F16="增加",C6+C16,C6-C16)),0)</f>
        <v>0</v>
      </c>
      <c r="E5" s="2726"/>
      <c r="F5" s="2726"/>
      <c r="G5" s="2727"/>
      <c r="H5" s="2727"/>
      <c r="I5" s="2727"/>
      <c r="J5" s="2728"/>
      <c r="K5" s="2729"/>
      <c r="L5" s="2721" t="s">
        <v>2824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6" thickBot="1">
      <c r="A6" s="2734" t="s">
        <v>2825</v>
      </c>
      <c r="B6" s="2735" t="s">
        <v>2826</v>
      </c>
      <c r="C6" s="915">
        <f>SUMIF(L1:L12,G2,M1:M12)</f>
        <v>0</v>
      </c>
      <c r="D6" s="2736" t="s">
        <v>2827</v>
      </c>
      <c r="E6" s="2737"/>
      <c r="F6" s="2737"/>
      <c r="G6" s="2738"/>
      <c r="H6" s="2738"/>
      <c r="I6" s="2738"/>
      <c r="J6" s="2739"/>
      <c r="K6" s="1842"/>
      <c r="L6" s="2721" t="s">
        <v>2828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272" t="str">
        <f>IF(E2="商业",IF(C8="不临58条商业街","",2),"")</f>
        <v/>
      </c>
      <c r="B7" s="2740" t="s">
        <v>2829</v>
      </c>
      <c r="C7" s="916" t="e">
        <f>IF(C8="不临58条商业街",1,ROUND(1+(1.6*E8+1.2*E9+0.8*E10+0.4*E11)*C9,4))</f>
        <v>#DIV/0!</v>
      </c>
      <c r="D7" s="2741" t="s">
        <v>2830</v>
      </c>
      <c r="E7" s="945"/>
      <c r="F7" s="2742"/>
      <c r="G7" s="2743"/>
      <c r="H7" s="2743"/>
      <c r="I7" s="2743"/>
      <c r="J7" s="2744"/>
      <c r="K7" s="1842"/>
      <c r="L7" s="2721" t="s">
        <v>2831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2832</v>
      </c>
      <c r="X7" s="1604">
        <f>G2</f>
        <v>0</v>
      </c>
      <c r="Y7" s="1604" t="s">
        <v>2833</v>
      </c>
      <c r="Z7" s="1605" t="e">
        <f>G3</f>
        <v>#DIV/0!</v>
      </c>
      <c r="AA7" s="1606"/>
      <c r="AB7" s="1606"/>
      <c r="AC7" s="1607"/>
      <c r="AD7" s="1608"/>
      <c r="AE7" s="1608"/>
      <c r="AF7" s="1608"/>
      <c r="AG7" s="1608"/>
      <c r="AH7" s="1608"/>
      <c r="AI7" s="1608"/>
      <c r="AJ7" s="1609"/>
    </row>
    <row r="8" spans="1:36" ht="15">
      <c r="A8" s="3273"/>
      <c r="B8" s="198" t="s">
        <v>2834</v>
      </c>
      <c r="C8" s="2745"/>
      <c r="D8" s="917" t="s">
        <v>139</v>
      </c>
      <c r="E8" s="918" t="e">
        <f>ROUND(C11/E7,4)</f>
        <v>#DIV/0!</v>
      </c>
      <c r="F8" s="2746" t="s">
        <v>2835</v>
      </c>
      <c r="G8" s="2747"/>
      <c r="H8" s="2747"/>
      <c r="I8" s="2747"/>
      <c r="J8" s="2748"/>
      <c r="K8" s="1370"/>
      <c r="L8" s="2721"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3" t="s">
        <v>2837</v>
      </c>
      <c r="X8" s="328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3"/>
      <c r="B9" s="198" t="s">
        <v>2850</v>
      </c>
      <c r="C9" s="919">
        <f>SUMIF(修正!C59:C119,C8,修正!E59:E119)</f>
        <v>0</v>
      </c>
      <c r="D9" s="200" t="s">
        <v>140</v>
      </c>
      <c r="E9" s="200" t="e">
        <f>ROUND(C11/E7,4)</f>
        <v>#DIV/0!</v>
      </c>
      <c r="F9" s="2746" t="s">
        <v>2851</v>
      </c>
      <c r="G9" s="2747"/>
      <c r="H9" s="2747"/>
      <c r="I9" s="2747"/>
      <c r="J9" s="2748"/>
      <c r="K9" s="1370"/>
      <c r="L9" s="2721"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2855</v>
      </c>
      <c r="C10" s="200">
        <f>SUMIF(修正!C59:C119,C8,修正!F59:F119)</f>
        <v>0</v>
      </c>
      <c r="D10" s="200" t="s">
        <v>141</v>
      </c>
      <c r="E10" s="200" t="e">
        <f>ROUND(C11/E7,4)</f>
        <v>#DIV/0!</v>
      </c>
      <c r="F10" s="2746" t="s">
        <v>2856</v>
      </c>
      <c r="G10" s="2747"/>
      <c r="H10" s="2747"/>
      <c r="I10" s="2747"/>
      <c r="J10" s="2748"/>
      <c r="K10" s="1370"/>
      <c r="L10" s="2721"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73"/>
      <c r="B11" s="2749" t="s">
        <v>2858</v>
      </c>
      <c r="C11" s="920">
        <f>C10/4</f>
        <v>0</v>
      </c>
      <c r="D11" s="920" t="s">
        <v>142</v>
      </c>
      <c r="E11" s="920" t="e">
        <f>ROUND(C11/E7,4)</f>
        <v>#DIV/0!</v>
      </c>
      <c r="F11" s="2750" t="s">
        <v>2859</v>
      </c>
      <c r="G11" s="2751"/>
      <c r="H11" s="2751"/>
      <c r="I11" s="2751"/>
      <c r="J11" s="2752"/>
      <c r="K11" s="1370"/>
      <c r="L11" s="2721"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5" t="s">
        <v>2861</v>
      </c>
      <c r="X11" s="1614" t="s">
        <v>2862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8" thickBot="1">
      <c r="A12" s="3272" t="s">
        <v>2863</v>
      </c>
      <c r="B12" s="2753" t="s">
        <v>2864</v>
      </c>
      <c r="C12" s="916">
        <f>ROUND(C15*D15*E15*F15*G15*H15*I15*J15,4)</f>
        <v>1</v>
      </c>
      <c r="D12" s="2754" t="s">
        <v>2865</v>
      </c>
      <c r="E12" s="2755"/>
      <c r="F12" s="2755"/>
      <c r="G12" s="2756"/>
      <c r="H12" s="2756"/>
      <c r="I12" s="2756"/>
      <c r="J12" s="2757"/>
      <c r="K12" s="1370"/>
      <c r="L12" s="2758"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0"/>
      <c r="B13" s="2759" t="s">
        <v>2868</v>
      </c>
      <c r="C13" s="2760" t="s">
        <v>2869</v>
      </c>
      <c r="D13" s="1808" t="s">
        <v>2870</v>
      </c>
      <c r="E13" s="1808" t="s">
        <v>2871</v>
      </c>
      <c r="F13" s="30" t="s">
        <v>2872</v>
      </c>
      <c r="G13" s="2761" t="s">
        <v>2873</v>
      </c>
      <c r="H13" s="2761" t="s">
        <v>2873</v>
      </c>
      <c r="I13" s="2761" t="s">
        <v>2873</v>
      </c>
      <c r="J13" s="2762" t="s">
        <v>2873</v>
      </c>
      <c r="K13" s="1370"/>
      <c r="L13" s="1370"/>
      <c r="M13" s="1370"/>
      <c r="N13" s="1370"/>
      <c r="O13" s="1370"/>
      <c r="P13" s="1370"/>
      <c r="Q13" s="1370"/>
      <c r="R13" s="1602">
        <v>12</v>
      </c>
      <c r="S13" s="1603"/>
      <c r="T13" s="1602" t="e">
        <f t="shared" si="0"/>
        <v>#DIV/0!</v>
      </c>
      <c r="U13" s="1603"/>
      <c r="V13" s="1602" t="e">
        <f t="shared" si="1"/>
        <v>#DIV/0!</v>
      </c>
      <c r="W13" s="3285"/>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90"/>
      <c r="B14" s="2763"/>
      <c r="C14" s="2764"/>
      <c r="D14" s="2765"/>
      <c r="E14" s="2765"/>
      <c r="F14" s="2766"/>
      <c r="G14" s="2767" t="s">
        <v>2874</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91"/>
      <c r="B15" s="2771" t="s">
        <v>2875</v>
      </c>
      <c r="C15" s="229">
        <f>IF(C14="有",1.1,1)</f>
        <v>1</v>
      </c>
      <c r="D15" s="229">
        <f>IF(D14="有",1.1,1)</f>
        <v>1</v>
      </c>
      <c r="E15" s="229">
        <f>IF(E14="有",1.1,1)</f>
        <v>1</v>
      </c>
      <c r="F15" s="229">
        <f>IF(F14="500米范围内",1.2,IF(F14="500-1000米",1.1,1))</f>
        <v>1</v>
      </c>
      <c r="G15" s="946">
        <v>1</v>
      </c>
      <c r="H15" s="946">
        <v>1</v>
      </c>
      <c r="I15" s="946">
        <v>1</v>
      </c>
      <c r="J15" s="947">
        <v>1</v>
      </c>
      <c r="K15" s="1370"/>
      <c r="L15" s="2772" t="s">
        <v>2811</v>
      </c>
      <c r="M15" s="917" t="s">
        <v>2876</v>
      </c>
      <c r="N15" s="917" t="s">
        <v>2877</v>
      </c>
      <c r="O15" s="917" t="s">
        <v>2878</v>
      </c>
      <c r="P15" s="2773" t="s">
        <v>2879</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72" t="s">
        <v>2880</v>
      </c>
      <c r="B16" s="2740" t="s">
        <v>2881</v>
      </c>
      <c r="C16" s="1801" t="e">
        <f>ROUND(SUM(G17:J17)/C17,0)</f>
        <v>#DIV/0!</v>
      </c>
      <c r="D16" s="2774" t="s">
        <v>2882</v>
      </c>
      <c r="E16" s="2775"/>
      <c r="F16" s="2776"/>
      <c r="G16" s="2777"/>
      <c r="H16" s="2777"/>
      <c r="I16" s="2777"/>
      <c r="J16" s="2778"/>
      <c r="K16" s="1370"/>
      <c r="L16" s="2779" t="s">
        <v>2883</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24.6" thickBot="1">
      <c r="A17" s="3273"/>
      <c r="B17" s="2780" t="s">
        <v>2884</v>
      </c>
      <c r="C17" s="921">
        <f>SUMPRODUCT((修正!A2:A5=E2)*(修正!B1:M1=G2)*(修正!B2:M5))</f>
        <v>0</v>
      </c>
      <c r="D17" s="2781"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2" t="s">
        <v>2887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 thickBot="1">
      <c r="A18" s="2784" t="s">
        <v>808</v>
      </c>
      <c r="B18" s="2785" t="s">
        <v>2888</v>
      </c>
      <c r="C18" s="923">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4" thickBot="1">
      <c r="A19" s="2784" t="s">
        <v>809</v>
      </c>
      <c r="B19" s="2785" t="s">
        <v>2889</v>
      </c>
      <c r="C19" s="924" t="e">
        <f>ROUND(IF(H19="按公示增长率计算",SUMPRODUCT((地价!A3:A23=YEAR(G19)&amp;"-"&amp;ROUNDUP(MONTH(G19)/3,0))*(地价!X2:AB2=E2)*(地价!X3:AB23)),IF(H19="地价指数",M20/M19,(1+I19)^O19)),4)</f>
        <v>#DIV/0!</v>
      </c>
      <c r="D19" s="2792" t="s">
        <v>2890</v>
      </c>
      <c r="E19" s="925">
        <v>41640</v>
      </c>
      <c r="F19" s="2792" t="s">
        <v>2891</v>
      </c>
      <c r="G19" s="926">
        <f>'数据-取费表'!B2</f>
        <v>43356</v>
      </c>
      <c r="H19" s="2793" t="s">
        <v>2892</v>
      </c>
      <c r="I19" s="927" t="str">
        <f>IF(H19="季度增幅（自定义）",SUMIF(N21:N24,E2,O21:O24),"")</f>
        <v/>
      </c>
      <c r="J19" s="2790"/>
      <c r="K19" s="1377"/>
      <c r="L19" s="2794" t="s">
        <v>2893</v>
      </c>
      <c r="M19" s="1734">
        <f>ROUND(SUMIF(地价!B2:F2,E2,地价!B23:F23),0)</f>
        <v>0</v>
      </c>
      <c r="N19" s="2795" t="s">
        <v>2894</v>
      </c>
      <c r="O19" s="928">
        <f>ROUNDDOWN(DATEDIF(E19,G19,"M")/3,0)</f>
        <v>18</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9.4" thickBot="1">
      <c r="A20" s="2799" t="s">
        <v>810</v>
      </c>
      <c r="B20" s="2800" t="s">
        <v>2895</v>
      </c>
      <c r="C20" s="929" t="e">
        <f>ROUND(POWER(1+G20,J20-I20)*(POWER(1+G20,I20)-1)/(POWER(1+G20,J20)-1),4)</f>
        <v>#DIV/0!</v>
      </c>
      <c r="D20" s="2801" t="s">
        <v>2896</v>
      </c>
      <c r="E20" s="1768">
        <f ca="1">存贷款利率!D4/100</f>
        <v>4.3499999999999997E-2</v>
      </c>
      <c r="F20" s="2801" t="s">
        <v>2887</v>
      </c>
      <c r="G20" s="934">
        <f>SUMIF(M15:P15,E2,M17:P17)</f>
        <v>0</v>
      </c>
      <c r="H20" s="2801" t="s">
        <v>2897</v>
      </c>
      <c r="I20" s="935" t="e">
        <f>SUMIF('数据-取费表'!C6:C15,E2,'数据-取费表'!F6:F15)/COUNTIF('数据-取费表'!C6:C15,E2)</f>
        <v>#DIV/0!</v>
      </c>
      <c r="J20" s="936">
        <f>IF(E2="住宅",70,IF(E2="商业",40,50))</f>
        <v>50</v>
      </c>
      <c r="K20" s="1377"/>
      <c r="L20" s="2802" t="s">
        <v>2898</v>
      </c>
      <c r="M20" s="1735">
        <f>ROUND(SUMPRODUCT((地价!A4:A23=YEAR(G19)&amp;"-"&amp;ROUNDUP(MONTH(G19)/3,0))*(地价!B2:F2=E2)*(地价!B4:F23)),0)</f>
        <v>0</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33" customFormat="1" ht="14.4">
      <c r="A21" s="2806" t="s">
        <v>811</v>
      </c>
      <c r="B21" s="2807" t="s">
        <v>2902</v>
      </c>
      <c r="C21" s="937" t="e">
        <f>IF(B21="容积率修正",IF(G3&lt;=10,D22,J22),C23)</f>
        <v>#DIV/0!</v>
      </c>
      <c r="D21" s="2808"/>
      <c r="E21" s="2808"/>
      <c r="F21" s="2808"/>
      <c r="G21" s="2808"/>
      <c r="H21" s="2808"/>
      <c r="I21" s="2808"/>
      <c r="J21" s="2809"/>
      <c r="K21" s="1377"/>
      <c r="N21" s="2810" t="s">
        <v>2903</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3" customFormat="1" ht="14.4">
      <c r="A22" s="2659" t="s">
        <v>2904</v>
      </c>
      <c r="B22" s="2811" t="s">
        <v>2905</v>
      </c>
      <c r="C22" s="1810" t="s">
        <v>2906</v>
      </c>
      <c r="D22" s="1810" t="e">
        <f>IF(E22=G22,F22,IF(G3&lt;=10,ROUND(F22+(H22-F22)*(G3-E22)/(G22-E22),4),"——"))</f>
        <v>#DIV/0!</v>
      </c>
      <c r="E22" s="913"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2907</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9.4" thickBot="1">
      <c r="A23" s="2659" t="s">
        <v>2908</v>
      </c>
      <c r="B23" s="2812" t="s">
        <v>2909</v>
      </c>
      <c r="C23" s="1013" t="e">
        <f>ROUND(IF(G3&gt;1,IF(I3&lt;7,SUMPRODUCT((B93:B98=I3)*(C92:N92=G2)*(C93:N98)),SUMIF(C92:N92,G2,C100:N100)),IF(I3&lt;7,SUMPRODUCT((B102:B107=I3)*(C92:N92=G2)*(C102:N107)),SUMIF(C92:N92,G2,C109:N109))),4)</f>
        <v>#DIV/0!</v>
      </c>
      <c r="D23" s="2768"/>
      <c r="E23" s="2768"/>
      <c r="F23" s="2813"/>
      <c r="G23" s="2814"/>
      <c r="H23" s="2815"/>
      <c r="I23" s="2816"/>
      <c r="J23" s="2817"/>
      <c r="K23" s="1370"/>
      <c r="N23" s="2810" t="s">
        <v>2910</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1"/>
    </row>
    <row r="24" spans="1:37" s="2733" customFormat="1" ht="15" thickBot="1">
      <c r="A24" s="2799" t="s">
        <v>812</v>
      </c>
      <c r="B24" s="2785" t="s">
        <v>2911</v>
      </c>
      <c r="C24" s="924">
        <f>SUMIF(A45:A88,E2,B45:B88)</f>
        <v>0</v>
      </c>
      <c r="D24" s="2788"/>
      <c r="E24" s="2818"/>
      <c r="F24" s="2818"/>
      <c r="G24" s="2818"/>
      <c r="H24" s="2818"/>
      <c r="I24" s="2818"/>
      <c r="J24" s="2819"/>
      <c r="K24" s="1377"/>
      <c r="N24" s="2820" t="s">
        <v>2912</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 thickBot="1">
      <c r="A25" s="2799" t="s">
        <v>813</v>
      </c>
      <c r="B25" s="2821" t="s">
        <v>2913</v>
      </c>
      <c r="C25" s="930"/>
      <c r="D25" s="2743"/>
      <c r="E25" s="2743"/>
      <c r="F25" s="2822"/>
      <c r="G25" s="2743"/>
      <c r="H25" s="2743"/>
      <c r="I25" s="2743"/>
      <c r="J25" s="2744"/>
      <c r="K25" s="1370"/>
      <c r="N25" s="2823" t="s">
        <v>2914</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4.4">
      <c r="A26" s="2824"/>
      <c r="B26" s="2811" t="s">
        <v>2915</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 thickBot="1">
      <c r="A27" s="2824"/>
      <c r="B27" s="2828" t="s">
        <v>2916</v>
      </c>
      <c r="C27" s="931"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3"/>
      <c r="B28" s="2834" t="s">
        <v>2917</v>
      </c>
      <c r="C28" s="2835" t="s">
        <v>2918</v>
      </c>
      <c r="D28" s="2835" t="s">
        <v>2919</v>
      </c>
      <c r="E28" s="2836" t="s">
        <v>2920</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2921</v>
      </c>
      <c r="C29" s="206" t="e">
        <f>ROUND(C5*C18*C19*C20*C21*C24,0)</f>
        <v>#DIV/0!</v>
      </c>
      <c r="D29" s="2840"/>
      <c r="E29" s="942" t="e">
        <f>ROUND(C29*D29/10000,0)</f>
        <v>#DIV/0!</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8" thickBot="1">
      <c r="A30" s="2844"/>
      <c r="B30" s="2845" t="s">
        <v>2923</v>
      </c>
      <c r="C30" s="229" t="e">
        <f>ROUND(IF(E2="工业",C29*M39,C29*M38),0)</f>
        <v>#DIV/0!</v>
      </c>
      <c r="D30" s="2846"/>
      <c r="E30" s="942" t="e">
        <f>ROUND(C30*D30/10000,0)</f>
        <v>#DIV/0!</v>
      </c>
      <c r="F30" s="2847" t="s">
        <v>2924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3.8">
      <c r="A31" s="2850"/>
      <c r="B31" s="2851" t="s">
        <v>2925</v>
      </c>
      <c r="C31" s="2852" t="s">
        <v>2926</v>
      </c>
      <c r="D31" s="2756"/>
      <c r="E31" s="2852"/>
      <c r="F31" s="2852"/>
      <c r="G31" s="2754" t="s">
        <v>2927</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36">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80" t="s">
        <v>2929</v>
      </c>
      <c r="B33" s="2856" t="s">
        <v>2930</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1"/>
      <c r="B34" s="2760" t="s">
        <v>2931</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0" t="s">
        <v>2932</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8" thickBot="1">
      <c r="A36" s="3282"/>
      <c r="B36" s="2760" t="s">
        <v>2933</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2934</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0" t="s">
        <v>2936</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2937</v>
      </c>
      <c r="M38" s="2861">
        <v>0.25</v>
      </c>
      <c r="N38" s="1370"/>
      <c r="O38" s="1370"/>
      <c r="P38" s="1370"/>
      <c r="Q38" s="1370"/>
      <c r="R38" s="1370"/>
      <c r="S38" s="1370"/>
      <c r="T38" s="1370"/>
      <c r="U38" s="1370"/>
      <c r="V38" s="1370"/>
      <c r="W38" s="1370"/>
      <c r="X38" s="1370"/>
      <c r="Y38" s="1370"/>
      <c r="Z38" s="1371"/>
    </row>
    <row r="39" spans="1:37" ht="13.8" thickBot="1">
      <c r="A39" s="2844"/>
      <c r="B39" s="2862" t="s">
        <v>2938</v>
      </c>
      <c r="C39" s="229" t="e">
        <f>ROUND(C5*C19*C20*C24*F39,0)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 thickBot="1">
      <c r="A45" s="2867" t="s">
        <v>2939</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4">
      <c r="A46" s="2869" t="s">
        <v>2940</v>
      </c>
      <c r="B46" s="2870">
        <f>1+E48</f>
        <v>1</v>
      </c>
      <c r="C46" s="2871"/>
      <c r="D46" s="811"/>
      <c r="E46" s="812"/>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5.2">
      <c r="A47" s="2873" t="s">
        <v>2941</v>
      </c>
      <c r="B47" s="1809" t="s">
        <v>2942</v>
      </c>
      <c r="C47" s="1809" t="s">
        <v>2943</v>
      </c>
      <c r="D47" s="1809" t="s">
        <v>2944</v>
      </c>
      <c r="E47" s="816" t="s">
        <v>2945</v>
      </c>
      <c r="F47" s="2874" t="s">
        <v>2946</v>
      </c>
      <c r="G47" s="1809" t="s">
        <v>754</v>
      </c>
      <c r="H47" s="2875" t="s">
        <v>2947</v>
      </c>
      <c r="I47" s="1809" t="s">
        <v>2948</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c r="A48" s="2873" t="s">
        <v>2949</v>
      </c>
      <c r="B48" s="2876" t="str">
        <f>估价对象房地状况!C4</f>
        <v>估价对象位于XX商圈，周边商业氛围成熟，人流量大，商业繁华度好</v>
      </c>
      <c r="C48" s="2765"/>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3" t="s">
        <v>2950</v>
      </c>
      <c r="B49" s="2877" t="str">
        <f>估价对象房地状况!C18</f>
        <v>估价对象周边道路状况、公共交通通达情况、停车便捷程度，综合评价交通便捷度较好</v>
      </c>
      <c r="C49" s="2765"/>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65"/>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3" t="s">
        <v>2952</v>
      </c>
      <c r="B51" s="2878" t="s">
        <v>2953</v>
      </c>
      <c r="C51" s="2765"/>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65"/>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3" t="s">
        <v>2955</v>
      </c>
      <c r="B53" s="2879" t="s">
        <v>2956</v>
      </c>
      <c r="C53" s="2765"/>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80" t="s">
        <v>2957</v>
      </c>
      <c r="B54" s="1725" t="str">
        <f>估价对象房地状况!C21</f>
        <v>估价对象所在区域公共配套设施齐备情况</v>
      </c>
      <c r="C54" s="2765"/>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0" t="s">
        <v>2958</v>
      </c>
      <c r="B55" s="2877" t="str">
        <f>估价对象房地状况!C22</f>
        <v>估价对象所在区域基础设施水平</v>
      </c>
      <c r="C55" s="2765"/>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1" t="s">
        <v>2959</v>
      </c>
      <c r="B56" s="2882" t="str">
        <f>估价对象房地状况!C20</f>
        <v>区域自然环境：；人文环境；综合评价环境状况一般</v>
      </c>
      <c r="C56" s="2765"/>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9" t="s">
        <v>2960</v>
      </c>
      <c r="B57" s="2870">
        <f>1+E59</f>
        <v>1</v>
      </c>
      <c r="C57" s="811"/>
      <c r="D57" s="811"/>
      <c r="E57" s="812"/>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3" t="s">
        <v>2941</v>
      </c>
      <c r="B58" s="1809"/>
      <c r="C58" s="1809" t="s">
        <v>2943</v>
      </c>
      <c r="D58" s="1809" t="s">
        <v>2944</v>
      </c>
      <c r="E58" s="816" t="s">
        <v>2945</v>
      </c>
      <c r="F58" s="2874" t="s">
        <v>2961</v>
      </c>
      <c r="G58" s="1809" t="s">
        <v>754</v>
      </c>
      <c r="H58" s="2875" t="s">
        <v>2947</v>
      </c>
      <c r="I58" s="1809" t="s">
        <v>2948</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c r="A59" s="2873" t="s">
        <v>2962</v>
      </c>
      <c r="B59" s="2876" t="str">
        <f>估价对象房地状况!C17</f>
        <v>估价对象位于XX商圈，周边办公楼项目较多，入驻率高，办公集聚程度较好</v>
      </c>
      <c r="C59" s="2765"/>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3" t="s">
        <v>2950</v>
      </c>
      <c r="B60" s="2877" t="str">
        <f>估价对象房地状况!C18</f>
        <v>估价对象周边道路状况、公共交通通达情况、停车便捷程度，综合评价交通便捷度较好</v>
      </c>
      <c r="C60" s="2765"/>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65"/>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3" t="s">
        <v>2952</v>
      </c>
      <c r="B62" s="2878" t="s">
        <v>2953</v>
      </c>
      <c r="C62" s="2765"/>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65"/>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3" t="s">
        <v>2955</v>
      </c>
      <c r="B64" s="2879" t="s">
        <v>2956</v>
      </c>
      <c r="C64" s="2765"/>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3" t="s">
        <v>2957</v>
      </c>
      <c r="B65" s="1725" t="str">
        <f>估价对象房地状况!C21</f>
        <v>估价对象所在区域公共配套设施齐备情况</v>
      </c>
      <c r="C65" s="2765"/>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3" t="s">
        <v>2958</v>
      </c>
      <c r="B66" s="1725" t="str">
        <f>估价对象房地状况!C22</f>
        <v>估价对象所在区域基础设施水平</v>
      </c>
      <c r="C66" s="2765"/>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1" t="s">
        <v>2959</v>
      </c>
      <c r="B67" s="2883" t="str">
        <f>估价对象房地状况!C20</f>
        <v>区域自然环境：；人文环境；综合评价环境状况一般</v>
      </c>
      <c r="C67" s="2765"/>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9" t="s">
        <v>2963</v>
      </c>
      <c r="B68" s="2870">
        <f>1+E70</f>
        <v>1</v>
      </c>
      <c r="C68" s="811"/>
      <c r="D68" s="811"/>
      <c r="E68" s="812"/>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3" t="s">
        <v>2941</v>
      </c>
      <c r="B69" s="1809"/>
      <c r="C69" s="1809" t="s">
        <v>2943</v>
      </c>
      <c r="D69" s="1809" t="s">
        <v>2944</v>
      </c>
      <c r="E69" s="816" t="s">
        <v>2945</v>
      </c>
      <c r="F69" s="2874" t="s">
        <v>2961</v>
      </c>
      <c r="G69" s="1809" t="s">
        <v>754</v>
      </c>
      <c r="H69" s="2875" t="s">
        <v>2947</v>
      </c>
      <c r="I69" s="1809" t="s">
        <v>2948</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c r="A70" s="2873" t="s">
        <v>2964</v>
      </c>
      <c r="B70" s="2876" t="str">
        <f>估价对象房地状况!C15</f>
        <v>估价对象周边居住用地比例、居住小区规模和社区发展完善程度，综合评价居住社区成熟度一般</v>
      </c>
      <c r="C70" s="2765"/>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3" t="s">
        <v>2950</v>
      </c>
      <c r="B71" s="2877" t="str">
        <f>估价对象房地状况!C18</f>
        <v>估价对象周边道路状况、公共交通通达情况、停车便捷程度，综合评价交通便捷度较好</v>
      </c>
      <c r="C71" s="2765"/>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65"/>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3" t="s">
        <v>2965</v>
      </c>
      <c r="B73" s="2877">
        <f>估价对象房地状况!C24</f>
        <v>0</v>
      </c>
      <c r="C73" s="2765"/>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3" t="s">
        <v>2957</v>
      </c>
      <c r="B74" s="1725" t="str">
        <f>估价对象房地状况!C21</f>
        <v>估价对象所在区域公共配套设施齐备情况</v>
      </c>
      <c r="C74" s="2765"/>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3" t="s">
        <v>2958</v>
      </c>
      <c r="B75" s="1725" t="str">
        <f>估价对象房地状况!C22</f>
        <v>估价对象所在区域基础设施水平</v>
      </c>
      <c r="C75" s="2765"/>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36">
      <c r="A76" s="2873" t="s">
        <v>2955</v>
      </c>
      <c r="B76" s="2879" t="s">
        <v>2956</v>
      </c>
      <c r="C76" s="2765"/>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9.6">
      <c r="A77" s="2873" t="s">
        <v>2959</v>
      </c>
      <c r="B77" s="2876" t="str">
        <f>估价对象房地状况!C20</f>
        <v>区域自然环境：；人文环境；综合评价环境状况一般</v>
      </c>
      <c r="C77" s="2765"/>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5"/>
      <c r="AA77" s="2791"/>
      <c r="AG77" s="1372"/>
      <c r="AK77" s="2791"/>
    </row>
    <row r="78" spans="1:37" ht="36.6" thickBot="1">
      <c r="A78" s="2881" t="s">
        <v>2966</v>
      </c>
      <c r="B78" s="2885"/>
      <c r="C78" s="2765"/>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5"/>
      <c r="AA78" s="2791"/>
      <c r="AG78" s="1372"/>
      <c r="AK78" s="2791"/>
    </row>
    <row r="79" spans="1:37" ht="14.4">
      <c r="A79" s="2869" t="s">
        <v>2967</v>
      </c>
      <c r="B79" s="2870">
        <f>1+E81</f>
        <v>1</v>
      </c>
      <c r="C79" s="811"/>
      <c r="D79" s="811"/>
      <c r="E79" s="812"/>
      <c r="F79" s="2872"/>
      <c r="G79" s="6"/>
      <c r="H79" s="6"/>
      <c r="I79" s="6"/>
      <c r="J79" s="7"/>
      <c r="K79" s="7"/>
      <c r="L79" s="7"/>
      <c r="M79" s="7"/>
      <c r="N79" s="7"/>
      <c r="Z79" s="2715"/>
      <c r="AA79" s="2791"/>
      <c r="AG79" s="1372"/>
      <c r="AK79" s="2791"/>
    </row>
    <row r="80" spans="1:37" ht="25.2">
      <c r="A80" s="2873" t="s">
        <v>2941</v>
      </c>
      <c r="B80" s="1809"/>
      <c r="C80" s="1809" t="s">
        <v>2943</v>
      </c>
      <c r="D80" s="1809" t="s">
        <v>2944</v>
      </c>
      <c r="E80" s="816" t="s">
        <v>2945</v>
      </c>
      <c r="F80" s="2874" t="s">
        <v>2961</v>
      </c>
      <c r="G80" s="1809" t="s">
        <v>754</v>
      </c>
      <c r="H80" s="2875" t="s">
        <v>2947</v>
      </c>
      <c r="I80" s="1809" t="s">
        <v>2948</v>
      </c>
      <c r="J80" s="603" t="s">
        <v>2594</v>
      </c>
      <c r="K80" s="603" t="s">
        <v>2595</v>
      </c>
      <c r="L80" s="603" t="s">
        <v>2596</v>
      </c>
      <c r="M80" s="603" t="s">
        <v>2597</v>
      </c>
      <c r="N80" s="603" t="s">
        <v>2598</v>
      </c>
      <c r="Z80" s="2715"/>
      <c r="AA80" s="2791"/>
      <c r="AG80" s="1372"/>
      <c r="AK80" s="2791"/>
    </row>
    <row r="81" spans="1:37" ht="39.6">
      <c r="A81" s="2873" t="s">
        <v>2968</v>
      </c>
      <c r="B81" s="2877" t="str">
        <f>估价对象房地状况!G15</f>
        <v>估价对象位于XX开发区，园区建设成熟度XX，产业集聚程度XX</v>
      </c>
      <c r="C81" s="2765"/>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66">
      <c r="A82" s="2873" t="s">
        <v>2950</v>
      </c>
      <c r="B82" s="2877" t="str">
        <f>估价对象房地状况!G16</f>
        <v>估价对象周边道路状况、公共交通通达情况、停车便捷程度，综合评价交通便捷度较好</v>
      </c>
      <c r="C82" s="2765"/>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5"/>
      <c r="AA82" s="2791"/>
      <c r="AG82" s="1372"/>
      <c r="AK82" s="2791"/>
    </row>
    <row r="83" spans="1:37" ht="24">
      <c r="A83" s="2873" t="s">
        <v>2951</v>
      </c>
      <c r="B83" s="2877">
        <f>估价对象房地状况!G17</f>
        <v>0</v>
      </c>
      <c r="C83" s="2765"/>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5"/>
      <c r="AA83" s="2791"/>
      <c r="AG83" s="1372"/>
      <c r="AK83" s="2791"/>
    </row>
    <row r="84" spans="1:37" ht="13.8">
      <c r="A84" s="2873" t="s">
        <v>2965</v>
      </c>
      <c r="B84" s="2877">
        <f>估价对象房地状况!G22</f>
        <v>0</v>
      </c>
      <c r="C84" s="2765"/>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5"/>
      <c r="AA84" s="2791"/>
      <c r="AG84" s="1372"/>
      <c r="AK84" s="2791"/>
    </row>
    <row r="85" spans="1:37" ht="26.4">
      <c r="A85" s="2873" t="s">
        <v>2957</v>
      </c>
      <c r="B85" s="1725" t="str">
        <f>估价对象房地状况!G19</f>
        <v>估价对象所在区域公共配套设施齐备情况</v>
      </c>
      <c r="C85" s="2765"/>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5"/>
      <c r="AA85" s="2791"/>
      <c r="AG85" s="1372"/>
      <c r="AK85" s="2791"/>
    </row>
    <row r="86" spans="1:37" ht="26.4">
      <c r="A86" s="2873" t="s">
        <v>2958</v>
      </c>
      <c r="B86" s="1725" t="str">
        <f>估价对象房地状况!G20</f>
        <v>估价对象所在区域基础设施水平</v>
      </c>
      <c r="C86" s="2765"/>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5"/>
      <c r="AA86" s="2791"/>
      <c r="AG86" s="1372"/>
      <c r="AK86" s="2791"/>
    </row>
    <row r="87" spans="1:37" ht="36">
      <c r="A87" s="2873" t="s">
        <v>2955</v>
      </c>
      <c r="B87" s="2879" t="s">
        <v>2969</v>
      </c>
      <c r="C87" s="2765"/>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5"/>
      <c r="AA87" s="2791"/>
      <c r="AG87" s="1372"/>
      <c r="AK87" s="2791"/>
    </row>
    <row r="88" spans="1:37" ht="53.4" thickBot="1">
      <c r="A88" s="2881" t="s">
        <v>2970</v>
      </c>
      <c r="B88" s="2886" t="str">
        <f>估价对象房地状况!G18</f>
        <v>该园区内是否有污染型企业，绿化情况，卫生条件，整体环境状况判断</v>
      </c>
      <c r="C88" s="2765"/>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5"/>
      <c r="AA88" s="2791"/>
      <c r="AG88" s="1372"/>
      <c r="AK88" s="2791"/>
    </row>
    <row r="90" spans="1:37">
      <c r="A90" s="3274" t="s">
        <v>2971</v>
      </c>
      <c r="B90" s="3274"/>
      <c r="C90" s="3274"/>
      <c r="D90" s="3274"/>
      <c r="E90" s="3274"/>
      <c r="F90" s="3274"/>
      <c r="G90" s="3274"/>
      <c r="H90" s="3274"/>
      <c r="I90" s="3274"/>
      <c r="J90" s="3274"/>
      <c r="K90" s="2887"/>
      <c r="L90" s="2887"/>
      <c r="M90" s="2887"/>
      <c r="N90" s="2887"/>
    </row>
    <row r="91" spans="1:37">
      <c r="A91" s="3276" t="s">
        <v>2972</v>
      </c>
      <c r="B91" s="3276" t="s">
        <v>2973</v>
      </c>
      <c r="C91" s="2841" t="s">
        <v>2974</v>
      </c>
      <c r="D91" s="2842"/>
      <c r="E91" s="2842"/>
      <c r="F91" s="2842"/>
      <c r="G91" s="2842"/>
      <c r="H91" s="2842"/>
      <c r="I91" s="2842"/>
      <c r="J91" s="2888"/>
      <c r="K91" s="2889"/>
      <c r="L91" s="2889"/>
      <c r="M91" s="2889"/>
      <c r="N91" s="2889"/>
    </row>
    <row r="92" spans="1:37">
      <c r="A92" s="3276"/>
      <c r="B92" s="3276"/>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7"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8"/>
      <c r="B99" s="2890" t="s">
        <v>2854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7" t="s">
        <v>2976</v>
      </c>
      <c r="B101" s="2894" t="s">
        <v>2977</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78"/>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78"/>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78"/>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78"/>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78"/>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78"/>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78"/>
      <c r="B108" s="3102"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9"/>
      <c r="B109" s="310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75" t="s">
        <v>2979</v>
      </c>
      <c r="B110" s="3275"/>
      <c r="C110" s="3275"/>
      <c r="D110" s="3275"/>
      <c r="E110" s="3275"/>
      <c r="F110" s="3275"/>
      <c r="G110" s="3275"/>
      <c r="H110" s="3275"/>
      <c r="I110" s="3275"/>
      <c r="J110" s="3275"/>
      <c r="K110" s="2896"/>
      <c r="L110" s="2896"/>
      <c r="M110" s="2896"/>
      <c r="N110" s="2896"/>
    </row>
    <row r="112" spans="1:14" ht="13.8" thickBot="1"/>
    <row r="113" spans="1:13" ht="25.8" thickBot="1">
      <c r="A113" s="900" t="s">
        <v>2980</v>
      </c>
      <c r="B113" s="1287" t="e">
        <f>G3</f>
        <v>#DIV/0!</v>
      </c>
      <c r="C113" s="901" t="s">
        <v>2981</v>
      </c>
      <c r="D113" s="902" t="e">
        <f>SUMPRODUCT((A115:A118=F113)*(B114:M114=H113)*B115:M118)</f>
        <v>#DIV/0!</v>
      </c>
      <c r="E113" s="2719" t="s">
        <v>2811</v>
      </c>
      <c r="F113" s="2898">
        <f>E2</f>
        <v>0</v>
      </c>
      <c r="G113" s="2719" t="s">
        <v>2812</v>
      </c>
      <c r="H113" s="2898">
        <f>G2</f>
        <v>0</v>
      </c>
      <c r="I113" s="2719"/>
      <c r="J113" s="2899"/>
      <c r="K113" s="2899"/>
      <c r="L113" s="2899"/>
      <c r="M113" s="2899"/>
    </row>
    <row r="114" spans="1:13">
      <c r="A114" s="905"/>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6" t="s">
        <v>2876</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2877</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2878</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4" t="s">
        <v>2879</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2" t="s">
        <v>183</v>
      </c>
      <c r="B18" s="879" t="s">
        <v>560</v>
      </c>
      <c r="C18" s="880" t="s">
        <v>561</v>
      </c>
      <c r="D18" s="881"/>
      <c r="E18" s="879">
        <v>1</v>
      </c>
      <c r="F18" s="882" t="s">
        <v>562</v>
      </c>
      <c r="G18" s="883"/>
      <c r="H18" s="875"/>
      <c r="I18" s="875"/>
    </row>
    <row r="19" spans="1:9" s="884" customFormat="1" ht="19.5" customHeight="1">
      <c r="A19" s="3292"/>
      <c r="B19" s="3292" t="s">
        <v>563</v>
      </c>
      <c r="C19" s="880" t="s">
        <v>564</v>
      </c>
      <c r="D19" s="881"/>
      <c r="E19" s="879">
        <v>0.9</v>
      </c>
      <c r="F19" s="882" t="s">
        <v>565</v>
      </c>
      <c r="G19" s="883"/>
      <c r="H19" s="875"/>
      <c r="I19" s="875"/>
    </row>
    <row r="20" spans="1:9" s="884" customFormat="1" ht="19.5" customHeight="1">
      <c r="A20" s="3292"/>
      <c r="B20" s="3292"/>
      <c r="C20" s="880" t="s">
        <v>566</v>
      </c>
      <c r="D20" s="881"/>
      <c r="E20" s="879">
        <v>1.1000000000000001</v>
      </c>
      <c r="F20" s="882" t="s">
        <v>567</v>
      </c>
      <c r="G20" s="883"/>
      <c r="H20" s="875"/>
      <c r="I20" s="875"/>
    </row>
    <row r="21" spans="1:9" s="884" customFormat="1" ht="19.5" customHeight="1">
      <c r="A21" s="3292"/>
      <c r="B21" s="3292"/>
      <c r="C21" s="880" t="s">
        <v>568</v>
      </c>
      <c r="D21" s="881"/>
      <c r="E21" s="879">
        <v>0.8</v>
      </c>
      <c r="F21" s="882" t="s">
        <v>569</v>
      </c>
      <c r="G21" s="883"/>
      <c r="H21" s="875"/>
      <c r="I21" s="875"/>
    </row>
    <row r="22" spans="1:9" s="884" customFormat="1" ht="19.5" customHeight="1">
      <c r="A22" s="3292"/>
      <c r="B22" s="3292"/>
      <c r="C22" s="880" t="s">
        <v>570</v>
      </c>
      <c r="D22" s="881"/>
      <c r="E22" s="879">
        <v>0.5</v>
      </c>
      <c r="F22" s="882"/>
      <c r="G22" s="883"/>
      <c r="H22" s="875"/>
      <c r="I22" s="875"/>
    </row>
    <row r="23" spans="1:9" s="884" customFormat="1" ht="19.5" customHeight="1">
      <c r="A23" s="3292" t="s">
        <v>184</v>
      </c>
      <c r="B23" s="879" t="s">
        <v>560</v>
      </c>
      <c r="C23" s="880" t="s">
        <v>571</v>
      </c>
      <c r="D23" s="881"/>
      <c r="E23" s="879">
        <v>1</v>
      </c>
      <c r="F23" s="882" t="s">
        <v>572</v>
      </c>
      <c r="G23" s="883"/>
      <c r="H23" s="875"/>
      <c r="I23" s="875"/>
    </row>
    <row r="24" spans="1:9" s="884" customFormat="1" ht="19.5" customHeight="1">
      <c r="A24" s="3292"/>
      <c r="B24" s="3292" t="s">
        <v>563</v>
      </c>
      <c r="C24" s="880" t="s">
        <v>573</v>
      </c>
      <c r="D24" s="881"/>
      <c r="E24" s="879">
        <v>0.5</v>
      </c>
      <c r="F24" s="882"/>
      <c r="G24" s="883"/>
      <c r="H24" s="875"/>
      <c r="I24" s="875"/>
    </row>
    <row r="25" spans="1:9" s="884" customFormat="1" ht="19.5" customHeight="1">
      <c r="A25" s="3292"/>
      <c r="B25" s="3292"/>
      <c r="C25" s="880" t="s">
        <v>574</v>
      </c>
      <c r="D25" s="881"/>
      <c r="E25" s="879">
        <v>1.1000000000000001</v>
      </c>
      <c r="F25" s="882"/>
      <c r="G25" s="883"/>
      <c r="H25" s="875"/>
      <c r="I25" s="875"/>
    </row>
    <row r="26" spans="1:9" s="884" customFormat="1" ht="19.5" customHeight="1">
      <c r="A26" s="3292"/>
      <c r="B26" s="3292"/>
      <c r="C26" s="880" t="s">
        <v>575</v>
      </c>
      <c r="D26" s="881"/>
      <c r="E26" s="879">
        <v>1.1000000000000001</v>
      </c>
      <c r="F26" s="882"/>
      <c r="G26" s="883"/>
      <c r="H26" s="875"/>
      <c r="I26" s="875"/>
    </row>
    <row r="27" spans="1:9" s="884" customFormat="1" ht="19.5" customHeight="1">
      <c r="A27" s="3292"/>
      <c r="B27" s="3292"/>
      <c r="C27" s="880" t="s">
        <v>576</v>
      </c>
      <c r="D27" s="881"/>
      <c r="E27" s="879">
        <v>0.9</v>
      </c>
      <c r="F27" s="882" t="s">
        <v>577</v>
      </c>
      <c r="G27" s="883"/>
      <c r="H27" s="875"/>
      <c r="I27" s="875"/>
    </row>
    <row r="28" spans="1:9" s="884" customFormat="1" ht="19.5" customHeight="1">
      <c r="A28" s="3292"/>
      <c r="B28" s="3292"/>
      <c r="C28" s="880" t="s">
        <v>578</v>
      </c>
      <c r="D28" s="881"/>
      <c r="E28" s="879">
        <v>0.9</v>
      </c>
      <c r="F28" s="882" t="s">
        <v>579</v>
      </c>
      <c r="G28" s="883"/>
      <c r="H28" s="875"/>
      <c r="I28" s="875"/>
    </row>
    <row r="29" spans="1:9" s="884" customFormat="1" ht="19.5" customHeight="1">
      <c r="A29" s="3292"/>
      <c r="B29" s="3292"/>
      <c r="C29" s="880" t="s">
        <v>580</v>
      </c>
      <c r="D29" s="881"/>
      <c r="E29" s="879">
        <v>0.9</v>
      </c>
      <c r="F29" s="882" t="s">
        <v>581</v>
      </c>
      <c r="G29" s="883"/>
      <c r="H29" s="875"/>
      <c r="I29" s="875"/>
    </row>
    <row r="30" spans="1:9" s="884" customFormat="1" ht="19.5" customHeight="1">
      <c r="A30" s="3292"/>
      <c r="B30" s="3292"/>
      <c r="C30" s="880" t="s">
        <v>582</v>
      </c>
      <c r="D30" s="881"/>
      <c r="E30" s="879">
        <v>0.9</v>
      </c>
      <c r="F30" s="882" t="s">
        <v>583</v>
      </c>
      <c r="G30" s="883"/>
      <c r="H30" s="875"/>
      <c r="I30" s="875"/>
    </row>
    <row r="31" spans="1:9" s="884" customFormat="1" ht="19.5" customHeight="1">
      <c r="A31" s="3292"/>
      <c r="B31" s="3292"/>
      <c r="C31" s="880" t="s">
        <v>584</v>
      </c>
      <c r="D31" s="881"/>
      <c r="E31" s="879">
        <v>0.8</v>
      </c>
      <c r="F31" s="882" t="s">
        <v>585</v>
      </c>
      <c r="G31" s="883"/>
      <c r="H31" s="875"/>
      <c r="I31" s="875"/>
    </row>
    <row r="32" spans="1:9" s="884" customFormat="1" ht="19.5" customHeight="1">
      <c r="A32" s="3292"/>
      <c r="B32" s="3292"/>
      <c r="C32" s="880" t="s">
        <v>586</v>
      </c>
      <c r="D32" s="881"/>
      <c r="E32" s="879">
        <v>0.8</v>
      </c>
      <c r="F32" s="882" t="s">
        <v>587</v>
      </c>
      <c r="G32" s="883"/>
      <c r="H32" s="875"/>
      <c r="I32" s="875"/>
    </row>
    <row r="33" spans="1:9" s="884" customFormat="1" ht="19.5" customHeight="1">
      <c r="A33" s="3292" t="s">
        <v>185</v>
      </c>
      <c r="B33" s="879" t="s">
        <v>560</v>
      </c>
      <c r="C33" s="880" t="s">
        <v>588</v>
      </c>
      <c r="D33" s="881"/>
      <c r="E33" s="879">
        <v>1</v>
      </c>
      <c r="F33" s="882" t="s">
        <v>589</v>
      </c>
      <c r="G33" s="883"/>
      <c r="H33" s="875"/>
      <c r="I33" s="875"/>
    </row>
    <row r="34" spans="1:9" s="884" customFormat="1" ht="19.5" customHeight="1">
      <c r="A34" s="3292"/>
      <c r="B34" s="879" t="s">
        <v>563</v>
      </c>
      <c r="C34" s="880" t="s">
        <v>590</v>
      </c>
      <c r="D34" s="881"/>
      <c r="E34" s="879">
        <v>1.5</v>
      </c>
      <c r="F34" s="882" t="s">
        <v>591</v>
      </c>
      <c r="G34" s="883"/>
      <c r="H34" s="875"/>
      <c r="I34" s="875"/>
    </row>
    <row r="35" spans="1:9" s="884" customFormat="1" ht="19.5" customHeight="1">
      <c r="A35" s="3292" t="s">
        <v>186</v>
      </c>
      <c r="B35" s="879" t="s">
        <v>560</v>
      </c>
      <c r="C35" s="880" t="s">
        <v>592</v>
      </c>
      <c r="D35" s="881"/>
      <c r="E35" s="879">
        <v>1</v>
      </c>
      <c r="F35" s="882" t="s">
        <v>593</v>
      </c>
      <c r="G35" s="883"/>
      <c r="H35" s="875"/>
      <c r="I35" s="875"/>
    </row>
    <row r="36" spans="1:9" s="884" customFormat="1" ht="19.5" customHeight="1">
      <c r="A36" s="3292"/>
      <c r="B36" s="3292" t="s">
        <v>563</v>
      </c>
      <c r="C36" s="880" t="s">
        <v>594</v>
      </c>
      <c r="D36" s="881"/>
      <c r="E36" s="879">
        <v>1</v>
      </c>
      <c r="F36" s="882" t="s">
        <v>595</v>
      </c>
      <c r="G36" s="883"/>
      <c r="H36" s="875"/>
      <c r="I36" s="875"/>
    </row>
    <row r="37" spans="1:9" s="884" customFormat="1" ht="19.5" customHeight="1">
      <c r="A37" s="3292"/>
      <c r="B37" s="3292"/>
      <c r="C37" s="880" t="s">
        <v>596</v>
      </c>
      <c r="D37" s="881"/>
      <c r="E37" s="879">
        <v>1.5</v>
      </c>
      <c r="F37" s="882" t="s">
        <v>597</v>
      </c>
      <c r="G37" s="883"/>
      <c r="H37" s="875"/>
      <c r="I37" s="875"/>
    </row>
    <row r="38" spans="1:9" s="884" customFormat="1" ht="19.5" customHeight="1">
      <c r="A38" s="3292"/>
      <c r="B38" s="3292"/>
      <c r="C38" s="880" t="s">
        <v>598</v>
      </c>
      <c r="D38" s="881"/>
      <c r="E38" s="879">
        <v>1</v>
      </c>
      <c r="F38" s="882" t="s">
        <v>599</v>
      </c>
      <c r="G38" s="883"/>
      <c r="H38" s="875"/>
      <c r="I38" s="875"/>
    </row>
    <row r="39" spans="1:9" s="884" customFormat="1" ht="19.5" customHeight="1">
      <c r="A39" s="3292"/>
      <c r="B39" s="329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92" t="s">
        <v>614</v>
      </c>
      <c r="C61" s="815" t="s">
        <v>615</v>
      </c>
      <c r="D61" s="815" t="s">
        <v>616</v>
      </c>
      <c r="E61" s="892">
        <v>0.5</v>
      </c>
      <c r="F61" s="879">
        <v>80</v>
      </c>
    </row>
    <row r="62" spans="1:8" s="875" customFormat="1" ht="36">
      <c r="A62" s="879">
        <v>2</v>
      </c>
      <c r="B62" s="3292"/>
      <c r="C62" s="815" t="s">
        <v>617</v>
      </c>
      <c r="D62" s="815" t="s">
        <v>618</v>
      </c>
      <c r="E62" s="892">
        <v>0.5</v>
      </c>
      <c r="F62" s="879">
        <v>80</v>
      </c>
    </row>
    <row r="63" spans="1:8" s="875" customFormat="1" ht="48">
      <c r="A63" s="879">
        <v>3</v>
      </c>
      <c r="B63" s="3292"/>
      <c r="C63" s="815" t="s">
        <v>619</v>
      </c>
      <c r="D63" s="815" t="s">
        <v>620</v>
      </c>
      <c r="E63" s="892">
        <v>0.5</v>
      </c>
      <c r="F63" s="879">
        <v>80</v>
      </c>
    </row>
    <row r="64" spans="1:8" s="875" customFormat="1" ht="48">
      <c r="A64" s="879">
        <v>4</v>
      </c>
      <c r="B64" s="3292"/>
      <c r="C64" s="815" t="s">
        <v>621</v>
      </c>
      <c r="D64" s="815" t="s">
        <v>622</v>
      </c>
      <c r="E64" s="892">
        <v>0.4</v>
      </c>
      <c r="F64" s="879">
        <v>60</v>
      </c>
    </row>
    <row r="65" spans="1:6" s="875" customFormat="1" ht="48">
      <c r="A65" s="879">
        <v>5</v>
      </c>
      <c r="B65" s="3292"/>
      <c r="C65" s="815" t="s">
        <v>623</v>
      </c>
      <c r="D65" s="815" t="s">
        <v>624</v>
      </c>
      <c r="E65" s="892">
        <v>0.2</v>
      </c>
      <c r="F65" s="879">
        <v>30</v>
      </c>
    </row>
    <row r="66" spans="1:6" s="875" customFormat="1" ht="48">
      <c r="A66" s="879">
        <v>6</v>
      </c>
      <c r="B66" s="3292"/>
      <c r="C66" s="815" t="s">
        <v>625</v>
      </c>
      <c r="D66" s="815" t="s">
        <v>626</v>
      </c>
      <c r="E66" s="892">
        <v>0.3</v>
      </c>
      <c r="F66" s="879">
        <v>50</v>
      </c>
    </row>
    <row r="67" spans="1:6" s="875" customFormat="1" ht="48">
      <c r="A67" s="879">
        <v>7</v>
      </c>
      <c r="B67" s="3292"/>
      <c r="C67" s="815" t="s">
        <v>627</v>
      </c>
      <c r="D67" s="815" t="s">
        <v>628</v>
      </c>
      <c r="E67" s="892">
        <v>0.2</v>
      </c>
      <c r="F67" s="879">
        <v>30</v>
      </c>
    </row>
    <row r="68" spans="1:6" s="875" customFormat="1" ht="48">
      <c r="A68" s="879">
        <v>8</v>
      </c>
      <c r="B68" s="3292"/>
      <c r="C68" s="815" t="s">
        <v>629</v>
      </c>
      <c r="D68" s="815" t="s">
        <v>630</v>
      </c>
      <c r="E68" s="892">
        <v>0.2</v>
      </c>
      <c r="F68" s="879">
        <v>30</v>
      </c>
    </row>
    <row r="69" spans="1:6" s="875" customFormat="1" ht="48">
      <c r="A69" s="879">
        <v>9</v>
      </c>
      <c r="B69" s="3292"/>
      <c r="C69" s="815" t="s">
        <v>631</v>
      </c>
      <c r="D69" s="815" t="s">
        <v>632</v>
      </c>
      <c r="E69" s="892">
        <v>0.2</v>
      </c>
      <c r="F69" s="879">
        <v>30</v>
      </c>
    </row>
    <row r="70" spans="1:6" s="875" customFormat="1" ht="60">
      <c r="A70" s="879">
        <v>10</v>
      </c>
      <c r="B70" s="3292"/>
      <c r="C70" s="815" t="s">
        <v>633</v>
      </c>
      <c r="D70" s="815" t="s">
        <v>634</v>
      </c>
      <c r="E70" s="892">
        <v>0.2</v>
      </c>
      <c r="F70" s="879">
        <v>30</v>
      </c>
    </row>
    <row r="71" spans="1:6" s="875" customFormat="1" ht="60">
      <c r="A71" s="879">
        <v>11</v>
      </c>
      <c r="B71" s="3292"/>
      <c r="C71" s="815" t="s">
        <v>635</v>
      </c>
      <c r="D71" s="815" t="s">
        <v>636</v>
      </c>
      <c r="E71" s="892">
        <v>0.2</v>
      </c>
      <c r="F71" s="879">
        <v>30</v>
      </c>
    </row>
    <row r="72" spans="1:6" s="875" customFormat="1" ht="36">
      <c r="A72" s="879">
        <v>12</v>
      </c>
      <c r="B72" s="3292"/>
      <c r="C72" s="815" t="s">
        <v>637</v>
      </c>
      <c r="D72" s="815" t="s">
        <v>638</v>
      </c>
      <c r="E72" s="892">
        <v>0.5</v>
      </c>
      <c r="F72" s="879">
        <v>80</v>
      </c>
    </row>
    <row r="73" spans="1:6" s="875" customFormat="1" ht="36">
      <c r="A73" s="879">
        <v>13</v>
      </c>
      <c r="B73" s="3292"/>
      <c r="C73" s="815" t="s">
        <v>639</v>
      </c>
      <c r="D73" s="815" t="s">
        <v>640</v>
      </c>
      <c r="E73" s="892">
        <v>0.4</v>
      </c>
      <c r="F73" s="879">
        <v>60</v>
      </c>
    </row>
    <row r="74" spans="1:6" s="875" customFormat="1" ht="36">
      <c r="A74" s="879">
        <v>14</v>
      </c>
      <c r="B74" s="3292"/>
      <c r="C74" s="815" t="s">
        <v>641</v>
      </c>
      <c r="D74" s="815" t="s">
        <v>642</v>
      </c>
      <c r="E74" s="892">
        <v>0.2</v>
      </c>
      <c r="F74" s="879">
        <v>30</v>
      </c>
    </row>
    <row r="75" spans="1:6" s="875" customFormat="1" ht="36">
      <c r="A75" s="879">
        <v>15</v>
      </c>
      <c r="B75" s="3292"/>
      <c r="C75" s="815" t="s">
        <v>643</v>
      </c>
      <c r="D75" s="815" t="s">
        <v>644</v>
      </c>
      <c r="E75" s="892">
        <v>0.2</v>
      </c>
      <c r="F75" s="879">
        <v>30</v>
      </c>
    </row>
    <row r="76" spans="1:6" s="875" customFormat="1" ht="36">
      <c r="A76" s="879">
        <v>16</v>
      </c>
      <c r="B76" s="3292" t="s">
        <v>645</v>
      </c>
      <c r="C76" s="815" t="s">
        <v>646</v>
      </c>
      <c r="D76" s="815" t="s">
        <v>647</v>
      </c>
      <c r="E76" s="892">
        <v>0.5</v>
      </c>
      <c r="F76" s="879">
        <v>80</v>
      </c>
    </row>
    <row r="77" spans="1:6" s="875" customFormat="1" ht="36">
      <c r="A77" s="879">
        <v>17</v>
      </c>
      <c r="B77" s="3292"/>
      <c r="C77" s="815" t="s">
        <v>648</v>
      </c>
      <c r="D77" s="815" t="s">
        <v>649</v>
      </c>
      <c r="E77" s="892">
        <v>0.5</v>
      </c>
      <c r="F77" s="879">
        <v>80</v>
      </c>
    </row>
    <row r="78" spans="1:6" s="875" customFormat="1" ht="36">
      <c r="A78" s="879">
        <v>18</v>
      </c>
      <c r="B78" s="3292"/>
      <c r="C78" s="815" t="s">
        <v>650</v>
      </c>
      <c r="D78" s="815" t="s">
        <v>651</v>
      </c>
      <c r="E78" s="892">
        <v>0.2</v>
      </c>
      <c r="F78" s="879">
        <v>30</v>
      </c>
    </row>
    <row r="79" spans="1:6" s="875" customFormat="1" ht="36">
      <c r="A79" s="879">
        <v>19</v>
      </c>
      <c r="B79" s="3292"/>
      <c r="C79" s="815" t="s">
        <v>652</v>
      </c>
      <c r="D79" s="815" t="s">
        <v>653</v>
      </c>
      <c r="E79" s="892">
        <v>0.5</v>
      </c>
      <c r="F79" s="879">
        <v>80</v>
      </c>
    </row>
    <row r="80" spans="1:6" s="875" customFormat="1" ht="36">
      <c r="A80" s="879">
        <v>20</v>
      </c>
      <c r="B80" s="3292"/>
      <c r="C80" s="815" t="s">
        <v>654</v>
      </c>
      <c r="D80" s="815" t="s">
        <v>655</v>
      </c>
      <c r="E80" s="892">
        <v>0.2</v>
      </c>
      <c r="F80" s="879">
        <v>30</v>
      </c>
    </row>
    <row r="81" spans="1:6" s="875" customFormat="1" ht="36">
      <c r="A81" s="879">
        <v>21</v>
      </c>
      <c r="B81" s="3292"/>
      <c r="C81" s="815" t="s">
        <v>656</v>
      </c>
      <c r="D81" s="815" t="s">
        <v>657</v>
      </c>
      <c r="E81" s="892">
        <v>0.2</v>
      </c>
      <c r="F81" s="879">
        <v>30</v>
      </c>
    </row>
    <row r="82" spans="1:6" s="875" customFormat="1" ht="60">
      <c r="A82" s="879">
        <v>22</v>
      </c>
      <c r="B82" s="3292"/>
      <c r="C82" s="815" t="s">
        <v>658</v>
      </c>
      <c r="D82" s="815" t="s">
        <v>659</v>
      </c>
      <c r="E82" s="892">
        <v>0.2</v>
      </c>
      <c r="F82" s="879">
        <v>30</v>
      </c>
    </row>
    <row r="83" spans="1:6" s="875" customFormat="1" ht="60">
      <c r="A83" s="879">
        <v>23</v>
      </c>
      <c r="B83" s="3292"/>
      <c r="C83" s="815" t="s">
        <v>660</v>
      </c>
      <c r="D83" s="815" t="s">
        <v>661</v>
      </c>
      <c r="E83" s="892">
        <v>0.2</v>
      </c>
      <c r="F83" s="879">
        <v>30</v>
      </c>
    </row>
    <row r="84" spans="1:6" s="875" customFormat="1" ht="48">
      <c r="A84" s="879">
        <v>24</v>
      </c>
      <c r="B84" s="3292"/>
      <c r="C84" s="815" t="s">
        <v>662</v>
      </c>
      <c r="D84" s="815" t="s">
        <v>663</v>
      </c>
      <c r="E84" s="892">
        <v>0.2</v>
      </c>
      <c r="F84" s="879">
        <v>30</v>
      </c>
    </row>
    <row r="85" spans="1:6" s="875" customFormat="1" ht="36">
      <c r="A85" s="879">
        <v>25</v>
      </c>
      <c r="B85" s="3292"/>
      <c r="C85" s="815" t="s">
        <v>664</v>
      </c>
      <c r="D85" s="815" t="s">
        <v>665</v>
      </c>
      <c r="E85" s="892">
        <v>0.5</v>
      </c>
      <c r="F85" s="879">
        <v>80</v>
      </c>
    </row>
    <row r="86" spans="1:6" s="875" customFormat="1" ht="36">
      <c r="A86" s="879">
        <v>26</v>
      </c>
      <c r="B86" s="3292"/>
      <c r="C86" s="815" t="s">
        <v>666</v>
      </c>
      <c r="D86" s="815" t="s">
        <v>667</v>
      </c>
      <c r="E86" s="892">
        <v>0.2</v>
      </c>
      <c r="F86" s="879">
        <v>30</v>
      </c>
    </row>
    <row r="87" spans="1:6" s="875" customFormat="1" ht="36">
      <c r="A87" s="879">
        <v>27</v>
      </c>
      <c r="B87" s="3292"/>
      <c r="C87" s="815" t="s">
        <v>668</v>
      </c>
      <c r="D87" s="815" t="s">
        <v>669</v>
      </c>
      <c r="E87" s="892">
        <v>0.2</v>
      </c>
      <c r="F87" s="879">
        <v>30</v>
      </c>
    </row>
    <row r="88" spans="1:6" s="875" customFormat="1" ht="36">
      <c r="A88" s="879">
        <v>28</v>
      </c>
      <c r="B88" s="3292"/>
      <c r="C88" s="815" t="s">
        <v>670</v>
      </c>
      <c r="D88" s="815" t="s">
        <v>671</v>
      </c>
      <c r="E88" s="892">
        <v>0.2</v>
      </c>
      <c r="F88" s="879">
        <v>30</v>
      </c>
    </row>
    <row r="89" spans="1:6" s="875" customFormat="1" ht="36">
      <c r="A89" s="879">
        <v>29</v>
      </c>
      <c r="B89" s="3292"/>
      <c r="C89" s="815" t="s">
        <v>672</v>
      </c>
      <c r="D89" s="815" t="s">
        <v>673</v>
      </c>
      <c r="E89" s="892">
        <v>0.2</v>
      </c>
      <c r="F89" s="879">
        <v>30</v>
      </c>
    </row>
    <row r="90" spans="1:6" s="875" customFormat="1" ht="36">
      <c r="A90" s="879">
        <v>30</v>
      </c>
      <c r="B90" s="3292"/>
      <c r="C90" s="815" t="s">
        <v>674</v>
      </c>
      <c r="D90" s="815" t="s">
        <v>675</v>
      </c>
      <c r="E90" s="892">
        <v>0.2</v>
      </c>
      <c r="F90" s="879">
        <v>30</v>
      </c>
    </row>
    <row r="91" spans="1:6" s="875" customFormat="1" ht="48">
      <c r="A91" s="879">
        <v>31</v>
      </c>
      <c r="B91" s="3292"/>
      <c r="C91" s="815" t="s">
        <v>676</v>
      </c>
      <c r="D91" s="815" t="s">
        <v>677</v>
      </c>
      <c r="E91" s="892">
        <v>0.2</v>
      </c>
      <c r="F91" s="879">
        <v>30</v>
      </c>
    </row>
    <row r="92" spans="1:6" s="875" customFormat="1" ht="36">
      <c r="A92" s="879">
        <v>32</v>
      </c>
      <c r="B92" s="3292" t="s">
        <v>678</v>
      </c>
      <c r="C92" s="879" t="s">
        <v>679</v>
      </c>
      <c r="D92" s="815" t="s">
        <v>680</v>
      </c>
      <c r="E92" s="892">
        <v>0.2</v>
      </c>
      <c r="F92" s="879">
        <v>30</v>
      </c>
    </row>
    <row r="93" spans="1:6" s="875" customFormat="1" ht="36">
      <c r="A93" s="879">
        <v>33</v>
      </c>
      <c r="B93" s="3292"/>
      <c r="C93" s="879" t="s">
        <v>681</v>
      </c>
      <c r="D93" s="815" t="s">
        <v>682</v>
      </c>
      <c r="E93" s="892">
        <v>0.2</v>
      </c>
      <c r="F93" s="879">
        <v>30</v>
      </c>
    </row>
    <row r="94" spans="1:6" s="875" customFormat="1" ht="60">
      <c r="A94" s="879">
        <v>34</v>
      </c>
      <c r="B94" s="3292"/>
      <c r="C94" s="879" t="s">
        <v>683</v>
      </c>
      <c r="D94" s="815" t="s">
        <v>684</v>
      </c>
      <c r="E94" s="892">
        <v>0.2</v>
      </c>
      <c r="F94" s="879">
        <v>30</v>
      </c>
    </row>
    <row r="95" spans="1:6" s="875" customFormat="1" ht="48">
      <c r="A95" s="879">
        <v>35</v>
      </c>
      <c r="B95" s="3292"/>
      <c r="C95" s="879" t="s">
        <v>685</v>
      </c>
      <c r="D95" s="815" t="s">
        <v>686</v>
      </c>
      <c r="E95" s="892">
        <v>0.2</v>
      </c>
      <c r="F95" s="879">
        <v>30</v>
      </c>
    </row>
    <row r="96" spans="1:6" s="875" customFormat="1" ht="72">
      <c r="A96" s="879">
        <v>36</v>
      </c>
      <c r="B96" s="3292"/>
      <c r="C96" s="815" t="s">
        <v>687</v>
      </c>
      <c r="D96" s="815" t="s">
        <v>688</v>
      </c>
      <c r="E96" s="892">
        <v>0.2</v>
      </c>
      <c r="F96" s="879">
        <v>30</v>
      </c>
    </row>
    <row r="97" spans="1:6" s="875" customFormat="1" ht="36">
      <c r="A97" s="879">
        <v>37</v>
      </c>
      <c r="B97" s="3292"/>
      <c r="C97" s="879" t="s">
        <v>689</v>
      </c>
      <c r="D97" s="815" t="s">
        <v>690</v>
      </c>
      <c r="E97" s="892">
        <v>0.2</v>
      </c>
      <c r="F97" s="879">
        <v>30</v>
      </c>
    </row>
    <row r="98" spans="1:6" s="875" customFormat="1" ht="36">
      <c r="A98" s="879">
        <v>38</v>
      </c>
      <c r="B98" s="3292"/>
      <c r="C98" s="879" t="s">
        <v>691</v>
      </c>
      <c r="D98" s="815" t="s">
        <v>692</v>
      </c>
      <c r="E98" s="892">
        <v>0.2</v>
      </c>
      <c r="F98" s="879">
        <v>30</v>
      </c>
    </row>
    <row r="99" spans="1:6" s="875" customFormat="1" ht="36">
      <c r="A99" s="879">
        <v>39</v>
      </c>
      <c r="B99" s="3292" t="s">
        <v>693</v>
      </c>
      <c r="C99" s="879" t="s">
        <v>694</v>
      </c>
      <c r="D99" s="815" t="s">
        <v>695</v>
      </c>
      <c r="E99" s="892">
        <v>0.3</v>
      </c>
      <c r="F99" s="879">
        <v>50</v>
      </c>
    </row>
    <row r="100" spans="1:6" s="875" customFormat="1" ht="36">
      <c r="A100" s="879">
        <v>40</v>
      </c>
      <c r="B100" s="3292"/>
      <c r="C100" s="879" t="s">
        <v>696</v>
      </c>
      <c r="D100" s="815" t="s">
        <v>697</v>
      </c>
      <c r="E100" s="892">
        <v>0.2</v>
      </c>
      <c r="F100" s="879">
        <v>30</v>
      </c>
    </row>
    <row r="101" spans="1:6" s="875" customFormat="1" ht="36">
      <c r="A101" s="879">
        <v>41</v>
      </c>
      <c r="B101" s="3292"/>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2" t="s">
        <v>708</v>
      </c>
      <c r="C105" s="879" t="s">
        <v>709</v>
      </c>
      <c r="D105" s="815" t="s">
        <v>710</v>
      </c>
      <c r="E105" s="892">
        <v>0.2</v>
      </c>
      <c r="F105" s="879">
        <v>30</v>
      </c>
    </row>
    <row r="106" spans="1:6" s="875" customFormat="1" ht="48">
      <c r="A106" s="879">
        <v>46</v>
      </c>
      <c r="B106" s="3292"/>
      <c r="C106" s="879" t="s">
        <v>711</v>
      </c>
      <c r="D106" s="815" t="s">
        <v>712</v>
      </c>
      <c r="E106" s="892">
        <v>0.2</v>
      </c>
      <c r="F106" s="879">
        <v>30</v>
      </c>
    </row>
    <row r="107" spans="1:6" s="875" customFormat="1" ht="36">
      <c r="A107" s="879">
        <v>47</v>
      </c>
      <c r="B107" s="3292" t="s">
        <v>713</v>
      </c>
      <c r="C107" s="879" t="s">
        <v>714</v>
      </c>
      <c r="D107" s="815" t="s">
        <v>715</v>
      </c>
      <c r="E107" s="892">
        <v>0.3</v>
      </c>
      <c r="F107" s="879">
        <v>50</v>
      </c>
    </row>
    <row r="108" spans="1:6" s="875" customFormat="1" ht="48">
      <c r="A108" s="879">
        <v>48</v>
      </c>
      <c r="B108" s="329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2" t="s">
        <v>724</v>
      </c>
      <c r="C111" s="879" t="s">
        <v>725</v>
      </c>
      <c r="D111" s="815" t="s">
        <v>726</v>
      </c>
      <c r="E111" s="892">
        <v>0.2</v>
      </c>
      <c r="F111" s="879">
        <v>30</v>
      </c>
    </row>
    <row r="112" spans="1:6" s="875" customFormat="1" ht="36">
      <c r="A112" s="879">
        <v>52</v>
      </c>
      <c r="B112" s="3292"/>
      <c r="C112" s="879" t="s">
        <v>727</v>
      </c>
      <c r="D112" s="815" t="s">
        <v>728</v>
      </c>
      <c r="E112" s="892">
        <v>0.2</v>
      </c>
      <c r="F112" s="879">
        <v>30</v>
      </c>
    </row>
    <row r="113" spans="1:6" s="875" customFormat="1" ht="36">
      <c r="A113" s="879">
        <v>53</v>
      </c>
      <c r="B113" s="3292"/>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2" t="s">
        <v>737</v>
      </c>
      <c r="C116" s="879" t="s">
        <v>738</v>
      </c>
      <c r="D116" s="815" t="s">
        <v>739</v>
      </c>
      <c r="E116" s="892">
        <v>0.2</v>
      </c>
      <c r="F116" s="879">
        <v>30</v>
      </c>
    </row>
    <row r="117" spans="1:6" ht="36">
      <c r="A117" s="879">
        <v>57</v>
      </c>
      <c r="B117" s="3292"/>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1621</v>
      </c>
      <c r="B1" s="1959"/>
      <c r="C1" s="1959"/>
      <c r="D1" s="1959"/>
      <c r="E1" s="1959"/>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61"/>
      <c r="B4" s="2985" t="s">
        <v>1630</v>
      </c>
      <c r="C4" s="2985"/>
      <c r="D4" s="2985"/>
      <c r="E4" s="1961"/>
    </row>
    <row r="5" spans="1:5" ht="16.2" thickTop="1">
      <c r="A5" s="1959"/>
      <c r="B5" s="2983" t="s">
        <v>1622</v>
      </c>
      <c r="C5" s="1962" t="s">
        <v>1623</v>
      </c>
      <c r="D5" s="1040">
        <f ca="1">结果表!H101</f>
        <v>86460</v>
      </c>
      <c r="E5" s="1959"/>
    </row>
    <row r="6" spans="1:5" ht="15.6">
      <c r="A6" s="1959"/>
      <c r="B6" s="2983"/>
      <c r="C6" s="1962" t="s">
        <v>1624</v>
      </c>
      <c r="D6" s="1040" t="str">
        <f ca="1">NUMBERSTRING(INT(D5*10000),2)&amp;"元整"</f>
        <v>捌亿陆仟肆佰陆拾万元整</v>
      </c>
      <c r="E6" s="1959"/>
    </row>
    <row r="7" spans="1:5" ht="15.6">
      <c r="A7" s="1959"/>
      <c r="B7" s="2988"/>
      <c r="C7" s="1963" t="s">
        <v>1625</v>
      </c>
      <c r="D7" s="1041">
        <f ca="1">结果表!H102</f>
        <v>9966</v>
      </c>
      <c r="E7" s="1959"/>
    </row>
    <row r="8" spans="1:5" ht="15.6">
      <c r="A8" s="1959"/>
      <c r="B8" s="2989" t="str">
        <f>结果表!E103</f>
        <v>2.估价师知悉的法定优先受偿款</v>
      </c>
      <c r="C8" s="1964" t="s">
        <v>1626</v>
      </c>
      <c r="D8" s="1041">
        <f>结果表!H103</f>
        <v>30000</v>
      </c>
      <c r="E8" s="1959"/>
    </row>
    <row r="9" spans="1:5" ht="15.6">
      <c r="A9" s="1959"/>
      <c r="B9" s="2991"/>
      <c r="C9" s="1962" t="s">
        <v>1624</v>
      </c>
      <c r="D9" s="1040" t="str">
        <f>NUMBERSTRING(INT(D8*10000),2)&amp;"元整"</f>
        <v>叁亿元整</v>
      </c>
      <c r="E9" s="1959"/>
    </row>
    <row r="10" spans="1:5" ht="15.6">
      <c r="A10" s="1959"/>
      <c r="B10" s="1965" t="s">
        <v>1629</v>
      </c>
      <c r="C10" s="1966" t="s">
        <v>1627</v>
      </c>
      <c r="D10" s="1042">
        <f>结果表!H104</f>
        <v>0</v>
      </c>
      <c r="E10" s="1959"/>
    </row>
    <row r="11" spans="1:5" ht="15.6">
      <c r="A11" s="1959"/>
      <c r="B11" s="1965" t="s">
        <v>1631</v>
      </c>
      <c r="C11" s="1966" t="s">
        <v>1632</v>
      </c>
      <c r="D11" s="1042">
        <f>结果表!H105</f>
        <v>30000</v>
      </c>
      <c r="E11" s="1959"/>
    </row>
    <row r="12" spans="1:5" ht="15.6">
      <c r="A12" s="1959"/>
      <c r="B12" s="1965" t="s">
        <v>1633</v>
      </c>
      <c r="C12" s="1966" t="s">
        <v>1632</v>
      </c>
      <c r="D12" s="1042">
        <f>结果表!H106</f>
        <v>0</v>
      </c>
      <c r="E12" s="1959"/>
    </row>
    <row r="13" spans="1:5" ht="15.6">
      <c r="A13" s="1959"/>
      <c r="B13" s="2982" t="str">
        <f>结果表!E107</f>
        <v>3.房地产抵押价值</v>
      </c>
      <c r="C13" s="1967" t="s">
        <v>1623</v>
      </c>
      <c r="D13" s="1043">
        <f ca="1">结果表!H107</f>
        <v>56460</v>
      </c>
      <c r="E13" s="1959"/>
    </row>
    <row r="14" spans="1:5" ht="15.6">
      <c r="A14" s="1959"/>
      <c r="B14" s="2983"/>
      <c r="C14" s="1962" t="s">
        <v>1624</v>
      </c>
      <c r="D14" s="1040" t="str">
        <f ca="1">NUMBERSTRING(INT(D13*10000),2)&amp;"元整"</f>
        <v>伍亿陆仟肆佰陆拾万元整</v>
      </c>
      <c r="E14" s="1959"/>
    </row>
    <row r="15" spans="1:5" ht="15.6">
      <c r="A15" s="1959"/>
      <c r="B15" s="2988"/>
      <c r="C15" s="1963" t="s">
        <v>1634</v>
      </c>
      <c r="D15" s="1052">
        <f ca="1">结果表!H108</f>
        <v>6508</v>
      </c>
      <c r="E15" s="1959"/>
    </row>
    <row r="16" spans="1:5" ht="15.6">
      <c r="A16" s="1959"/>
      <c r="B16" s="2989" t="str">
        <f>结果表!E109</f>
        <v>——</v>
      </c>
      <c r="C16" s="1967" t="s">
        <v>1635</v>
      </c>
      <c r="D16" s="1968" t="str">
        <f>结果表!H109</f>
        <v>——</v>
      </c>
      <c r="E16" s="1959"/>
    </row>
    <row r="17" spans="1:5" ht="15.6">
      <c r="A17" s="1959"/>
      <c r="B17" s="2990"/>
      <c r="C17" s="1962" t="s">
        <v>1636</v>
      </c>
      <c r="D17" s="1040" t="e">
        <f>NUMBERSTRING(INT(D16*10000),2)&amp;"元整"</f>
        <v>#VALUE!</v>
      </c>
      <c r="E17" s="1959"/>
    </row>
    <row r="18" spans="1:5" ht="15.6">
      <c r="A18" s="1959"/>
      <c r="B18" s="2991"/>
      <c r="C18" s="1963" t="s">
        <v>1625</v>
      </c>
      <c r="D18" s="1052" t="str">
        <f>结果表!H110</f>
        <v>——</v>
      </c>
      <c r="E18" s="1959"/>
    </row>
    <row r="19" spans="1:5" ht="15.6">
      <c r="A19" s="1959"/>
      <c r="B19" s="2982" t="str">
        <f>结果表!E111</f>
        <v>4.抵押净值</v>
      </c>
      <c r="C19" s="1967" t="s">
        <v>1623</v>
      </c>
      <c r="D19" s="1041">
        <f ca="1">结果表!H111</f>
        <v>7480</v>
      </c>
      <c r="E19" s="1959"/>
    </row>
    <row r="20" spans="1:5" ht="15.6">
      <c r="A20" s="1959"/>
      <c r="B20" s="2983"/>
      <c r="C20" s="1962" t="s">
        <v>1636</v>
      </c>
      <c r="D20" s="1040" t="str">
        <f ca="1">NUMBERSTRING(INT(D19*10000),2)&amp;"元整"</f>
        <v>柒仟肆佰捌拾万元整</v>
      </c>
      <c r="E20" s="1959"/>
    </row>
    <row r="21" spans="1:5" ht="16.2" thickBot="1">
      <c r="A21" s="1959"/>
      <c r="B21" s="2984"/>
      <c r="C21" s="1969" t="s">
        <v>1634</v>
      </c>
      <c r="D21" s="1053">
        <f ca="1">结果表!H112</f>
        <v>862</v>
      </c>
      <c r="E21" s="1959"/>
    </row>
    <row r="22" spans="1:5" ht="14.4" thickTop="1">
      <c r="A22" s="1959"/>
      <c r="B22" s="1970" t="s">
        <v>1637</v>
      </c>
      <c r="C22" s="1959"/>
      <c r="D22" s="1959"/>
      <c r="E22" s="1959"/>
    </row>
    <row r="23" spans="1:5">
      <c r="A23" s="1959"/>
      <c r="B23" s="1959"/>
      <c r="C23" s="1959"/>
      <c r="D23" s="1959"/>
      <c r="E23" s="1959"/>
    </row>
    <row r="24" spans="1:5" ht="17.399999999999999">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59" t="s">
        <v>3002</v>
      </c>
    </row>
    <row r="2" spans="1:5" ht="15.6">
      <c r="A2" s="2905" t="s">
        <v>2994</v>
      </c>
      <c r="B2" s="2906" t="e">
        <f ca="1">SUMIF(B6:B13,"&lt;&gt;#ref!",B6:B13)</f>
        <v>#DIV/0!</v>
      </c>
      <c r="C2" s="2905" t="s">
        <v>2995</v>
      </c>
      <c r="D2" s="2905" t="s">
        <v>2996</v>
      </c>
      <c r="E2" s="2906">
        <f ca="1">SUMIF(E6:E13,"&lt;&gt;#ref!",E6:E13)</f>
        <v>0</v>
      </c>
    </row>
    <row r="3" spans="1:5" ht="15.6">
      <c r="A3" s="2905" t="s">
        <v>2997</v>
      </c>
      <c r="B3" s="2906" t="e">
        <f ca="1">ROUND(B2*10000/E2,0)</f>
        <v>#DIV/0!</v>
      </c>
      <c r="C3" s="2905" t="s">
        <v>3003</v>
      </c>
      <c r="D3" s="2907"/>
      <c r="E3" s="2907"/>
    </row>
    <row r="4" spans="1:5" ht="15.6">
      <c r="A4" s="2908"/>
      <c r="B4" s="2907"/>
      <c r="C4" s="2907"/>
      <c r="D4" s="2907"/>
      <c r="E4" s="2907"/>
    </row>
    <row r="5" spans="1:5" ht="31.2">
      <c r="A5" s="2909" t="s">
        <v>2998</v>
      </c>
      <c r="B5" s="2905" t="s">
        <v>2999</v>
      </c>
      <c r="C5" s="2906"/>
      <c r="D5" s="2907"/>
      <c r="E5" s="2905" t="s">
        <v>3000</v>
      </c>
    </row>
    <row r="6" spans="1:5" ht="15.6">
      <c r="A6" s="2910" t="s">
        <v>3001</v>
      </c>
      <c r="B6" s="2906" t="e">
        <f ca="1">SUMIF(INDIRECT("'"&amp;A6&amp;"'"&amp;"!A:A"),"总价",INDIRECT("'"&amp;A6&amp;"'"&amp;"!B:B"))</f>
        <v>#DIV/0!</v>
      </c>
      <c r="C6" s="2905" t="s">
        <v>2995</v>
      </c>
      <c r="D6" s="2907"/>
      <c r="E6" s="2573">
        <f ca="1">SUMIF(INDIRECT("'"&amp;A6&amp;"'"&amp;"!C:C"),"建筑面积",INDIRECT("'"&amp;A6&amp;"'"&amp;"!D:D"))</f>
        <v>0</v>
      </c>
    </row>
    <row r="7" spans="1:5" ht="15.6">
      <c r="A7" s="2910"/>
      <c r="B7" s="2906" t="e">
        <f ca="1">SUMIF(INDIRECT("'"&amp;A7&amp;"'"&amp;"!A:A"),"总价",INDIRECT("'"&amp;A7&amp;"'"&amp;"!B:B"))</f>
        <v>#REF!</v>
      </c>
      <c r="C7" s="2905" t="s">
        <v>2995</v>
      </c>
      <c r="D7" s="2907"/>
      <c r="E7" s="2573" t="e">
        <f t="shared" ref="E7:E13" ca="1" si="0">SUMIF(INDIRECT("'"&amp;A7&amp;"'"&amp;"!C:C"),"建筑面积",INDIRECT("'"&amp;A7&amp;"'"&amp;"!D:D"))</f>
        <v>#REF!</v>
      </c>
    </row>
    <row r="8" spans="1:5" ht="15.6">
      <c r="A8" s="2910"/>
      <c r="B8" s="2906" t="e">
        <f t="shared" ref="B8:B13" ca="1" si="1">SUMIF(INDIRECT("'"&amp;A8&amp;"'"&amp;"!A:A"),"总价",INDIRECT("'"&amp;A8&amp;"'"&amp;"!B:B"))</f>
        <v>#REF!</v>
      </c>
      <c r="C8" s="2905" t="s">
        <v>2995</v>
      </c>
      <c r="D8" s="2907"/>
      <c r="E8" s="2573" t="e">
        <f t="shared" ca="1" si="0"/>
        <v>#REF!</v>
      </c>
    </row>
    <row r="9" spans="1:5" ht="15.6">
      <c r="A9" s="2910"/>
      <c r="B9" s="2906" t="e">
        <f t="shared" ca="1" si="1"/>
        <v>#REF!</v>
      </c>
      <c r="C9" s="2905" t="s">
        <v>2995</v>
      </c>
      <c r="D9" s="2907"/>
      <c r="E9" s="2573" t="e">
        <f t="shared" ca="1" si="0"/>
        <v>#REF!</v>
      </c>
    </row>
    <row r="10" spans="1:5" ht="15.6">
      <c r="A10" s="2910"/>
      <c r="B10" s="2906" t="e">
        <f t="shared" ca="1" si="1"/>
        <v>#REF!</v>
      </c>
      <c r="C10" s="2905" t="s">
        <v>2995</v>
      </c>
      <c r="D10" s="2907"/>
      <c r="E10" s="2573" t="e">
        <f t="shared" ca="1" si="0"/>
        <v>#REF!</v>
      </c>
    </row>
    <row r="11" spans="1:5" ht="15.6">
      <c r="A11" s="2910"/>
      <c r="B11" s="2906" t="e">
        <f t="shared" ca="1" si="1"/>
        <v>#REF!</v>
      </c>
      <c r="C11" s="2905" t="s">
        <v>2995</v>
      </c>
      <c r="D11" s="2907"/>
      <c r="E11" s="2573" t="e">
        <f t="shared" ca="1" si="0"/>
        <v>#REF!</v>
      </c>
    </row>
    <row r="12" spans="1:5" ht="15.6">
      <c r="A12" s="2910"/>
      <c r="B12" s="2906" t="e">
        <f t="shared" ca="1" si="1"/>
        <v>#REF!</v>
      </c>
      <c r="C12" s="2905" t="s">
        <v>2995</v>
      </c>
      <c r="D12" s="2907"/>
      <c r="E12" s="2573" t="e">
        <f t="shared" ca="1" si="0"/>
        <v>#REF!</v>
      </c>
    </row>
    <row r="13" spans="1:5" ht="15.6">
      <c r="A13" s="2910"/>
      <c r="B13" s="2906" t="e">
        <f t="shared" ca="1" si="1"/>
        <v>#REF!</v>
      </c>
      <c r="C13" s="2905" t="s">
        <v>2995</v>
      </c>
      <c r="D13" s="2907"/>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8" t="s">
        <v>1150</v>
      </c>
      <c r="C1" s="3298"/>
      <c r="D1" s="3298"/>
      <c r="E1" s="3298"/>
      <c r="F1" s="3298"/>
      <c r="G1" s="3294" t="s">
        <v>1151</v>
      </c>
      <c r="H1" s="3294"/>
      <c r="I1" s="3294"/>
      <c r="J1" s="3294"/>
      <c r="K1" s="3294"/>
      <c r="L1" s="3294"/>
      <c r="N1" s="3294" t="s">
        <v>1152</v>
      </c>
      <c r="O1" s="3294"/>
      <c r="P1" s="3294"/>
      <c r="Q1" s="3294"/>
      <c r="R1" s="1446"/>
      <c r="S1" s="3294" t="s">
        <v>1153</v>
      </c>
      <c r="T1" s="3294"/>
      <c r="U1" s="3294"/>
      <c r="V1" s="3294"/>
      <c r="X1" s="3293" t="s">
        <v>1154</v>
      </c>
      <c r="Y1" s="3294"/>
      <c r="Z1" s="3294"/>
      <c r="AA1" s="3294"/>
      <c r="AB1" s="3294"/>
      <c r="AD1" s="3293" t="s">
        <v>1155</v>
      </c>
      <c r="AE1" s="3294"/>
      <c r="AF1" s="3294"/>
      <c r="AG1" s="3294"/>
      <c r="AH1" s="3294"/>
    </row>
    <row r="2" spans="1:34" s="1447" customFormat="1" ht="1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4">
      <c r="A3" s="2933" t="s">
        <v>3037</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4">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36">
        <v>2018</v>
      </c>
      <c r="H5" s="1730">
        <v>3</v>
      </c>
      <c r="I5" s="2919">
        <v>0</v>
      </c>
      <c r="J5" s="2919">
        <v>0</v>
      </c>
      <c r="K5" s="2919">
        <v>0</v>
      </c>
      <c r="L5" s="2919">
        <v>0</v>
      </c>
      <c r="N5" s="1467">
        <f>I5/100</f>
        <v>0</v>
      </c>
      <c r="O5" s="1467">
        <f t="shared" ref="O5" si="7">J5/100</f>
        <v>0</v>
      </c>
      <c r="P5" s="1467">
        <f t="shared" ref="P5" si="8">K5/100</f>
        <v>0</v>
      </c>
      <c r="Q5" s="1467">
        <f t="shared" ref="Q5" si="9">L5/100</f>
        <v>0</v>
      </c>
      <c r="R5" s="1732"/>
      <c r="S5" s="1733"/>
      <c r="T5" s="1732"/>
      <c r="U5" s="1732"/>
      <c r="V5" s="1732"/>
      <c r="W5" s="2923" t="s">
        <v>3038</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8" thickBot="1">
      <c r="A6" s="1461" t="s">
        <v>3045</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8" thickBot="1">
      <c r="A7" s="1461" t="s">
        <v>3036</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3033</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8" thickBot="1">
      <c r="A9" s="1461" t="s">
        <v>3034</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8" thickBot="1">
      <c r="A11" s="1461" t="s">
        <v>1161</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99">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96"/>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96"/>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8"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97"/>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8" thickBot="1">
      <c r="A16" s="1461" t="s">
        <v>151</v>
      </c>
      <c r="B16" s="1469">
        <v>333</v>
      </c>
      <c r="C16" s="1469">
        <v>277</v>
      </c>
      <c r="D16" s="1469">
        <f t="shared" si="54"/>
        <v>277</v>
      </c>
      <c r="E16" s="1469">
        <v>459</v>
      </c>
      <c r="F16" s="1470">
        <v>249</v>
      </c>
      <c r="G16" s="3295">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96"/>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96"/>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97"/>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8" thickBot="1">
      <c r="A20" s="1461" t="s">
        <v>147</v>
      </c>
      <c r="B20" s="1490">
        <v>318</v>
      </c>
      <c r="C20" s="1490">
        <v>268</v>
      </c>
      <c r="D20" s="1490">
        <f t="shared" si="54"/>
        <v>268</v>
      </c>
      <c r="E20" s="1490">
        <v>437</v>
      </c>
      <c r="F20" s="1491">
        <v>237</v>
      </c>
      <c r="G20" s="3295">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96"/>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8"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96"/>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8"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97"/>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8" thickBot="1">
      <c r="A24" s="1461" t="s">
        <v>1163</v>
      </c>
      <c r="B24" s="1469">
        <v>299</v>
      </c>
      <c r="C24" s="1469">
        <v>252</v>
      </c>
      <c r="D24" s="1469">
        <f t="shared" si="54"/>
        <v>252</v>
      </c>
      <c r="E24" s="1469">
        <v>409</v>
      </c>
      <c r="F24" s="1470">
        <v>227</v>
      </c>
      <c r="G24" s="3300">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01"/>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01"/>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02"/>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8" thickBot="1">
      <c r="A28" s="1461" t="s">
        <v>1167</v>
      </c>
      <c r="B28" s="1511">
        <v>278</v>
      </c>
      <c r="C28" s="1511">
        <v>234</v>
      </c>
      <c r="D28" s="1511">
        <f t="shared" si="54"/>
        <v>234</v>
      </c>
      <c r="E28" s="1511">
        <v>379</v>
      </c>
      <c r="F28" s="1512">
        <v>220</v>
      </c>
      <c r="G28" s="3295">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96"/>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96"/>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8" thickBot="1">
      <c r="A31" s="1461" t="s">
        <v>1170</v>
      </c>
      <c r="B31" s="1477">
        <f>B30/(1+N30)</f>
        <v>275.19025476197027</v>
      </c>
      <c r="C31" s="1513">
        <v>232</v>
      </c>
      <c r="D31" s="1513">
        <f t="shared" si="54"/>
        <v>232</v>
      </c>
      <c r="E31" s="1477">
        <f t="shared" si="65"/>
        <v>375.65990977608692</v>
      </c>
      <c r="F31" s="1477">
        <f t="shared" si="65"/>
        <v>214.12518283971252</v>
      </c>
      <c r="G31" s="3297"/>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8" thickBot="1">
      <c r="A32" s="1461" t="s">
        <v>1171</v>
      </c>
      <c r="B32" s="1469">
        <v>275</v>
      </c>
      <c r="C32" s="1469">
        <v>232</v>
      </c>
      <c r="D32" s="1469">
        <f t="shared" si="54"/>
        <v>232</v>
      </c>
      <c r="E32" s="1469">
        <v>376</v>
      </c>
      <c r="F32" s="1470">
        <v>213</v>
      </c>
      <c r="G32" s="3295">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96">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96">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8"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97">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8" thickBot="1">
      <c r="A36" s="1461" t="s">
        <v>1175</v>
      </c>
      <c r="B36" s="1469">
        <v>269</v>
      </c>
      <c r="C36" s="1469">
        <v>221</v>
      </c>
      <c r="D36" s="1469">
        <f t="shared" si="54"/>
        <v>221</v>
      </c>
      <c r="E36" s="1469">
        <v>373</v>
      </c>
      <c r="F36" s="1470">
        <v>196</v>
      </c>
      <c r="G36" s="3295">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96">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96">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8"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97">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8" thickBot="1">
      <c r="A40" s="1461" t="s">
        <v>1179</v>
      </c>
      <c r="B40" s="1469">
        <v>220</v>
      </c>
      <c r="C40" s="1469">
        <v>187</v>
      </c>
      <c r="D40" s="1469">
        <f t="shared" si="54"/>
        <v>187</v>
      </c>
      <c r="E40" s="1469">
        <v>301</v>
      </c>
      <c r="F40" s="1470">
        <v>168</v>
      </c>
      <c r="G40" s="3295">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96">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96">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97">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8" thickBot="1">
      <c r="A44" s="1461" t="s">
        <v>1183</v>
      </c>
      <c r="B44" s="1511">
        <v>214</v>
      </c>
      <c r="C44" s="1511">
        <v>188</v>
      </c>
      <c r="D44" s="1511">
        <f t="shared" si="54"/>
        <v>188</v>
      </c>
      <c r="E44" s="1511">
        <v>289</v>
      </c>
      <c r="F44" s="1512">
        <v>166</v>
      </c>
      <c r="G44" s="3295">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96">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96">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8"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97">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8" thickBot="1">
      <c r="A48" s="1461" t="s">
        <v>1187</v>
      </c>
      <c r="B48" s="1469">
        <v>188</v>
      </c>
      <c r="C48" s="1469">
        <v>165</v>
      </c>
      <c r="D48" s="1469">
        <f t="shared" si="54"/>
        <v>165</v>
      </c>
      <c r="E48" s="1469">
        <v>254</v>
      </c>
      <c r="F48" s="1470">
        <v>148</v>
      </c>
      <c r="G48" s="3295">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96">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96">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97">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8" thickBot="1">
      <c r="A52" s="1461" t="s">
        <v>1191</v>
      </c>
      <c r="B52" s="1490">
        <v>159</v>
      </c>
      <c r="C52" s="1490">
        <v>141</v>
      </c>
      <c r="D52" s="1490">
        <f t="shared" si="54"/>
        <v>141</v>
      </c>
      <c r="E52" s="1490">
        <v>195</v>
      </c>
      <c r="F52" s="1491">
        <v>122</v>
      </c>
      <c r="G52" s="3295">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96">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96">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97">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8" thickBot="1">
      <c r="A56" s="1461" t="s">
        <v>1195</v>
      </c>
      <c r="B56" s="1490">
        <v>138</v>
      </c>
      <c r="C56" s="1490">
        <v>131</v>
      </c>
      <c r="D56" s="1490">
        <f t="shared" si="54"/>
        <v>131</v>
      </c>
      <c r="E56" s="1490">
        <v>155</v>
      </c>
      <c r="F56" s="1491">
        <v>114</v>
      </c>
      <c r="G56" s="3295">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96">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96">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97">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8" thickBot="1">
      <c r="A60" s="1461" t="s">
        <v>1199</v>
      </c>
      <c r="B60" s="1511">
        <v>121</v>
      </c>
      <c r="C60" s="1511">
        <v>122</v>
      </c>
      <c r="D60" s="1511">
        <f t="shared" si="54"/>
        <v>122</v>
      </c>
      <c r="E60" s="1511">
        <v>124</v>
      </c>
      <c r="F60" s="1512">
        <v>107</v>
      </c>
      <c r="G60" s="3295">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96">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96">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8"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97">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8" thickBot="1">
      <c r="A64" s="1461" t="s">
        <v>1203</v>
      </c>
      <c r="B64" s="1532">
        <v>111</v>
      </c>
      <c r="C64" s="1532">
        <v>114</v>
      </c>
      <c r="D64" s="1532">
        <f t="shared" si="54"/>
        <v>114</v>
      </c>
      <c r="E64" s="1532">
        <v>108</v>
      </c>
      <c r="F64" s="1533">
        <v>104</v>
      </c>
      <c r="G64" s="3295">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96">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96">
        <v>2003</v>
      </c>
      <c r="H66" s="1465">
        <v>2</v>
      </c>
      <c r="I66" s="1534"/>
      <c r="J66" s="1534"/>
      <c r="K66" s="1534"/>
      <c r="L66" s="1534"/>
      <c r="X66" s="1526"/>
      <c r="Y66" s="1526"/>
      <c r="Z66" s="1526"/>
    </row>
    <row r="67" spans="1:26" ht="13.8" thickBot="1">
      <c r="A67" s="1461" t="s">
        <v>1206</v>
      </c>
      <c r="B67" s="1536">
        <f t="shared" si="90"/>
        <v>107.25</v>
      </c>
      <c r="C67" s="1536">
        <f t="shared" si="90"/>
        <v>108.75</v>
      </c>
      <c r="D67" s="1536">
        <f t="shared" si="54"/>
        <v>108.75</v>
      </c>
      <c r="E67" s="1536">
        <f t="shared" si="91"/>
        <v>105.75</v>
      </c>
      <c r="F67" s="1536">
        <f t="shared" si="91"/>
        <v>102.5</v>
      </c>
      <c r="G67" s="3297">
        <v>2003</v>
      </c>
      <c r="H67" s="1537">
        <v>1</v>
      </c>
      <c r="I67" s="1534"/>
      <c r="J67" s="1534"/>
      <c r="K67" s="1534"/>
      <c r="L67" s="1534"/>
      <c r="S67" s="1472"/>
      <c r="T67" s="1473"/>
      <c r="U67" s="1473"/>
      <c r="X67" s="1526"/>
      <c r="Y67" s="1526"/>
      <c r="Z67" s="1526"/>
    </row>
    <row r="68" spans="1:26" ht="13.8" thickBot="1">
      <c r="A68" s="1461" t="s">
        <v>1207</v>
      </c>
      <c r="B68" s="1538">
        <v>106</v>
      </c>
      <c r="C68" s="1538">
        <v>107</v>
      </c>
      <c r="D68" s="1538">
        <f t="shared" si="54"/>
        <v>107</v>
      </c>
      <c r="E68" s="1538">
        <v>105</v>
      </c>
      <c r="F68" s="1539">
        <v>102</v>
      </c>
      <c r="G68" s="3295">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96">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96">
        <v>2002</v>
      </c>
      <c r="H70" s="1465">
        <v>2</v>
      </c>
      <c r="I70" s="1534"/>
      <c r="J70" s="1534"/>
      <c r="K70" s="1534"/>
      <c r="L70" s="1534"/>
      <c r="X70" s="1526"/>
      <c r="Y70" s="1526"/>
      <c r="Z70" s="1526"/>
    </row>
    <row r="71" spans="1:26" s="1498" customFormat="1" ht="13.8" thickBot="1">
      <c r="A71" s="1494" t="s">
        <v>1210</v>
      </c>
      <c r="B71" s="1540">
        <f t="shared" si="92"/>
        <v>103</v>
      </c>
      <c r="C71" s="1540">
        <f t="shared" si="92"/>
        <v>104</v>
      </c>
      <c r="D71" s="1540">
        <f t="shared" si="54"/>
        <v>104</v>
      </c>
      <c r="E71" s="1540">
        <f t="shared" si="93"/>
        <v>103.5</v>
      </c>
      <c r="F71" s="1540">
        <f t="shared" si="93"/>
        <v>100.5</v>
      </c>
      <c r="G71" s="3297">
        <v>2002</v>
      </c>
      <c r="H71" s="1541">
        <v>1</v>
      </c>
      <c r="I71" s="1542"/>
      <c r="J71" s="1542"/>
      <c r="K71" s="1542"/>
      <c r="L71" s="1542"/>
      <c r="N71" s="1543"/>
      <c r="S71" s="1543"/>
      <c r="X71" s="1544"/>
      <c r="Y71" s="1544"/>
      <c r="Z71" s="1544"/>
    </row>
    <row r="72" spans="1:26" ht="13.8"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8"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8"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4" t="s">
        <v>3005</v>
      </c>
      <c r="D1" s="3305"/>
      <c r="E1" s="3305"/>
      <c r="F1" s="3305"/>
      <c r="G1" s="3305"/>
      <c r="H1" s="3305"/>
      <c r="I1" s="3305"/>
      <c r="J1" s="3305"/>
      <c r="K1" s="3305"/>
      <c r="L1" s="3305"/>
      <c r="M1" s="3305"/>
      <c r="N1" s="3305"/>
      <c r="O1" s="3305"/>
      <c r="P1" s="3305"/>
      <c r="Q1" s="3305"/>
      <c r="R1" s="3305"/>
      <c r="S1" s="3306"/>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2"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83" t="s">
        <v>33</v>
      </c>
      <c r="D22" s="3084"/>
      <c r="E22" s="3084"/>
      <c r="F22" s="3084"/>
      <c r="G22" s="3084"/>
      <c r="H22" s="3084"/>
      <c r="I22" s="3084"/>
      <c r="J22" s="3084"/>
      <c r="K22" s="3084"/>
      <c r="L22" s="3084"/>
      <c r="M22" s="3084"/>
      <c r="N22" s="3084"/>
      <c r="O22" s="3084"/>
      <c r="P22" s="3084"/>
      <c r="Q22" s="330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46441</v>
      </c>
      <c r="C2" s="2" t="s">
        <v>133</v>
      </c>
      <c r="D2" s="243"/>
      <c r="E2" s="243"/>
      <c r="F2" s="243"/>
      <c r="G2" s="243"/>
    </row>
    <row r="3" spans="1:7" s="244" customFormat="1" ht="18" customHeight="1" thickBot="1">
      <c r="A3" s="247" t="s">
        <v>85</v>
      </c>
      <c r="B3" s="248">
        <f ca="1">ROUND(B2*10000/'数据-汇总表'!E3,0)</f>
        <v>5353</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442</v>
      </c>
      <c r="D9" s="1032">
        <f>'数据-汇总表'!E5</f>
        <v>73599.890000000087</v>
      </c>
      <c r="E9" s="269">
        <f>'数据-取费表'!B27</f>
        <v>60</v>
      </c>
      <c r="F9" s="265"/>
      <c r="G9" s="270"/>
    </row>
    <row r="10" spans="1:7" s="258" customFormat="1" ht="13.5" customHeight="1">
      <c r="A10" s="950" t="s">
        <v>801</v>
      </c>
      <c r="B10" s="268" t="s">
        <v>94</v>
      </c>
      <c r="C10" s="269">
        <f>ROUND(D10*E10/10000,0)</f>
        <v>145</v>
      </c>
      <c r="D10" s="1032">
        <f>'数据-汇总表'!E6</f>
        <v>13153.630000000077</v>
      </c>
      <c r="E10" s="269">
        <f>'数据-取费表'!B28</f>
        <v>110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1735</v>
      </c>
      <c r="D19" s="1036">
        <f>'数据-汇总表'!E3</f>
        <v>86753.520000000164</v>
      </c>
      <c r="E19" s="255">
        <f>'数据-取费表'!B31</f>
        <v>200</v>
      </c>
      <c r="F19" s="275"/>
      <c r="G19" s="1" t="s">
        <v>1074</v>
      </c>
    </row>
    <row r="20" spans="1:7" s="258" customFormat="1" ht="13.5" customHeight="1">
      <c r="A20" s="948" t="s">
        <v>1057</v>
      </c>
      <c r="B20" s="254" t="s">
        <v>104</v>
      </c>
      <c r="C20" s="276">
        <f>ROUND((C5+C19)*F20,0)</f>
        <v>447</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1627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1486</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125</v>
      </c>
      <c r="D24" s="282"/>
      <c r="E24" s="282"/>
      <c r="F24" s="283"/>
      <c r="G24" s="284" t="s">
        <v>109</v>
      </c>
    </row>
    <row r="25" spans="1:7" s="258" customFormat="1" ht="24">
      <c r="A25" s="951" t="s">
        <v>793</v>
      </c>
      <c r="B25" s="259" t="s">
        <v>1058</v>
      </c>
      <c r="C25" s="1355">
        <f ca="1">ROUND(IF('数据-取费表'!B22&lt;=1,C20*F22*'数据-取费表'!B23/2,C20*(POWER((1+F22),'数据-取费表'!B23/2)-1)),0)</f>
        <v>16</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6.4">
      <c r="A27" s="948" t="s">
        <v>787</v>
      </c>
      <c r="B27" s="288" t="s">
        <v>112</v>
      </c>
      <c r="C27" s="289">
        <f>C28</f>
        <v>1709</v>
      </c>
      <c r="D27" s="279">
        <f>C29</f>
        <v>1.5E-3</v>
      </c>
      <c r="E27" s="280" t="s">
        <v>126</v>
      </c>
      <c r="F27" s="290">
        <f>'数据-取费表'!Q16</f>
        <v>0.15</v>
      </c>
      <c r="G27" s="291" t="s">
        <v>1069</v>
      </c>
    </row>
    <row r="28" spans="1:7" s="258" customFormat="1" ht="13.5" customHeight="1">
      <c r="A28" s="951" t="s">
        <v>794</v>
      </c>
      <c r="B28" s="292" t="s">
        <v>1062</v>
      </c>
      <c r="C28" s="293">
        <f>ROUND((C5+C19+C20)*F27*'数据-取费表'!B21/'数据-取费表'!B20,0)</f>
        <v>1709</v>
      </c>
      <c r="D28" s="279"/>
      <c r="E28" s="280"/>
      <c r="F28" s="290"/>
      <c r="G28" s="291"/>
    </row>
    <row r="29" spans="1:7" s="258" customFormat="1" ht="13.5" customHeight="1">
      <c r="A29" s="951" t="s">
        <v>792</v>
      </c>
      <c r="B29" s="292" t="s">
        <v>1063</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28263</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13876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12272</v>
      </c>
      <c r="D34" s="261"/>
      <c r="E34" s="264"/>
      <c r="F34" s="301">
        <f>IF('数据-取费表'!B24=0,1,'数据-取费表'!N16)</f>
        <v>0.48799999999999999</v>
      </c>
      <c r="G34" s="263" t="s">
        <v>116</v>
      </c>
    </row>
    <row r="35" spans="1:7" ht="13.5" customHeight="1">
      <c r="A35" s="951" t="s">
        <v>796</v>
      </c>
      <c r="B35" s="259" t="s">
        <v>60</v>
      </c>
      <c r="C35" s="264">
        <f>ROUND(C34*F35,0)</f>
        <v>368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205</v>
      </c>
      <c r="D36" s="264"/>
      <c r="E36" s="264"/>
      <c r="F36" s="303">
        <f>'数据-取费表'!B34</f>
        <v>0.02</v>
      </c>
      <c r="G36" s="304" t="s">
        <v>62</v>
      </c>
    </row>
    <row r="37" spans="1:7" s="302" customFormat="1" ht="13.5" customHeight="1">
      <c r="A37" s="951" t="s">
        <v>798</v>
      </c>
      <c r="B37" s="259" t="s">
        <v>118</v>
      </c>
      <c r="C37" s="293">
        <f>ROUND(E37*D37*F34/10000,0)</f>
        <v>847</v>
      </c>
      <c r="D37" s="261">
        <f>'数据-汇总表'!E3</f>
        <v>86753.520000000164</v>
      </c>
      <c r="E37" s="293">
        <f>'数据-取费表'!B35</f>
        <v>200</v>
      </c>
      <c r="F37" s="303"/>
      <c r="G37" s="305" t="s">
        <v>119</v>
      </c>
    </row>
    <row r="38" spans="1:7" ht="13.5" customHeight="1">
      <c r="A38" s="951" t="s">
        <v>799</v>
      </c>
      <c r="B38" s="259" t="s">
        <v>63</v>
      </c>
      <c r="C38" s="264">
        <f>ROUND(C34*F38,0)</f>
        <v>184</v>
      </c>
      <c r="D38" s="264"/>
      <c r="E38" s="264"/>
      <c r="F38" s="303">
        <f>'数据-取费表'!B36</f>
        <v>1.4999999999999999E-2</v>
      </c>
      <c r="G38" s="263" t="s">
        <v>117</v>
      </c>
    </row>
    <row r="39" spans="1:7" s="258" customFormat="1" ht="13.5" customHeight="1">
      <c r="A39" s="948" t="s">
        <v>783</v>
      </c>
      <c r="B39" s="254" t="s">
        <v>104</v>
      </c>
      <c r="C39" s="276">
        <f>ROUND(C33*F20,0)</f>
        <v>278</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501</v>
      </c>
      <c r="D41" s="279">
        <f ca="1">C44</f>
        <v>6.9999999999999999E-4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491</v>
      </c>
      <c r="D42" s="282"/>
      <c r="E42" s="282"/>
      <c r="F42" s="283"/>
      <c r="G42" s="3168" t="s">
        <v>121</v>
      </c>
    </row>
    <row r="43" spans="1:7" ht="13.5" customHeight="1">
      <c r="A43" s="951" t="s">
        <v>792</v>
      </c>
      <c r="B43" s="259" t="s">
        <v>1064</v>
      </c>
      <c r="C43" s="282">
        <f ca="1">ROUND(IF('数据-取费表'!B22&lt;=1,C39*F22*'数据-取费表'!B21/2,C39*(POWER((1+F22),'数据-取费表'!B21/2)-1)),0)</f>
        <v>10</v>
      </c>
      <c r="D43" s="282"/>
      <c r="E43" s="282"/>
      <c r="F43" s="283"/>
      <c r="G43" s="3169"/>
    </row>
    <row r="44" spans="1:7" ht="13.5" customHeight="1">
      <c r="A44" s="951" t="s">
        <v>793</v>
      </c>
      <c r="B44" s="259" t="s">
        <v>1066</v>
      </c>
      <c r="C44" s="282">
        <f ca="1">ROUND(IF('数据-取费表'!B22&lt;=1,C40*F22*'数据-取费表'!B21/2,C40*(POWER((1+F22),'数据-取费表'!B21/2)-1)),4)</f>
        <v>6.9999999999999999E-4</v>
      </c>
      <c r="D44" s="282"/>
      <c r="E44" s="282"/>
      <c r="F44" s="283"/>
      <c r="G44" s="3170"/>
    </row>
    <row r="45" spans="1:7" s="258" customFormat="1" ht="13.5" customHeight="1">
      <c r="A45" s="948" t="s">
        <v>786</v>
      </c>
      <c r="B45" s="288" t="s">
        <v>112</v>
      </c>
      <c r="C45" s="289">
        <f>C46</f>
        <v>2123</v>
      </c>
      <c r="D45" s="279">
        <f>C47</f>
        <v>3.0000000000000001E-3</v>
      </c>
      <c r="E45" s="280" t="s">
        <v>129</v>
      </c>
      <c r="F45" s="290"/>
      <c r="G45" s="291" t="s">
        <v>1072</v>
      </c>
    </row>
    <row r="46" spans="1:7" s="258" customFormat="1" ht="13.5" customHeight="1">
      <c r="A46" s="951" t="s">
        <v>794</v>
      </c>
      <c r="B46" s="292" t="s">
        <v>1065</v>
      </c>
      <c r="C46" s="293">
        <f>ROUND((C33+C39)*F27,0)</f>
        <v>2123</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18178</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18178</v>
      </c>
      <c r="D51" s="276"/>
      <c r="E51" s="276"/>
      <c r="F51" s="308"/>
      <c r="G51" s="278" t="s">
        <v>64</v>
      </c>
    </row>
    <row r="52" spans="1:7" s="252" customFormat="1" ht="16.8" thickBot="1">
      <c r="A52" s="309" t="s">
        <v>65</v>
      </c>
      <c r="B52" s="310"/>
      <c r="C52" s="311">
        <f ca="1">C31+C51</f>
        <v>46441</v>
      </c>
      <c r="D52" s="310"/>
      <c r="E52" s="310"/>
      <c r="F52" s="310"/>
      <c r="G52" s="312"/>
    </row>
    <row r="55" spans="1:7" ht="15">
      <c r="B55" s="314" t="s">
        <v>66</v>
      </c>
      <c r="C55" s="315"/>
    </row>
    <row r="56" spans="1:7">
      <c r="B56" s="317" t="s">
        <v>67</v>
      </c>
      <c r="C56" s="318">
        <f ca="1">ROUND(C51/C52,3)</f>
        <v>0.39100000000000001</v>
      </c>
    </row>
    <row r="57" spans="1:7">
      <c r="B57" s="317" t="s">
        <v>68</v>
      </c>
      <c r="C57" s="319">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7" t="s">
        <v>156</v>
      </c>
      <c r="B1" s="3307"/>
      <c r="C1" s="3307"/>
      <c r="D1" s="3307"/>
      <c r="E1" s="3307"/>
      <c r="F1" s="330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8" t="s">
        <v>169</v>
      </c>
      <c r="B2" s="3308"/>
      <c r="C2" s="3308"/>
      <c r="D2" s="3308"/>
      <c r="E2" s="3308"/>
      <c r="F2" s="330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7" t="s">
        <v>871</v>
      </c>
      <c r="B1" s="3307"/>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1300</v>
      </c>
      <c r="C1" s="1694">
        <f>项目基本情况!D3</f>
        <v>43356</v>
      </c>
      <c r="D1" s="1700" t="s">
        <v>1301</v>
      </c>
      <c r="E1" s="1695">
        <f>'数据-取费表'!B22</f>
        <v>3</v>
      </c>
      <c r="F1" s="1700" t="s">
        <v>1302</v>
      </c>
      <c r="G1" s="1696">
        <f ca="1">INDIRECT("d"&amp;$K$1)/100</f>
        <v>4.7500000000000001E-2</v>
      </c>
      <c r="H1" s="1700" t="s">
        <v>1332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1372</v>
      </c>
      <c r="E1" s="1776" t="s">
        <v>1376</v>
      </c>
      <c r="F1" s="1777" t="s">
        <v>1380</v>
      </c>
    </row>
    <row r="2" spans="1:13" ht="19.8">
      <c r="A2" s="1783" t="s">
        <v>1373</v>
      </c>
    </row>
    <row r="3" spans="1:13" ht="15.6">
      <c r="A3" s="1784" t="s">
        <v>1374</v>
      </c>
    </row>
    <row r="4" spans="1:13">
      <c r="A4" s="1774" t="s">
        <v>1375</v>
      </c>
      <c r="B4" s="1779" t="s">
        <v>1377</v>
      </c>
      <c r="C4" s="1780"/>
      <c r="D4" s="1781"/>
      <c r="E4" s="1779" t="s">
        <v>27</v>
      </c>
      <c r="F4" s="1780"/>
      <c r="G4" s="1781"/>
      <c r="H4" s="1779" t="s">
        <v>1378</v>
      </c>
      <c r="I4" s="1780"/>
      <c r="J4" s="1781"/>
      <c r="K4" s="1779" t="s">
        <v>6</v>
      </c>
      <c r="L4" s="1780"/>
      <c r="M4" s="1781"/>
    </row>
    <row r="5" spans="1:13">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workbookViewId="0">
      <pane xSplit="1" ySplit="2" topLeftCell="B7" activePane="bottomRight" state="frozen"/>
      <selection pane="topRight" activeCell="B1" sqref="B1"/>
      <selection pane="bottomLeft" activeCell="A3" sqref="A3"/>
      <selection pane="bottomRight" activeCell="AK7" sqref="AK7:AK8"/>
    </sheetView>
  </sheetViews>
  <sheetFormatPr defaultRowHeight="14.4"/>
  <cols>
    <col min="1" max="1" width="21.6640625" customWidth="1"/>
    <col min="6" max="6" width="17.44140625" customWidth="1"/>
    <col min="12" max="12" width="12.88671875" customWidth="1"/>
  </cols>
  <sheetData>
    <row r="1" spans="1:45" s="2945" customFormat="1" ht="25.5" customHeight="1">
      <c r="A1" s="2945" t="s">
        <v>3099</v>
      </c>
      <c r="B1" s="2945" t="s">
        <v>3100</v>
      </c>
      <c r="C1" s="2945" t="s">
        <v>3101</v>
      </c>
      <c r="D1" s="2945" t="s">
        <v>3102</v>
      </c>
      <c r="E1" s="2945" t="s">
        <v>3103</v>
      </c>
      <c r="F1" s="2945" t="s">
        <v>3104</v>
      </c>
      <c r="G1" s="2945" t="s">
        <v>3105</v>
      </c>
      <c r="H1" s="2945" t="s">
        <v>3106</v>
      </c>
      <c r="I1" s="2945" t="s">
        <v>3107</v>
      </c>
      <c r="J1" s="2945" t="s">
        <v>3108</v>
      </c>
      <c r="K1" s="2945" t="s">
        <v>3109</v>
      </c>
      <c r="L1" s="2945" t="s">
        <v>3110</v>
      </c>
      <c r="M1" s="2945" t="s">
        <v>3111</v>
      </c>
      <c r="N1" s="2945" t="s">
        <v>3112</v>
      </c>
      <c r="O1" s="2945" t="s">
        <v>3113</v>
      </c>
      <c r="P1" s="2945" t="s">
        <v>3114</v>
      </c>
      <c r="Q1" s="2945" t="s">
        <v>3115</v>
      </c>
      <c r="R1" s="2945" t="s">
        <v>3116</v>
      </c>
      <c r="S1" s="2945" t="s">
        <v>3117</v>
      </c>
      <c r="T1" s="2945" t="s">
        <v>3118</v>
      </c>
      <c r="U1" s="2945" t="s">
        <v>3119</v>
      </c>
      <c r="V1" s="2945" t="s">
        <v>3120</v>
      </c>
      <c r="W1" s="2945" t="s">
        <v>3121</v>
      </c>
      <c r="X1" s="2945" t="s">
        <v>3122</v>
      </c>
      <c r="Y1" s="2945" t="s">
        <v>3123</v>
      </c>
      <c r="Z1" s="2945" t="s">
        <v>3124</v>
      </c>
      <c r="AA1" s="2945" t="s">
        <v>3125</v>
      </c>
      <c r="AB1" s="2945" t="s">
        <v>3126</v>
      </c>
      <c r="AC1" s="2945" t="s">
        <v>3127</v>
      </c>
      <c r="AD1" s="2945" t="s">
        <v>3128</v>
      </c>
      <c r="AE1" s="2945" t="s">
        <v>3129</v>
      </c>
      <c r="AF1" s="2945" t="s">
        <v>3130</v>
      </c>
      <c r="AG1" s="2945" t="s">
        <v>3131</v>
      </c>
      <c r="AH1" s="2945" t="s">
        <v>3132</v>
      </c>
      <c r="AI1" s="2945" t="s">
        <v>3133</v>
      </c>
      <c r="AJ1" s="2945" t="s">
        <v>3134</v>
      </c>
      <c r="AK1" s="2945" t="s">
        <v>3135</v>
      </c>
      <c r="AL1" s="2945" t="s">
        <v>3136</v>
      </c>
      <c r="AM1" s="2945" t="s">
        <v>3137</v>
      </c>
      <c r="AN1" s="2945" t="s">
        <v>3138</v>
      </c>
      <c r="AO1" s="2945" t="s">
        <v>3139</v>
      </c>
      <c r="AP1" s="2945" t="s">
        <v>3140</v>
      </c>
      <c r="AQ1" s="2945" t="s">
        <v>3141</v>
      </c>
      <c r="AR1" s="2945" t="s">
        <v>3142</v>
      </c>
      <c r="AS1" s="2946" t="s">
        <v>3143</v>
      </c>
    </row>
    <row r="2" spans="1:45" s="1635" customFormat="1" hidden="1">
      <c r="A2" s="1635" t="s">
        <v>3144</v>
      </c>
      <c r="B2" s="1635" t="s">
        <v>3145</v>
      </c>
      <c r="C2" s="1635" t="s">
        <v>3146</v>
      </c>
      <c r="D2" s="1635" t="s">
        <v>3147</v>
      </c>
      <c r="E2" s="1635" t="s">
        <v>1331</v>
      </c>
      <c r="F2" s="1635" t="s">
        <v>3144</v>
      </c>
      <c r="G2" s="1635" t="s">
        <v>3148</v>
      </c>
      <c r="H2" s="1635" t="s">
        <v>3149</v>
      </c>
      <c r="I2" s="1635" t="s">
        <v>3150</v>
      </c>
      <c r="J2" s="1635">
        <v>100671</v>
      </c>
      <c r="K2" s="1635">
        <v>352348.5</v>
      </c>
      <c r="L2" s="1635" t="s">
        <v>3151</v>
      </c>
      <c r="M2" s="1635" t="s">
        <v>1331</v>
      </c>
      <c r="N2" s="1635" t="s">
        <v>1331</v>
      </c>
      <c r="O2" s="1635" t="s">
        <v>1331</v>
      </c>
      <c r="P2" s="1635" t="s">
        <v>1331</v>
      </c>
      <c r="Q2" s="1635" t="s">
        <v>1331</v>
      </c>
      <c r="R2" s="1635" t="s">
        <v>1331</v>
      </c>
      <c r="S2" s="1635" t="s">
        <v>1331</v>
      </c>
      <c r="T2" s="1635" t="s">
        <v>1331</v>
      </c>
      <c r="U2" s="1635" t="s">
        <v>1331</v>
      </c>
      <c r="V2" s="1635" t="s">
        <v>1331</v>
      </c>
      <c r="W2" s="1635" t="s">
        <v>3152</v>
      </c>
      <c r="X2" s="1635" t="s">
        <v>3153</v>
      </c>
      <c r="Y2" s="1635" t="s">
        <v>3154</v>
      </c>
      <c r="Z2" s="1635" t="s">
        <v>3154</v>
      </c>
      <c r="AA2" s="1635" t="s">
        <v>3154</v>
      </c>
      <c r="AB2" s="1635" t="s">
        <v>3155</v>
      </c>
      <c r="AC2" s="1635" t="s">
        <v>3156</v>
      </c>
      <c r="AD2" s="1635" t="s">
        <v>3157</v>
      </c>
      <c r="AE2" s="1635">
        <v>18000</v>
      </c>
      <c r="AF2" s="1635">
        <v>90000</v>
      </c>
      <c r="AG2" s="1635">
        <v>90200</v>
      </c>
      <c r="AH2" s="1635">
        <v>596</v>
      </c>
      <c r="AI2" s="1635">
        <v>597.33000000000004</v>
      </c>
      <c r="AJ2" s="1635">
        <v>2554.2800000000002</v>
      </c>
      <c r="AK2" s="1635">
        <v>2559.96</v>
      </c>
      <c r="AL2" s="1635" t="s">
        <v>1331</v>
      </c>
      <c r="AM2" s="1635" t="s">
        <v>1331</v>
      </c>
      <c r="AN2" s="1635">
        <v>0.22</v>
      </c>
      <c r="AO2" s="1635" t="s">
        <v>3158</v>
      </c>
      <c r="AP2" s="1635" t="s">
        <v>1331</v>
      </c>
      <c r="AQ2" s="1635" t="s">
        <v>1331</v>
      </c>
      <c r="AR2" s="1635" t="s">
        <v>1331</v>
      </c>
      <c r="AS2" s="1635">
        <f>ROUND(AG2/J2*10000,0)</f>
        <v>8960</v>
      </c>
    </row>
    <row r="3" spans="1:45" s="1635" customFormat="1">
      <c r="A3" s="1635" t="s">
        <v>3159</v>
      </c>
      <c r="B3" s="1635" t="s">
        <v>3145</v>
      </c>
      <c r="C3" s="1635" t="s">
        <v>3146</v>
      </c>
      <c r="D3" s="1635" t="s">
        <v>3147</v>
      </c>
      <c r="E3" s="1635" t="s">
        <v>1331</v>
      </c>
      <c r="F3" s="1635" t="s">
        <v>3159</v>
      </c>
      <c r="G3" s="1635" t="s">
        <v>3148</v>
      </c>
      <c r="H3" s="1635" t="s">
        <v>3160</v>
      </c>
      <c r="I3" s="1635" t="s">
        <v>3150</v>
      </c>
      <c r="J3" s="1635">
        <v>102218</v>
      </c>
      <c r="K3" s="1635">
        <v>132883.4</v>
      </c>
      <c r="L3" s="1635" t="s">
        <v>3161</v>
      </c>
      <c r="M3" s="1635" t="s">
        <v>1331</v>
      </c>
      <c r="N3" s="1635" t="s">
        <v>1331</v>
      </c>
      <c r="O3" s="1635" t="s">
        <v>1331</v>
      </c>
      <c r="P3" s="1635" t="s">
        <v>1331</v>
      </c>
      <c r="Q3" s="1635" t="s">
        <v>1331</v>
      </c>
      <c r="R3" s="1635" t="s">
        <v>1331</v>
      </c>
      <c r="S3" s="1635" t="s">
        <v>1331</v>
      </c>
      <c r="T3" s="1635" t="s">
        <v>1331</v>
      </c>
      <c r="U3" s="1635" t="s">
        <v>1331</v>
      </c>
      <c r="V3" s="1635" t="s">
        <v>1331</v>
      </c>
      <c r="W3" s="1635" t="s">
        <v>3152</v>
      </c>
      <c r="X3" s="1635" t="s">
        <v>3162</v>
      </c>
      <c r="Y3" s="1635" t="s">
        <v>3163</v>
      </c>
      <c r="Z3" s="1635" t="s">
        <v>3163</v>
      </c>
      <c r="AA3" s="1635" t="s">
        <v>3163</v>
      </c>
      <c r="AB3" s="1635" t="s">
        <v>3164</v>
      </c>
      <c r="AC3" s="1635" t="s">
        <v>3156</v>
      </c>
      <c r="AD3" s="1635" t="s">
        <v>3165</v>
      </c>
      <c r="AE3" s="1635">
        <v>20460</v>
      </c>
      <c r="AF3" s="1635">
        <v>102300</v>
      </c>
      <c r="AG3" s="1635">
        <v>102300</v>
      </c>
      <c r="AH3" s="1635">
        <v>667.2</v>
      </c>
      <c r="AI3" s="1635">
        <v>667.2</v>
      </c>
      <c r="AJ3" s="1635">
        <v>7698.47</v>
      </c>
      <c r="AK3" s="1635">
        <v>7698.47</v>
      </c>
      <c r="AL3" s="1635" t="s">
        <v>1331</v>
      </c>
      <c r="AM3" s="1635" t="s">
        <v>1331</v>
      </c>
      <c r="AN3" s="1635">
        <v>0</v>
      </c>
      <c r="AO3" s="1635" t="s">
        <v>3158</v>
      </c>
      <c r="AP3" s="1635" t="s">
        <v>1331</v>
      </c>
      <c r="AQ3" s="1635" t="s">
        <v>1331</v>
      </c>
      <c r="AR3" s="1635" t="s">
        <v>1331</v>
      </c>
      <c r="AS3" s="1635">
        <f t="shared" ref="AS3:AS52" si="0">ROUND(AG3/J3*10000,0)</f>
        <v>10008</v>
      </c>
    </row>
    <row r="4" spans="1:45" s="1635" customFormat="1">
      <c r="A4" s="1635" t="s">
        <v>3166</v>
      </c>
      <c r="B4" s="1635" t="s">
        <v>3145</v>
      </c>
      <c r="C4" s="1635" t="s">
        <v>3146</v>
      </c>
      <c r="D4" s="1635" t="s">
        <v>3147</v>
      </c>
      <c r="E4" s="1635" t="s">
        <v>1331</v>
      </c>
      <c r="F4" s="1635" t="s">
        <v>3166</v>
      </c>
      <c r="G4" s="1635" t="s">
        <v>3148</v>
      </c>
      <c r="H4" s="1635" t="s">
        <v>3167</v>
      </c>
      <c r="I4" s="1635" t="s">
        <v>3150</v>
      </c>
      <c r="J4" s="1635">
        <v>136206</v>
      </c>
      <c r="K4" s="1635">
        <v>149826.6</v>
      </c>
      <c r="L4" s="1635" t="s">
        <v>3168</v>
      </c>
      <c r="M4" s="1635" t="s">
        <v>1331</v>
      </c>
      <c r="N4" s="1635" t="s">
        <v>1331</v>
      </c>
      <c r="O4" s="1635" t="s">
        <v>1331</v>
      </c>
      <c r="P4" s="1635" t="s">
        <v>1331</v>
      </c>
      <c r="Q4" s="1635" t="s">
        <v>1331</v>
      </c>
      <c r="R4" s="1635" t="s">
        <v>1331</v>
      </c>
      <c r="S4" s="1635" t="s">
        <v>1331</v>
      </c>
      <c r="T4" s="1635" t="s">
        <v>1331</v>
      </c>
      <c r="U4" s="1635" t="s">
        <v>1331</v>
      </c>
      <c r="V4" s="1635" t="s">
        <v>1331</v>
      </c>
      <c r="W4" s="1635" t="s">
        <v>3152</v>
      </c>
      <c r="X4" s="1635" t="s">
        <v>3169</v>
      </c>
      <c r="Y4" s="1635" t="s">
        <v>3170</v>
      </c>
      <c r="Z4" s="1635" t="s">
        <v>3170</v>
      </c>
      <c r="AA4" s="1635" t="s">
        <v>3170</v>
      </c>
      <c r="AB4" s="1635" t="s">
        <v>3171</v>
      </c>
      <c r="AC4" s="1635" t="s">
        <v>3156</v>
      </c>
      <c r="AD4" s="1635" t="s">
        <v>3172</v>
      </c>
      <c r="AE4" s="1635">
        <v>27020</v>
      </c>
      <c r="AF4" s="1635">
        <v>135100</v>
      </c>
      <c r="AG4" s="1635">
        <v>135100</v>
      </c>
      <c r="AH4" s="1635">
        <v>661.25</v>
      </c>
      <c r="AI4" s="1635">
        <v>661.25</v>
      </c>
      <c r="AJ4" s="1635">
        <v>9017.09</v>
      </c>
      <c r="AK4" s="1635">
        <v>9017.09</v>
      </c>
      <c r="AL4" s="1635" t="s">
        <v>1331</v>
      </c>
      <c r="AM4" s="1635" t="s">
        <v>1331</v>
      </c>
      <c r="AN4" s="1635">
        <v>0</v>
      </c>
      <c r="AO4" s="1635" t="s">
        <v>3158</v>
      </c>
      <c r="AP4" s="1635" t="s">
        <v>1331</v>
      </c>
      <c r="AQ4" s="1635" t="s">
        <v>1331</v>
      </c>
      <c r="AR4" s="1635" t="s">
        <v>1331</v>
      </c>
      <c r="AS4" s="1635">
        <f t="shared" si="0"/>
        <v>9919</v>
      </c>
    </row>
    <row r="5" spans="1:45" s="1635" customFormat="1">
      <c r="A5" s="1635" t="s">
        <v>3173</v>
      </c>
      <c r="B5" s="1635" t="s">
        <v>3145</v>
      </c>
      <c r="C5" s="1635" t="s">
        <v>3146</v>
      </c>
      <c r="D5" s="1635" t="s">
        <v>3147</v>
      </c>
      <c r="E5" s="1635" t="s">
        <v>1331</v>
      </c>
      <c r="F5" s="1635" t="s">
        <v>3173</v>
      </c>
      <c r="G5" s="1635" t="s">
        <v>3148</v>
      </c>
      <c r="H5" s="1635" t="s">
        <v>3174</v>
      </c>
      <c r="I5" s="1635" t="s">
        <v>3150</v>
      </c>
      <c r="J5" s="1635">
        <v>48654</v>
      </c>
      <c r="K5" s="1635">
        <v>63250.2</v>
      </c>
      <c r="L5" s="1635" t="s">
        <v>3161</v>
      </c>
      <c r="M5" s="1635" t="s">
        <v>1331</v>
      </c>
      <c r="N5" s="1635" t="s">
        <v>1331</v>
      </c>
      <c r="O5" s="1635" t="s">
        <v>1331</v>
      </c>
      <c r="P5" s="1635" t="s">
        <v>1331</v>
      </c>
      <c r="Q5" s="1635" t="s">
        <v>1331</v>
      </c>
      <c r="R5" s="1635" t="s">
        <v>1331</v>
      </c>
      <c r="S5" s="1635" t="s">
        <v>1331</v>
      </c>
      <c r="T5" s="1635" t="s">
        <v>1331</v>
      </c>
      <c r="U5" s="1635" t="s">
        <v>1331</v>
      </c>
      <c r="V5" s="1635" t="s">
        <v>1331</v>
      </c>
      <c r="W5" s="1635" t="s">
        <v>3152</v>
      </c>
      <c r="X5" s="1635" t="s">
        <v>3175</v>
      </c>
      <c r="Y5" s="1635" t="s">
        <v>3176</v>
      </c>
      <c r="Z5" s="1635" t="s">
        <v>3176</v>
      </c>
      <c r="AA5" s="1635" t="s">
        <v>3176</v>
      </c>
      <c r="AB5" s="1635" t="s">
        <v>3177</v>
      </c>
      <c r="AC5" s="1635" t="s">
        <v>3156</v>
      </c>
      <c r="AD5" s="1635" t="s">
        <v>3165</v>
      </c>
      <c r="AE5" s="1635">
        <v>9480</v>
      </c>
      <c r="AF5" s="1635">
        <v>47400</v>
      </c>
      <c r="AG5" s="1635">
        <v>50800</v>
      </c>
      <c r="AH5" s="1635">
        <v>649.48</v>
      </c>
      <c r="AI5" s="1635">
        <v>696.07</v>
      </c>
      <c r="AJ5" s="1635">
        <v>7494.04</v>
      </c>
      <c r="AK5" s="1635">
        <v>8031.6</v>
      </c>
      <c r="AL5" s="1635" t="s">
        <v>1331</v>
      </c>
      <c r="AM5" s="1635" t="s">
        <v>1331</v>
      </c>
      <c r="AN5" s="1635">
        <v>7.17</v>
      </c>
      <c r="AO5" s="1635" t="s">
        <v>3158</v>
      </c>
      <c r="AP5" s="1635" t="s">
        <v>1331</v>
      </c>
      <c r="AQ5" s="1635" t="s">
        <v>1331</v>
      </c>
      <c r="AR5" s="1635" t="s">
        <v>1331</v>
      </c>
      <c r="AS5" s="1635">
        <f t="shared" si="0"/>
        <v>10441</v>
      </c>
    </row>
    <row r="6" spans="1:45" s="1635" customFormat="1">
      <c r="A6" s="1635" t="s">
        <v>3178</v>
      </c>
      <c r="B6" s="1635" t="s">
        <v>3145</v>
      </c>
      <c r="C6" s="1635" t="s">
        <v>3146</v>
      </c>
      <c r="D6" s="1635" t="s">
        <v>3147</v>
      </c>
      <c r="E6" s="1635" t="s">
        <v>1331</v>
      </c>
      <c r="F6" s="1635" t="s">
        <v>3178</v>
      </c>
      <c r="G6" s="1635" t="s">
        <v>3148</v>
      </c>
      <c r="H6" s="1635" t="s">
        <v>3179</v>
      </c>
      <c r="I6" s="1635" t="s">
        <v>3150</v>
      </c>
      <c r="J6" s="1635">
        <v>54454</v>
      </c>
      <c r="K6" s="1635">
        <v>108908</v>
      </c>
      <c r="L6" s="1635" t="s">
        <v>3180</v>
      </c>
      <c r="M6" s="1635" t="s">
        <v>1331</v>
      </c>
      <c r="N6" s="1635" t="s">
        <v>1331</v>
      </c>
      <c r="O6" s="1635" t="s">
        <v>1331</v>
      </c>
      <c r="P6" s="1635" t="s">
        <v>1331</v>
      </c>
      <c r="Q6" s="1635" t="s">
        <v>1331</v>
      </c>
      <c r="R6" s="1635" t="s">
        <v>1331</v>
      </c>
      <c r="S6" s="1635" t="s">
        <v>1331</v>
      </c>
      <c r="T6" s="1635" t="s">
        <v>1331</v>
      </c>
      <c r="U6" s="1635" t="s">
        <v>1331</v>
      </c>
      <c r="V6" s="1635" t="s">
        <v>1331</v>
      </c>
      <c r="W6" s="1635" t="s">
        <v>3152</v>
      </c>
      <c r="X6" s="1635" t="s">
        <v>3181</v>
      </c>
      <c r="Y6" s="1635" t="s">
        <v>3182</v>
      </c>
      <c r="Z6" s="1635" t="s">
        <v>3182</v>
      </c>
      <c r="AA6" s="1635" t="s">
        <v>3182</v>
      </c>
      <c r="AB6" s="1635" t="s">
        <v>3183</v>
      </c>
      <c r="AC6" s="1635" t="s">
        <v>3156</v>
      </c>
      <c r="AD6" s="1635" t="s">
        <v>3184</v>
      </c>
      <c r="AE6" s="1635">
        <v>15140</v>
      </c>
      <c r="AF6" s="1635">
        <v>75700</v>
      </c>
      <c r="AG6" s="1635">
        <v>86000</v>
      </c>
      <c r="AH6" s="1635">
        <v>926.78</v>
      </c>
      <c r="AI6" s="1635">
        <v>1052.8800000000001</v>
      </c>
      <c r="AJ6" s="1635">
        <v>6950.82</v>
      </c>
      <c r="AK6" s="1635">
        <v>7896.56</v>
      </c>
      <c r="AL6" s="1635" t="s">
        <v>1331</v>
      </c>
      <c r="AM6" s="1635" t="s">
        <v>1331</v>
      </c>
      <c r="AN6" s="1635">
        <v>13.61</v>
      </c>
      <c r="AO6" s="1635" t="s">
        <v>3158</v>
      </c>
      <c r="AP6" s="1635" t="s">
        <v>1331</v>
      </c>
      <c r="AQ6" s="1635" t="s">
        <v>1331</v>
      </c>
      <c r="AR6" s="1635" t="s">
        <v>1331</v>
      </c>
      <c r="AS6" s="1635">
        <f t="shared" si="0"/>
        <v>15793</v>
      </c>
    </row>
    <row r="7" spans="1:45" s="1635" customFormat="1">
      <c r="A7" s="1635" t="s">
        <v>3185</v>
      </c>
      <c r="B7" s="1635" t="s">
        <v>3145</v>
      </c>
      <c r="C7" s="1635" t="s">
        <v>3146</v>
      </c>
      <c r="D7" s="1635" t="s">
        <v>3147</v>
      </c>
      <c r="E7" s="1635" t="s">
        <v>1331</v>
      </c>
      <c r="F7" s="1635" t="s">
        <v>3185</v>
      </c>
      <c r="G7" s="1635" t="s">
        <v>3148</v>
      </c>
      <c r="H7" s="1635" t="s">
        <v>3186</v>
      </c>
      <c r="I7" s="1635" t="s">
        <v>3150</v>
      </c>
      <c r="J7" s="1635">
        <v>35461</v>
      </c>
      <c r="K7" s="1635">
        <v>70922</v>
      </c>
      <c r="L7" s="1635" t="s">
        <v>3180</v>
      </c>
      <c r="M7" s="1635" t="s">
        <v>1331</v>
      </c>
      <c r="N7" s="1635" t="s">
        <v>1331</v>
      </c>
      <c r="O7" s="1635" t="s">
        <v>1331</v>
      </c>
      <c r="P7" s="1635" t="s">
        <v>1331</v>
      </c>
      <c r="Q7" s="1635" t="s">
        <v>1331</v>
      </c>
      <c r="R7" s="1635" t="s">
        <v>1331</v>
      </c>
      <c r="S7" s="1635" t="s">
        <v>1331</v>
      </c>
      <c r="T7" s="1635" t="s">
        <v>1331</v>
      </c>
      <c r="U7" s="1635" t="s">
        <v>1331</v>
      </c>
      <c r="V7" s="1635" t="s">
        <v>1331</v>
      </c>
      <c r="W7" s="1635" t="s">
        <v>3152</v>
      </c>
      <c r="X7" s="1635" t="s">
        <v>3187</v>
      </c>
      <c r="Y7" s="1635" t="s">
        <v>3182</v>
      </c>
      <c r="Z7" s="1635" t="s">
        <v>3182</v>
      </c>
      <c r="AA7" s="1635" t="s">
        <v>3182</v>
      </c>
      <c r="AB7" s="1635" t="s">
        <v>3188</v>
      </c>
      <c r="AC7" s="1635" t="s">
        <v>3156</v>
      </c>
      <c r="AD7" s="1635" t="s">
        <v>3189</v>
      </c>
      <c r="AE7" s="1635">
        <v>10600</v>
      </c>
      <c r="AF7" s="1635">
        <v>53000</v>
      </c>
      <c r="AG7" s="1635">
        <v>59200</v>
      </c>
      <c r="AH7" s="1635">
        <v>996.4</v>
      </c>
      <c r="AI7" s="1635">
        <v>1112.96</v>
      </c>
      <c r="AJ7" s="1635">
        <v>7472.99</v>
      </c>
      <c r="AK7" s="1635">
        <v>8347.2000000000007</v>
      </c>
      <c r="AL7" s="1635" t="s">
        <v>1331</v>
      </c>
      <c r="AM7" s="1635" t="s">
        <v>1331</v>
      </c>
      <c r="AN7" s="1635">
        <v>11.7</v>
      </c>
      <c r="AO7" s="1635" t="s">
        <v>3158</v>
      </c>
      <c r="AP7" s="1635" t="s">
        <v>1331</v>
      </c>
      <c r="AQ7" s="1635" t="s">
        <v>1331</v>
      </c>
      <c r="AR7" s="1635" t="s">
        <v>1331</v>
      </c>
      <c r="AS7" s="1635">
        <f t="shared" si="0"/>
        <v>16694</v>
      </c>
    </row>
    <row r="8" spans="1:45" s="1635" customFormat="1">
      <c r="A8" s="1635" t="s">
        <v>3190</v>
      </c>
      <c r="B8" s="1635" t="s">
        <v>3145</v>
      </c>
      <c r="C8" s="1635" t="s">
        <v>3146</v>
      </c>
      <c r="D8" s="1635" t="s">
        <v>3147</v>
      </c>
      <c r="E8" s="1635" t="s">
        <v>1331</v>
      </c>
      <c r="F8" s="1635" t="s">
        <v>3190</v>
      </c>
      <c r="G8" s="1635" t="s">
        <v>3148</v>
      </c>
      <c r="H8" s="1635" t="s">
        <v>3191</v>
      </c>
      <c r="I8" s="1635" t="s">
        <v>3150</v>
      </c>
      <c r="J8" s="1635">
        <v>79005</v>
      </c>
      <c r="K8" s="1635">
        <v>142209</v>
      </c>
      <c r="L8" s="1635" t="s">
        <v>3192</v>
      </c>
      <c r="M8" s="1635" t="s">
        <v>1331</v>
      </c>
      <c r="N8" s="1635" t="s">
        <v>1331</v>
      </c>
      <c r="O8" s="1635" t="s">
        <v>1331</v>
      </c>
      <c r="P8" s="1635" t="s">
        <v>1331</v>
      </c>
      <c r="Q8" s="1635" t="s">
        <v>1331</v>
      </c>
      <c r="R8" s="1635" t="s">
        <v>1331</v>
      </c>
      <c r="S8" s="1635" t="s">
        <v>1331</v>
      </c>
      <c r="T8" s="1635" t="s">
        <v>1331</v>
      </c>
      <c r="U8" s="1635" t="s">
        <v>1331</v>
      </c>
      <c r="V8" s="1635" t="s">
        <v>1331</v>
      </c>
      <c r="W8" s="1635" t="s">
        <v>3152</v>
      </c>
      <c r="X8" s="1635" t="s">
        <v>3187</v>
      </c>
      <c r="Y8" s="1635" t="s">
        <v>3193</v>
      </c>
      <c r="Z8" s="1635" t="s">
        <v>3193</v>
      </c>
      <c r="AA8" s="1635" t="s">
        <v>3193</v>
      </c>
      <c r="AB8" s="1635" t="s">
        <v>3194</v>
      </c>
      <c r="AC8" s="1635" t="s">
        <v>3156</v>
      </c>
      <c r="AD8" s="1635" t="s">
        <v>3184</v>
      </c>
      <c r="AE8" s="1635">
        <v>22600</v>
      </c>
      <c r="AF8" s="1635">
        <v>113000</v>
      </c>
      <c r="AG8" s="1635">
        <v>113500</v>
      </c>
      <c r="AH8" s="1635">
        <v>953.53</v>
      </c>
      <c r="AI8" s="1635">
        <v>957.75</v>
      </c>
      <c r="AJ8" s="1635">
        <v>7946.05</v>
      </c>
      <c r="AK8" s="1635">
        <v>7981.21</v>
      </c>
      <c r="AL8" s="1635" t="s">
        <v>1331</v>
      </c>
      <c r="AM8" s="1635" t="s">
        <v>1331</v>
      </c>
      <c r="AN8" s="1635">
        <v>0.44</v>
      </c>
      <c r="AO8" s="1635" t="s">
        <v>3158</v>
      </c>
      <c r="AP8" s="1635" t="s">
        <v>1331</v>
      </c>
      <c r="AQ8" s="1635" t="s">
        <v>1331</v>
      </c>
      <c r="AR8" s="1635" t="s">
        <v>1331</v>
      </c>
      <c r="AS8" s="1635">
        <f t="shared" si="0"/>
        <v>14366</v>
      </c>
    </row>
    <row r="9" spans="1:45" s="1635" customFormat="1">
      <c r="A9" s="1635" t="s">
        <v>3195</v>
      </c>
      <c r="B9" s="1635" t="s">
        <v>3145</v>
      </c>
      <c r="C9" s="1635" t="s">
        <v>3146</v>
      </c>
      <c r="D9" s="1635" t="s">
        <v>3147</v>
      </c>
      <c r="E9" s="1635" t="s">
        <v>1331</v>
      </c>
      <c r="F9" s="1635" t="s">
        <v>3195</v>
      </c>
      <c r="G9" s="1635" t="s">
        <v>3148</v>
      </c>
      <c r="H9" s="1635" t="s">
        <v>3196</v>
      </c>
      <c r="I9" s="1635" t="s">
        <v>3150</v>
      </c>
      <c r="J9" s="1635">
        <v>35117</v>
      </c>
      <c r="K9" s="1635">
        <v>52675.5</v>
      </c>
      <c r="L9" s="1635" t="s">
        <v>3197</v>
      </c>
      <c r="M9" s="1635" t="s">
        <v>1331</v>
      </c>
      <c r="N9" s="1635" t="s">
        <v>1331</v>
      </c>
      <c r="O9" s="1635" t="s">
        <v>1331</v>
      </c>
      <c r="P9" s="1635" t="s">
        <v>1331</v>
      </c>
      <c r="Q9" s="1635" t="s">
        <v>1331</v>
      </c>
      <c r="R9" s="1635" t="s">
        <v>1331</v>
      </c>
      <c r="S9" s="1635" t="s">
        <v>1331</v>
      </c>
      <c r="T9" s="1635" t="s">
        <v>1331</v>
      </c>
      <c r="U9" s="1635" t="s">
        <v>1331</v>
      </c>
      <c r="V9" s="1635" t="s">
        <v>1331</v>
      </c>
      <c r="W9" s="1635" t="s">
        <v>3152</v>
      </c>
      <c r="X9" s="1635" t="s">
        <v>3187</v>
      </c>
      <c r="Y9" s="1635" t="s">
        <v>3193</v>
      </c>
      <c r="Z9" s="1635" t="s">
        <v>3193</v>
      </c>
      <c r="AA9" s="1635" t="s">
        <v>3193</v>
      </c>
      <c r="AB9" s="1635" t="s">
        <v>3198</v>
      </c>
      <c r="AC9" s="1635" t="s">
        <v>3156</v>
      </c>
      <c r="AD9" s="1635" t="s">
        <v>3199</v>
      </c>
      <c r="AE9" s="1635">
        <v>840</v>
      </c>
      <c r="AF9" s="1635">
        <v>4200</v>
      </c>
      <c r="AG9" s="1635">
        <v>4200</v>
      </c>
      <c r="AH9" s="1635">
        <v>79.73</v>
      </c>
      <c r="AI9" s="1635">
        <v>79.73</v>
      </c>
      <c r="AJ9" s="1635">
        <v>797.33</v>
      </c>
      <c r="AK9" s="1635">
        <v>797.33</v>
      </c>
      <c r="AL9" s="1635" t="s">
        <v>1331</v>
      </c>
      <c r="AM9" s="1635" t="s">
        <v>1331</v>
      </c>
      <c r="AN9" s="1635">
        <v>0</v>
      </c>
      <c r="AO9" s="1635" t="s">
        <v>3158</v>
      </c>
      <c r="AP9" s="1635" t="s">
        <v>1331</v>
      </c>
      <c r="AQ9" s="1635" t="s">
        <v>1331</v>
      </c>
      <c r="AR9" s="1635" t="s">
        <v>1331</v>
      </c>
      <c r="AS9" s="1635">
        <f t="shared" si="0"/>
        <v>1196</v>
      </c>
    </row>
    <row r="10" spans="1:45" s="1635" customFormat="1">
      <c r="A10" s="1635" t="s">
        <v>3200</v>
      </c>
      <c r="B10" s="1635" t="s">
        <v>3145</v>
      </c>
      <c r="C10" s="1635" t="s">
        <v>3146</v>
      </c>
      <c r="D10" s="1635" t="s">
        <v>3147</v>
      </c>
      <c r="E10" s="1635" t="s">
        <v>1331</v>
      </c>
      <c r="F10" s="1635" t="s">
        <v>3200</v>
      </c>
      <c r="G10" s="1635" t="s">
        <v>3148</v>
      </c>
      <c r="H10" s="1635" t="s">
        <v>3201</v>
      </c>
      <c r="I10" s="1635" t="s">
        <v>3150</v>
      </c>
      <c r="J10" s="1635">
        <v>90005</v>
      </c>
      <c r="K10" s="1635">
        <v>180010</v>
      </c>
      <c r="L10" s="1635" t="s">
        <v>3180</v>
      </c>
      <c r="M10" s="1635" t="s">
        <v>1331</v>
      </c>
      <c r="N10" s="1635" t="s">
        <v>1331</v>
      </c>
      <c r="O10" s="1635" t="s">
        <v>1331</v>
      </c>
      <c r="P10" s="1635" t="s">
        <v>1331</v>
      </c>
      <c r="Q10" s="1635" t="s">
        <v>1331</v>
      </c>
      <c r="R10" s="1635" t="s">
        <v>1331</v>
      </c>
      <c r="S10" s="1635" t="s">
        <v>1331</v>
      </c>
      <c r="T10" s="1635" t="s">
        <v>1331</v>
      </c>
      <c r="U10" s="1635" t="s">
        <v>1331</v>
      </c>
      <c r="V10" s="1635" t="s">
        <v>1331</v>
      </c>
      <c r="W10" s="1635" t="s">
        <v>3152</v>
      </c>
      <c r="X10" s="1635" t="s">
        <v>3202</v>
      </c>
      <c r="Y10" s="1635" t="s">
        <v>3203</v>
      </c>
      <c r="Z10" s="1635" t="s">
        <v>3203</v>
      </c>
      <c r="AA10" s="1635" t="s">
        <v>3203</v>
      </c>
      <c r="AB10" s="1635" t="s">
        <v>3204</v>
      </c>
      <c r="AC10" s="1635" t="s">
        <v>3156</v>
      </c>
      <c r="AD10" s="1635" t="s">
        <v>3205</v>
      </c>
      <c r="AE10" s="1635">
        <v>15120</v>
      </c>
      <c r="AF10" s="1635">
        <v>75600</v>
      </c>
      <c r="AG10" s="1635">
        <v>75600</v>
      </c>
      <c r="AH10" s="1635">
        <v>559.97</v>
      </c>
      <c r="AI10" s="1635">
        <v>559.97</v>
      </c>
      <c r="AJ10" s="1635">
        <v>4199.76</v>
      </c>
      <c r="AK10" s="1635">
        <v>4199.7700000000004</v>
      </c>
      <c r="AL10" s="1635" t="s">
        <v>1331</v>
      </c>
      <c r="AM10" s="1635" t="s">
        <v>1331</v>
      </c>
      <c r="AN10" s="1635">
        <v>0</v>
      </c>
      <c r="AO10" s="1635" t="s">
        <v>3158</v>
      </c>
      <c r="AP10" s="1635" t="s">
        <v>1331</v>
      </c>
      <c r="AQ10" s="1635" t="s">
        <v>1331</v>
      </c>
      <c r="AR10" s="1635" t="s">
        <v>1331</v>
      </c>
      <c r="AS10" s="1635">
        <f t="shared" si="0"/>
        <v>8400</v>
      </c>
    </row>
    <row r="11" spans="1:45" s="1635" customFormat="1">
      <c r="A11" s="1635" t="s">
        <v>3206</v>
      </c>
      <c r="B11" s="1635" t="s">
        <v>3145</v>
      </c>
      <c r="C11" s="1635" t="s">
        <v>3146</v>
      </c>
      <c r="D11" s="1635" t="s">
        <v>3147</v>
      </c>
      <c r="E11" s="1635" t="s">
        <v>1331</v>
      </c>
      <c r="F11" s="1635" t="s">
        <v>3206</v>
      </c>
      <c r="G11" s="1635" t="s">
        <v>3148</v>
      </c>
      <c r="H11" s="1635" t="s">
        <v>3207</v>
      </c>
      <c r="I11" s="1635" t="s">
        <v>3150</v>
      </c>
      <c r="J11" s="1635">
        <v>88057</v>
      </c>
      <c r="K11" s="1635">
        <v>158502.6</v>
      </c>
      <c r="L11" s="1635" t="s">
        <v>3208</v>
      </c>
      <c r="M11" s="1635" t="s">
        <v>1331</v>
      </c>
      <c r="N11" s="1635" t="s">
        <v>1331</v>
      </c>
      <c r="O11" s="1635" t="s">
        <v>1331</v>
      </c>
      <c r="P11" s="1635" t="s">
        <v>1331</v>
      </c>
      <c r="Q11" s="1635" t="s">
        <v>1331</v>
      </c>
      <c r="R11" s="1635" t="s">
        <v>1331</v>
      </c>
      <c r="S11" s="1635" t="s">
        <v>1331</v>
      </c>
      <c r="T11" s="1635" t="s">
        <v>1331</v>
      </c>
      <c r="U11" s="1635" t="s">
        <v>1331</v>
      </c>
      <c r="V11" s="1635" t="s">
        <v>1331</v>
      </c>
      <c r="W11" s="1635" t="s">
        <v>3152</v>
      </c>
      <c r="X11" s="1635" t="s">
        <v>3202</v>
      </c>
      <c r="Y11" s="1635" t="s">
        <v>3203</v>
      </c>
      <c r="Z11" s="1635" t="s">
        <v>3203</v>
      </c>
      <c r="AA11" s="1635" t="s">
        <v>3203</v>
      </c>
      <c r="AB11" s="1635" t="s">
        <v>3209</v>
      </c>
      <c r="AC11" s="1635" t="s">
        <v>3156</v>
      </c>
      <c r="AD11" s="1635" t="s">
        <v>3184</v>
      </c>
      <c r="AE11" s="1635">
        <v>13220</v>
      </c>
      <c r="AF11" s="1635">
        <v>66100</v>
      </c>
      <c r="AG11" s="1635">
        <v>66100</v>
      </c>
      <c r="AH11" s="1635">
        <v>500.43</v>
      </c>
      <c r="AI11" s="1635">
        <v>500.43</v>
      </c>
      <c r="AJ11" s="1635">
        <v>4170.2700000000004</v>
      </c>
      <c r="AK11" s="1635">
        <v>4170.2700000000004</v>
      </c>
      <c r="AL11" s="1635" t="s">
        <v>1331</v>
      </c>
      <c r="AM11" s="1635" t="s">
        <v>1331</v>
      </c>
      <c r="AN11" s="1635">
        <v>0</v>
      </c>
      <c r="AO11" s="1635" t="s">
        <v>3158</v>
      </c>
      <c r="AP11" s="1635" t="s">
        <v>1331</v>
      </c>
      <c r="AQ11" s="1635" t="s">
        <v>1331</v>
      </c>
      <c r="AR11" s="1635" t="s">
        <v>1331</v>
      </c>
      <c r="AS11" s="1635">
        <f t="shared" si="0"/>
        <v>7507</v>
      </c>
    </row>
    <row r="12" spans="1:45" s="1635" customFormat="1" hidden="1">
      <c r="A12" s="1635" t="s">
        <v>3210</v>
      </c>
      <c r="B12" s="1635" t="s">
        <v>3145</v>
      </c>
      <c r="C12" s="1635" t="s">
        <v>3146</v>
      </c>
      <c r="D12" s="1635" t="s">
        <v>3147</v>
      </c>
      <c r="E12" s="1635" t="s">
        <v>1331</v>
      </c>
      <c r="F12" s="1635" t="s">
        <v>3210</v>
      </c>
      <c r="G12" s="1635" t="s">
        <v>3148</v>
      </c>
      <c r="H12" s="1635" t="s">
        <v>3211</v>
      </c>
      <c r="I12" s="1635" t="s">
        <v>3150</v>
      </c>
      <c r="J12" s="1635">
        <v>59225</v>
      </c>
      <c r="K12" s="1635">
        <v>118450</v>
      </c>
      <c r="L12" s="1635" t="s">
        <v>3180</v>
      </c>
      <c r="M12" s="1635" t="s">
        <v>1331</v>
      </c>
      <c r="N12" s="1635" t="s">
        <v>1331</v>
      </c>
      <c r="O12" s="1635" t="s">
        <v>1331</v>
      </c>
      <c r="P12" s="1635" t="s">
        <v>1331</v>
      </c>
      <c r="Q12" s="1635" t="s">
        <v>1331</v>
      </c>
      <c r="R12" s="1635" t="s">
        <v>1331</v>
      </c>
      <c r="S12" s="1635" t="s">
        <v>1331</v>
      </c>
      <c r="T12" s="1635" t="s">
        <v>3212</v>
      </c>
      <c r="U12" s="1635" t="s">
        <v>3212</v>
      </c>
      <c r="V12" s="1635" t="s">
        <v>1331</v>
      </c>
      <c r="W12" s="1635" t="s">
        <v>3152</v>
      </c>
      <c r="X12" s="1635" t="s">
        <v>3202</v>
      </c>
      <c r="Y12" s="1635" t="s">
        <v>3203</v>
      </c>
      <c r="Z12" s="1635" t="s">
        <v>3203</v>
      </c>
      <c r="AA12" s="1635" t="s">
        <v>3203</v>
      </c>
      <c r="AB12" s="1635" t="s">
        <v>3213</v>
      </c>
      <c r="AC12" s="1635" t="s">
        <v>3156</v>
      </c>
      <c r="AD12" s="1635" t="s">
        <v>3214</v>
      </c>
      <c r="AE12" s="1635">
        <v>9960</v>
      </c>
      <c r="AF12" s="1635">
        <v>49800</v>
      </c>
      <c r="AG12" s="1635">
        <v>54800</v>
      </c>
      <c r="AH12" s="1635">
        <v>560.57000000000005</v>
      </c>
      <c r="AI12" s="1635">
        <v>616.86</v>
      </c>
      <c r="AJ12" s="1635">
        <v>4204.3</v>
      </c>
      <c r="AK12" s="1635">
        <v>4626.42</v>
      </c>
      <c r="AL12" s="1635" t="s">
        <v>1331</v>
      </c>
      <c r="AM12" s="1635" t="s">
        <v>1331</v>
      </c>
      <c r="AN12" s="1635">
        <v>10.039999999999999</v>
      </c>
      <c r="AO12" s="1635" t="s">
        <v>3158</v>
      </c>
      <c r="AP12" s="1635" t="s">
        <v>1331</v>
      </c>
      <c r="AQ12" s="1635" t="s">
        <v>1331</v>
      </c>
      <c r="AR12" s="1635" t="s">
        <v>1331</v>
      </c>
      <c r="AS12" s="1635">
        <f t="shared" si="0"/>
        <v>9253</v>
      </c>
    </row>
    <row r="13" spans="1:45" s="2947" customFormat="1">
      <c r="A13" s="2947" t="s">
        <v>3215</v>
      </c>
      <c r="B13" s="2947" t="s">
        <v>3145</v>
      </c>
      <c r="C13" s="2947" t="s">
        <v>3146</v>
      </c>
      <c r="D13" s="2947" t="s">
        <v>3147</v>
      </c>
      <c r="E13" s="2947" t="s">
        <v>1331</v>
      </c>
      <c r="F13" s="2947" t="s">
        <v>3215</v>
      </c>
      <c r="G13" s="2947" t="s">
        <v>3148</v>
      </c>
      <c r="H13" s="2947" t="s">
        <v>3216</v>
      </c>
      <c r="I13" s="2947" t="s">
        <v>3150</v>
      </c>
      <c r="J13" s="2947">
        <v>46882</v>
      </c>
      <c r="K13" s="2947">
        <v>84387.6</v>
      </c>
      <c r="L13" s="2947" t="s">
        <v>3208</v>
      </c>
      <c r="M13" s="2947" t="s">
        <v>1331</v>
      </c>
      <c r="N13" s="2947" t="s">
        <v>1331</v>
      </c>
      <c r="O13" s="2947" t="s">
        <v>1331</v>
      </c>
      <c r="P13" s="2947" t="s">
        <v>1331</v>
      </c>
      <c r="Q13" s="2947" t="s">
        <v>1331</v>
      </c>
      <c r="R13" s="2947" t="s">
        <v>1331</v>
      </c>
      <c r="S13" s="2947" t="s">
        <v>1331</v>
      </c>
      <c r="T13" s="2947" t="s">
        <v>1331</v>
      </c>
      <c r="U13" s="2947" t="s">
        <v>1331</v>
      </c>
      <c r="V13" s="2947" t="s">
        <v>1331</v>
      </c>
      <c r="W13" s="2947" t="s">
        <v>3152</v>
      </c>
      <c r="X13" s="2947" t="s">
        <v>3187</v>
      </c>
      <c r="Y13" s="2947" t="s">
        <v>3217</v>
      </c>
      <c r="Z13" s="2947" t="s">
        <v>3217</v>
      </c>
      <c r="AA13" s="2947" t="s">
        <v>3217</v>
      </c>
      <c r="AB13" s="2947" t="s">
        <v>3218</v>
      </c>
      <c r="AC13" s="2947" t="s">
        <v>3156</v>
      </c>
      <c r="AD13" s="2947" t="s">
        <v>3199</v>
      </c>
      <c r="AE13" s="2947">
        <v>10960</v>
      </c>
      <c r="AF13" s="2947">
        <v>54800</v>
      </c>
      <c r="AG13" s="2947">
        <v>54800</v>
      </c>
      <c r="AH13" s="2947">
        <v>779.26</v>
      </c>
      <c r="AI13" s="2947">
        <v>779.26</v>
      </c>
      <c r="AJ13" s="2947">
        <v>6493.84</v>
      </c>
      <c r="AK13" s="2947">
        <v>6493.85</v>
      </c>
      <c r="AL13" s="2947" t="s">
        <v>1331</v>
      </c>
      <c r="AM13" s="2947" t="s">
        <v>1331</v>
      </c>
      <c r="AN13" s="2947">
        <v>0</v>
      </c>
      <c r="AO13" s="2947" t="s">
        <v>3158</v>
      </c>
      <c r="AP13" s="2947" t="s">
        <v>1331</v>
      </c>
      <c r="AQ13" s="2947" t="s">
        <v>1331</v>
      </c>
      <c r="AR13" s="2947" t="s">
        <v>1331</v>
      </c>
      <c r="AS13" s="2947">
        <f t="shared" si="0"/>
        <v>11689</v>
      </c>
    </row>
    <row r="14" spans="1:45" s="2947" customFormat="1">
      <c r="A14" s="2947" t="s">
        <v>3219</v>
      </c>
      <c r="B14" s="2947" t="s">
        <v>3145</v>
      </c>
      <c r="C14" s="2947" t="s">
        <v>3146</v>
      </c>
      <c r="D14" s="2947" t="s">
        <v>3147</v>
      </c>
      <c r="E14" s="2947" t="s">
        <v>1331</v>
      </c>
      <c r="F14" s="2947" t="s">
        <v>3219</v>
      </c>
      <c r="G14" s="2947" t="s">
        <v>3148</v>
      </c>
      <c r="H14" s="2947" t="s">
        <v>3220</v>
      </c>
      <c r="I14" s="2947" t="s">
        <v>3150</v>
      </c>
      <c r="J14" s="2947">
        <v>47806</v>
      </c>
      <c r="K14" s="2947">
        <v>95612</v>
      </c>
      <c r="L14" s="2947" t="s">
        <v>3221</v>
      </c>
      <c r="M14" s="2947" t="s">
        <v>1331</v>
      </c>
      <c r="N14" s="2947" t="s">
        <v>1331</v>
      </c>
      <c r="O14" s="2947" t="s">
        <v>1331</v>
      </c>
      <c r="P14" s="2947" t="s">
        <v>1331</v>
      </c>
      <c r="Q14" s="2947" t="s">
        <v>1331</v>
      </c>
      <c r="R14" s="2947" t="s">
        <v>1331</v>
      </c>
      <c r="S14" s="2947" t="s">
        <v>1331</v>
      </c>
      <c r="T14" s="2947" t="s">
        <v>1331</v>
      </c>
      <c r="U14" s="2947" t="s">
        <v>1331</v>
      </c>
      <c r="V14" s="2947" t="s">
        <v>1331</v>
      </c>
      <c r="W14" s="2947" t="s">
        <v>3152</v>
      </c>
      <c r="X14" s="2947" t="s">
        <v>3187</v>
      </c>
      <c r="Y14" s="2947" t="s">
        <v>3217</v>
      </c>
      <c r="Z14" s="2947" t="s">
        <v>3217</v>
      </c>
      <c r="AA14" s="2947" t="s">
        <v>3217</v>
      </c>
      <c r="AB14" s="2947" t="s">
        <v>3222</v>
      </c>
      <c r="AC14" s="2947" t="s">
        <v>3156</v>
      </c>
      <c r="AD14" s="2947" t="s">
        <v>3199</v>
      </c>
      <c r="AE14" s="2947">
        <v>12400</v>
      </c>
      <c r="AF14" s="2947">
        <v>62000</v>
      </c>
      <c r="AG14" s="2947">
        <v>62000</v>
      </c>
      <c r="AH14" s="2947">
        <v>864.61</v>
      </c>
      <c r="AI14" s="2947">
        <v>864.61</v>
      </c>
      <c r="AJ14" s="2947">
        <v>6484.54</v>
      </c>
      <c r="AK14" s="2947">
        <v>6484.53</v>
      </c>
      <c r="AL14" s="2947" t="s">
        <v>1331</v>
      </c>
      <c r="AM14" s="2947" t="s">
        <v>1331</v>
      </c>
      <c r="AN14" s="2947">
        <v>0</v>
      </c>
      <c r="AO14" s="2947" t="s">
        <v>3158</v>
      </c>
      <c r="AP14" s="2947" t="s">
        <v>1331</v>
      </c>
      <c r="AQ14" s="2947" t="s">
        <v>1331</v>
      </c>
      <c r="AR14" s="2947" t="s">
        <v>1331</v>
      </c>
      <c r="AS14" s="2947">
        <f t="shared" si="0"/>
        <v>12969</v>
      </c>
    </row>
    <row r="15" spans="1:45" s="1635" customFormat="1">
      <c r="A15" s="1635" t="s">
        <v>3223</v>
      </c>
      <c r="B15" s="1635" t="s">
        <v>3145</v>
      </c>
      <c r="C15" s="1635" t="s">
        <v>3146</v>
      </c>
      <c r="D15" s="1635" t="s">
        <v>3147</v>
      </c>
      <c r="E15" s="1635" t="s">
        <v>1331</v>
      </c>
      <c r="F15" s="1635" t="s">
        <v>3223</v>
      </c>
      <c r="G15" s="1635" t="s">
        <v>3148</v>
      </c>
      <c r="H15" s="1635" t="s">
        <v>3224</v>
      </c>
      <c r="I15" s="1635" t="s">
        <v>3150</v>
      </c>
      <c r="J15" s="1635">
        <v>43700</v>
      </c>
      <c r="K15" s="1635">
        <v>48070</v>
      </c>
      <c r="L15" s="1635" t="s">
        <v>3168</v>
      </c>
      <c r="M15" s="1635" t="s">
        <v>1331</v>
      </c>
      <c r="N15" s="1635" t="s">
        <v>1331</v>
      </c>
      <c r="O15" s="1635" t="s">
        <v>1331</v>
      </c>
      <c r="P15" s="1635" t="s">
        <v>1331</v>
      </c>
      <c r="Q15" s="1635" t="s">
        <v>1331</v>
      </c>
      <c r="R15" s="1635" t="s">
        <v>1331</v>
      </c>
      <c r="S15" s="1635" t="s">
        <v>1331</v>
      </c>
      <c r="T15" s="1635" t="s">
        <v>1331</v>
      </c>
      <c r="U15" s="1635" t="s">
        <v>1331</v>
      </c>
      <c r="V15" s="1635" t="s">
        <v>1331</v>
      </c>
      <c r="W15" s="1635" t="s">
        <v>3152</v>
      </c>
      <c r="X15" s="1635" t="s">
        <v>3225</v>
      </c>
      <c r="Y15" s="1635" t="s">
        <v>3226</v>
      </c>
      <c r="Z15" s="1635" t="s">
        <v>3226</v>
      </c>
      <c r="AA15" s="1635" t="s">
        <v>3226</v>
      </c>
      <c r="AB15" s="1635" t="s">
        <v>3227</v>
      </c>
      <c r="AC15" s="1635" t="s">
        <v>3156</v>
      </c>
      <c r="AD15" s="1635" t="s">
        <v>3228</v>
      </c>
      <c r="AE15" s="1635">
        <v>7880</v>
      </c>
      <c r="AF15" s="1635">
        <v>39400</v>
      </c>
      <c r="AG15" s="1635">
        <v>46700</v>
      </c>
      <c r="AH15" s="1635">
        <v>601.07000000000005</v>
      </c>
      <c r="AI15" s="1635">
        <v>712.43</v>
      </c>
      <c r="AJ15" s="1635">
        <v>8196.3700000000008</v>
      </c>
      <c r="AK15" s="1635">
        <v>9715</v>
      </c>
      <c r="AL15" s="1635" t="s">
        <v>1331</v>
      </c>
      <c r="AM15" s="1635" t="s">
        <v>1331</v>
      </c>
      <c r="AN15" s="1635">
        <v>18.53</v>
      </c>
      <c r="AO15" s="1635" t="s">
        <v>3158</v>
      </c>
      <c r="AP15" s="1635" t="s">
        <v>1331</v>
      </c>
      <c r="AQ15" s="1635" t="s">
        <v>1331</v>
      </c>
      <c r="AR15" s="1635" t="s">
        <v>1331</v>
      </c>
      <c r="AS15" s="1635">
        <f t="shared" si="0"/>
        <v>10686</v>
      </c>
    </row>
    <row r="16" spans="1:45" s="1635" customFormat="1">
      <c r="A16" s="1635" t="s">
        <v>3229</v>
      </c>
      <c r="B16" s="1635" t="s">
        <v>3145</v>
      </c>
      <c r="C16" s="1635" t="s">
        <v>3146</v>
      </c>
      <c r="D16" s="1635" t="s">
        <v>3147</v>
      </c>
      <c r="E16" s="1635" t="s">
        <v>1331</v>
      </c>
      <c r="F16" s="1635" t="s">
        <v>3229</v>
      </c>
      <c r="G16" s="1635" t="s">
        <v>3148</v>
      </c>
      <c r="H16" s="1635" t="s">
        <v>3230</v>
      </c>
      <c r="I16" s="1635" t="s">
        <v>3150</v>
      </c>
      <c r="J16" s="1635">
        <v>65257</v>
      </c>
      <c r="K16" s="1635">
        <v>130514</v>
      </c>
      <c r="L16" s="1635" t="s">
        <v>3231</v>
      </c>
      <c r="M16" s="1635" t="s">
        <v>1331</v>
      </c>
      <c r="N16" s="1635" t="s">
        <v>3232</v>
      </c>
      <c r="O16" s="1635" t="s">
        <v>1331</v>
      </c>
      <c r="P16" s="1635" t="s">
        <v>1331</v>
      </c>
      <c r="Q16" s="1635" t="s">
        <v>1331</v>
      </c>
      <c r="R16" s="1635" t="s">
        <v>1331</v>
      </c>
      <c r="S16" s="1635" t="s">
        <v>1331</v>
      </c>
      <c r="T16" s="1635" t="s">
        <v>1331</v>
      </c>
      <c r="U16" s="1635" t="s">
        <v>1331</v>
      </c>
      <c r="V16" s="1635" t="s">
        <v>1331</v>
      </c>
      <c r="W16" s="1635" t="s">
        <v>3152</v>
      </c>
      <c r="X16" s="1635" t="s">
        <v>3225</v>
      </c>
      <c r="Y16" s="1635" t="s">
        <v>3226</v>
      </c>
      <c r="Z16" s="1635" t="s">
        <v>3226</v>
      </c>
      <c r="AA16" s="1635" t="s">
        <v>3226</v>
      </c>
      <c r="AB16" s="1635" t="s">
        <v>3233</v>
      </c>
      <c r="AC16" s="1635" t="s">
        <v>3156</v>
      </c>
      <c r="AD16" s="1635" t="s">
        <v>3228</v>
      </c>
      <c r="AE16" s="1635">
        <v>19300</v>
      </c>
      <c r="AF16" s="1635">
        <v>96500</v>
      </c>
      <c r="AG16" s="1635">
        <v>104900</v>
      </c>
      <c r="AH16" s="1635">
        <v>985.85</v>
      </c>
      <c r="AI16" s="1635">
        <v>1071.6600000000001</v>
      </c>
      <c r="AJ16" s="1635">
        <v>7393.84</v>
      </c>
      <c r="AK16" s="1635">
        <v>8037.44</v>
      </c>
      <c r="AL16" s="1635" t="s">
        <v>1331</v>
      </c>
      <c r="AM16" s="1635" t="s">
        <v>1331</v>
      </c>
      <c r="AN16" s="1635">
        <v>8.6999999999999993</v>
      </c>
      <c r="AO16" s="1635" t="s">
        <v>3158</v>
      </c>
      <c r="AP16" s="1635" t="s">
        <v>1331</v>
      </c>
      <c r="AQ16" s="1635" t="s">
        <v>1331</v>
      </c>
      <c r="AR16" s="1635" t="s">
        <v>1331</v>
      </c>
      <c r="AS16" s="1635">
        <f t="shared" si="0"/>
        <v>16075</v>
      </c>
    </row>
    <row r="17" spans="1:45" s="1635" customFormat="1">
      <c r="A17" s="1635" t="s">
        <v>3234</v>
      </c>
      <c r="B17" s="1635" t="s">
        <v>3145</v>
      </c>
      <c r="C17" s="1635" t="s">
        <v>3146</v>
      </c>
      <c r="D17" s="1635" t="s">
        <v>3147</v>
      </c>
      <c r="E17" s="1635" t="s">
        <v>1331</v>
      </c>
      <c r="F17" s="1635" t="s">
        <v>3234</v>
      </c>
      <c r="G17" s="1635" t="s">
        <v>3148</v>
      </c>
      <c r="H17" s="1635" t="s">
        <v>3235</v>
      </c>
      <c r="I17" s="1635" t="s">
        <v>3150</v>
      </c>
      <c r="J17" s="1635">
        <v>28276</v>
      </c>
      <c r="K17" s="1635">
        <v>56552</v>
      </c>
      <c r="L17" s="1635" t="s">
        <v>3236</v>
      </c>
      <c r="M17" s="1635" t="s">
        <v>1331</v>
      </c>
      <c r="N17" s="1635" t="s">
        <v>1331</v>
      </c>
      <c r="O17" s="1635" t="s">
        <v>1331</v>
      </c>
      <c r="P17" s="1635" t="s">
        <v>1331</v>
      </c>
      <c r="Q17" s="1635" t="s">
        <v>1331</v>
      </c>
      <c r="R17" s="1635" t="s">
        <v>1331</v>
      </c>
      <c r="S17" s="1635" t="s">
        <v>1331</v>
      </c>
      <c r="T17" s="1635" t="s">
        <v>1331</v>
      </c>
      <c r="U17" s="1635" t="s">
        <v>1331</v>
      </c>
      <c r="V17" s="1635" t="s">
        <v>1331</v>
      </c>
      <c r="W17" s="1635" t="s">
        <v>3152</v>
      </c>
      <c r="X17" s="1635" t="s">
        <v>3225</v>
      </c>
      <c r="Y17" s="1635" t="s">
        <v>3226</v>
      </c>
      <c r="Z17" s="1635" t="s">
        <v>3226</v>
      </c>
      <c r="AA17" s="1635" t="s">
        <v>3226</v>
      </c>
      <c r="AB17" s="1635" t="s">
        <v>3237</v>
      </c>
      <c r="AC17" s="1635" t="s">
        <v>3156</v>
      </c>
      <c r="AD17" s="1635" t="s">
        <v>3238</v>
      </c>
      <c r="AE17" s="1635">
        <v>2420</v>
      </c>
      <c r="AF17" s="1635">
        <v>12100</v>
      </c>
      <c r="AG17" s="1635">
        <v>12100</v>
      </c>
      <c r="AH17" s="1635">
        <v>285.27999999999997</v>
      </c>
      <c r="AI17" s="1635">
        <v>285.27999999999997</v>
      </c>
      <c r="AJ17" s="1635">
        <v>2139.62</v>
      </c>
      <c r="AK17" s="1635">
        <v>2139.61</v>
      </c>
      <c r="AL17" s="1635" t="s">
        <v>1331</v>
      </c>
      <c r="AM17" s="1635" t="s">
        <v>1331</v>
      </c>
      <c r="AN17" s="1635">
        <v>0</v>
      </c>
      <c r="AO17" s="1635" t="s">
        <v>3158</v>
      </c>
      <c r="AP17" s="1635" t="s">
        <v>1331</v>
      </c>
      <c r="AQ17" s="1635" t="s">
        <v>1331</v>
      </c>
      <c r="AR17" s="1635" t="s">
        <v>1331</v>
      </c>
      <c r="AS17" s="1635">
        <f t="shared" si="0"/>
        <v>4279</v>
      </c>
    </row>
    <row r="18" spans="1:45" s="1635" customFormat="1">
      <c r="A18" s="1635" t="s">
        <v>3239</v>
      </c>
      <c r="B18" s="1635" t="s">
        <v>3145</v>
      </c>
      <c r="C18" s="1635" t="s">
        <v>3146</v>
      </c>
      <c r="D18" s="1635" t="s">
        <v>3147</v>
      </c>
      <c r="E18" s="1635" t="s">
        <v>1331</v>
      </c>
      <c r="F18" s="1635" t="s">
        <v>3239</v>
      </c>
      <c r="G18" s="1635" t="s">
        <v>3148</v>
      </c>
      <c r="H18" s="1635" t="s">
        <v>3240</v>
      </c>
      <c r="I18" s="1635" t="s">
        <v>3150</v>
      </c>
      <c r="J18" s="1635">
        <v>42529</v>
      </c>
      <c r="K18" s="1635">
        <v>63793.5</v>
      </c>
      <c r="L18" s="1635" t="s">
        <v>3241</v>
      </c>
      <c r="M18" s="1635" t="s">
        <v>1331</v>
      </c>
      <c r="N18" s="1635" t="s">
        <v>3242</v>
      </c>
      <c r="O18" s="1635" t="s">
        <v>3243</v>
      </c>
      <c r="P18" s="1635" t="s">
        <v>1331</v>
      </c>
      <c r="Q18" s="1635" t="s">
        <v>1331</v>
      </c>
      <c r="R18" s="1635" t="s">
        <v>1331</v>
      </c>
      <c r="S18" s="1635" t="s">
        <v>1331</v>
      </c>
      <c r="T18" s="1635" t="s">
        <v>1331</v>
      </c>
      <c r="U18" s="1635" t="s">
        <v>1331</v>
      </c>
      <c r="V18" s="1635" t="s">
        <v>1331</v>
      </c>
      <c r="W18" s="1635" t="s">
        <v>3152</v>
      </c>
      <c r="X18" s="1635" t="s">
        <v>3244</v>
      </c>
      <c r="Y18" s="1635" t="s">
        <v>3245</v>
      </c>
      <c r="Z18" s="1635" t="s">
        <v>3245</v>
      </c>
      <c r="AA18" s="1635" t="s">
        <v>3245</v>
      </c>
      <c r="AB18" s="1635" t="s">
        <v>3246</v>
      </c>
      <c r="AC18" s="1635" t="s">
        <v>3156</v>
      </c>
      <c r="AD18" s="1635" t="s">
        <v>3228</v>
      </c>
      <c r="AE18" s="1635">
        <v>3520</v>
      </c>
      <c r="AF18" s="1635">
        <v>17600</v>
      </c>
      <c r="AG18" s="1635">
        <v>24200</v>
      </c>
      <c r="AH18" s="1635">
        <v>275.89</v>
      </c>
      <c r="AI18" s="1635">
        <v>379.35</v>
      </c>
      <c r="AJ18" s="1635">
        <v>2758.9</v>
      </c>
      <c r="AK18" s="1635">
        <v>3793.48</v>
      </c>
      <c r="AL18" s="1635" t="s">
        <v>1331</v>
      </c>
      <c r="AM18" s="1635" t="s">
        <v>1331</v>
      </c>
      <c r="AN18" s="1635">
        <v>37.5</v>
      </c>
      <c r="AO18" s="1635" t="s">
        <v>3158</v>
      </c>
      <c r="AP18" s="1635" t="s">
        <v>1331</v>
      </c>
      <c r="AQ18" s="1635" t="s">
        <v>1331</v>
      </c>
      <c r="AR18" s="1635" t="s">
        <v>1331</v>
      </c>
      <c r="AS18" s="1635">
        <f t="shared" si="0"/>
        <v>5690</v>
      </c>
    </row>
    <row r="19" spans="1:45" s="1635" customFormat="1">
      <c r="A19" s="1635" t="s">
        <v>3247</v>
      </c>
      <c r="B19" s="1635" t="s">
        <v>3145</v>
      </c>
      <c r="C19" s="1635" t="s">
        <v>3146</v>
      </c>
      <c r="D19" s="1635" t="s">
        <v>3147</v>
      </c>
      <c r="E19" s="1635" t="s">
        <v>1331</v>
      </c>
      <c r="F19" s="1635" t="s">
        <v>3247</v>
      </c>
      <c r="G19" s="1635" t="s">
        <v>3148</v>
      </c>
      <c r="H19" s="1635" t="s">
        <v>3248</v>
      </c>
      <c r="I19" s="1635" t="s">
        <v>3150</v>
      </c>
      <c r="J19" s="1635">
        <v>25491</v>
      </c>
      <c r="K19" s="1635">
        <v>33138.300000000003</v>
      </c>
      <c r="L19" s="1635" t="s">
        <v>3161</v>
      </c>
      <c r="M19" s="1635" t="s">
        <v>1331</v>
      </c>
      <c r="N19" s="1635" t="s">
        <v>1331</v>
      </c>
      <c r="O19" s="1635" t="s">
        <v>1331</v>
      </c>
      <c r="P19" s="1635" t="s">
        <v>1331</v>
      </c>
      <c r="Q19" s="1635" t="s">
        <v>1331</v>
      </c>
      <c r="R19" s="1635" t="s">
        <v>1331</v>
      </c>
      <c r="S19" s="1635" t="s">
        <v>1331</v>
      </c>
      <c r="T19" s="1635" t="s">
        <v>1331</v>
      </c>
      <c r="U19" s="1635" t="s">
        <v>1331</v>
      </c>
      <c r="V19" s="1635" t="s">
        <v>1331</v>
      </c>
      <c r="W19" s="1635" t="s">
        <v>3152</v>
      </c>
      <c r="X19" s="1635" t="s">
        <v>3249</v>
      </c>
      <c r="Y19" s="1635" t="s">
        <v>3250</v>
      </c>
      <c r="Z19" s="1635" t="s">
        <v>3250</v>
      </c>
      <c r="AA19" s="1635" t="s">
        <v>3250</v>
      </c>
      <c r="AB19" s="1635" t="s">
        <v>3251</v>
      </c>
      <c r="AC19" s="1635" t="s">
        <v>3156</v>
      </c>
      <c r="AD19" s="1635" t="s">
        <v>3199</v>
      </c>
      <c r="AE19" s="1635">
        <v>530</v>
      </c>
      <c r="AF19" s="1635">
        <v>2650</v>
      </c>
      <c r="AG19" s="1635">
        <v>2650</v>
      </c>
      <c r="AH19" s="1635">
        <v>69.31</v>
      </c>
      <c r="AI19" s="1635">
        <v>69.31</v>
      </c>
      <c r="AJ19" s="1635">
        <v>799.67</v>
      </c>
      <c r="AK19" s="1635">
        <v>799.67</v>
      </c>
      <c r="AL19" s="1635" t="s">
        <v>1331</v>
      </c>
      <c r="AM19" s="1635" t="s">
        <v>1331</v>
      </c>
      <c r="AN19" s="1635">
        <v>0</v>
      </c>
      <c r="AO19" s="1635" t="s">
        <v>3252</v>
      </c>
      <c r="AP19" s="1635" t="s">
        <v>1331</v>
      </c>
      <c r="AQ19" s="1635" t="s">
        <v>1331</v>
      </c>
      <c r="AR19" s="1635" t="s">
        <v>1331</v>
      </c>
      <c r="AS19" s="1635">
        <f t="shared" si="0"/>
        <v>1040</v>
      </c>
    </row>
    <row r="20" spans="1:45" s="1635" customFormat="1">
      <c r="A20" s="1635" t="s">
        <v>3253</v>
      </c>
      <c r="B20" s="1635" t="s">
        <v>3145</v>
      </c>
      <c r="C20" s="1635" t="s">
        <v>3146</v>
      </c>
      <c r="D20" s="1635" t="s">
        <v>3147</v>
      </c>
      <c r="E20" s="1635" t="s">
        <v>1331</v>
      </c>
      <c r="F20" s="1635" t="s">
        <v>3253</v>
      </c>
      <c r="G20" s="1635" t="s">
        <v>3148</v>
      </c>
      <c r="H20" s="1635" t="s">
        <v>3254</v>
      </c>
      <c r="I20" s="1635" t="s">
        <v>3150</v>
      </c>
      <c r="J20" s="1635">
        <v>27975</v>
      </c>
      <c r="K20" s="1635">
        <v>27975</v>
      </c>
      <c r="L20" s="1635" t="s">
        <v>3255</v>
      </c>
      <c r="M20" s="1635" t="s">
        <v>1331</v>
      </c>
      <c r="N20" s="1635" t="s">
        <v>3256</v>
      </c>
      <c r="O20" s="1635" t="s">
        <v>1331</v>
      </c>
      <c r="P20" s="1635" t="s">
        <v>1331</v>
      </c>
      <c r="Q20" s="1635" t="s">
        <v>1331</v>
      </c>
      <c r="R20" s="1635" t="s">
        <v>1331</v>
      </c>
      <c r="S20" s="1635" t="s">
        <v>1331</v>
      </c>
      <c r="T20" s="1635" t="s">
        <v>1331</v>
      </c>
      <c r="U20" s="1635" t="s">
        <v>1331</v>
      </c>
      <c r="V20" s="1635" t="s">
        <v>1331</v>
      </c>
      <c r="W20" s="1635" t="s">
        <v>3152</v>
      </c>
      <c r="X20" s="1635" t="s">
        <v>3257</v>
      </c>
      <c r="Y20" s="1635" t="s">
        <v>3258</v>
      </c>
      <c r="Z20" s="1635" t="s">
        <v>3258</v>
      </c>
      <c r="AA20" s="1635" t="s">
        <v>3258</v>
      </c>
      <c r="AB20" s="1635" t="s">
        <v>3259</v>
      </c>
      <c r="AC20" s="1635" t="s">
        <v>3156</v>
      </c>
      <c r="AD20" s="1635" t="s">
        <v>3228</v>
      </c>
      <c r="AE20" s="1635">
        <v>2560</v>
      </c>
      <c r="AF20" s="1635">
        <v>12800</v>
      </c>
      <c r="AG20" s="1635">
        <v>19500</v>
      </c>
      <c r="AH20" s="1635">
        <v>305.02999999999997</v>
      </c>
      <c r="AI20" s="1635">
        <v>464.7</v>
      </c>
      <c r="AJ20" s="1635">
        <v>4575.51</v>
      </c>
      <c r="AK20" s="1635">
        <v>6970.51</v>
      </c>
      <c r="AL20" s="1635" t="s">
        <v>1331</v>
      </c>
      <c r="AM20" s="1635" t="s">
        <v>1331</v>
      </c>
      <c r="AN20" s="1635">
        <v>52.34</v>
      </c>
      <c r="AO20" s="1635" t="s">
        <v>3158</v>
      </c>
      <c r="AP20" s="1635" t="s">
        <v>1331</v>
      </c>
      <c r="AQ20" s="1635" t="s">
        <v>1331</v>
      </c>
      <c r="AR20" s="1635" t="s">
        <v>1331</v>
      </c>
      <c r="AS20" s="1635">
        <f t="shared" si="0"/>
        <v>6971</v>
      </c>
    </row>
    <row r="21" spans="1:45" s="1635" customFormat="1">
      <c r="A21" s="1635" t="s">
        <v>3260</v>
      </c>
      <c r="B21" s="1635" t="s">
        <v>3145</v>
      </c>
      <c r="C21" s="1635" t="s">
        <v>3146</v>
      </c>
      <c r="D21" s="1635" t="s">
        <v>3147</v>
      </c>
      <c r="E21" s="1635" t="s">
        <v>1331</v>
      </c>
      <c r="F21" s="1635" t="s">
        <v>3260</v>
      </c>
      <c r="G21" s="1635" t="s">
        <v>3148</v>
      </c>
      <c r="H21" s="1635" t="s">
        <v>3261</v>
      </c>
      <c r="I21" s="1635" t="s">
        <v>3150</v>
      </c>
      <c r="J21" s="1635">
        <v>38201</v>
      </c>
      <c r="K21" s="1635">
        <v>72581.899999999994</v>
      </c>
      <c r="L21" s="1635" t="s">
        <v>3262</v>
      </c>
      <c r="M21" s="1635" t="s">
        <v>1331</v>
      </c>
      <c r="N21" s="1635" t="s">
        <v>3256</v>
      </c>
      <c r="O21" s="1635" t="s">
        <v>1331</v>
      </c>
      <c r="P21" s="1635" t="s">
        <v>1331</v>
      </c>
      <c r="Q21" s="1635" t="s">
        <v>1331</v>
      </c>
      <c r="R21" s="1635" t="s">
        <v>1331</v>
      </c>
      <c r="S21" s="1635" t="s">
        <v>1331</v>
      </c>
      <c r="T21" s="1635" t="s">
        <v>1331</v>
      </c>
      <c r="U21" s="1635" t="s">
        <v>1331</v>
      </c>
      <c r="V21" s="1635" t="s">
        <v>1331</v>
      </c>
      <c r="W21" s="1635" t="s">
        <v>3152</v>
      </c>
      <c r="X21" s="1635" t="s">
        <v>3263</v>
      </c>
      <c r="Y21" s="1635" t="s">
        <v>3264</v>
      </c>
      <c r="Z21" s="1635" t="s">
        <v>3264</v>
      </c>
      <c r="AA21" s="1635" t="s">
        <v>3264</v>
      </c>
      <c r="AB21" s="1635" t="s">
        <v>3265</v>
      </c>
      <c r="AC21" s="1635" t="s">
        <v>3156</v>
      </c>
      <c r="AD21" s="1635" t="s">
        <v>3266</v>
      </c>
      <c r="AE21" s="1635">
        <v>5080</v>
      </c>
      <c r="AF21" s="1635">
        <v>25400</v>
      </c>
      <c r="AG21" s="1635">
        <v>47700</v>
      </c>
      <c r="AH21" s="1635">
        <v>443.27</v>
      </c>
      <c r="AI21" s="1635">
        <v>832.44</v>
      </c>
      <c r="AJ21" s="1635">
        <v>3499.49</v>
      </c>
      <c r="AK21" s="1635">
        <v>6571.89</v>
      </c>
      <c r="AL21" s="1635" t="s">
        <v>1331</v>
      </c>
      <c r="AM21" s="1635" t="s">
        <v>1331</v>
      </c>
      <c r="AN21" s="1635">
        <v>87.8</v>
      </c>
      <c r="AO21" s="1635" t="s">
        <v>3158</v>
      </c>
      <c r="AP21" s="1635" t="s">
        <v>1331</v>
      </c>
      <c r="AQ21" s="1635" t="s">
        <v>1331</v>
      </c>
      <c r="AR21" s="1635" t="s">
        <v>1331</v>
      </c>
      <c r="AS21" s="1635">
        <f t="shared" si="0"/>
        <v>12487</v>
      </c>
    </row>
    <row r="22" spans="1:45" s="1635" customFormat="1">
      <c r="A22" s="1635" t="s">
        <v>3267</v>
      </c>
      <c r="B22" s="1635" t="s">
        <v>3145</v>
      </c>
      <c r="C22" s="1635" t="s">
        <v>3146</v>
      </c>
      <c r="D22" s="1635" t="s">
        <v>3147</v>
      </c>
      <c r="E22" s="1635" t="s">
        <v>1331</v>
      </c>
      <c r="F22" s="1635" t="s">
        <v>3267</v>
      </c>
      <c r="G22" s="1635" t="s">
        <v>3148</v>
      </c>
      <c r="H22" s="1635" t="s">
        <v>3268</v>
      </c>
      <c r="I22" s="1635" t="s">
        <v>3150</v>
      </c>
      <c r="J22" s="1635">
        <v>25986</v>
      </c>
      <c r="K22" s="1635">
        <v>46774.8</v>
      </c>
      <c r="L22" s="1635" t="s">
        <v>3208</v>
      </c>
      <c r="M22" s="1635" t="s">
        <v>1331</v>
      </c>
      <c r="N22" s="1635" t="s">
        <v>3269</v>
      </c>
      <c r="O22" s="1635" t="s">
        <v>1331</v>
      </c>
      <c r="P22" s="1635" t="s">
        <v>1331</v>
      </c>
      <c r="Q22" s="1635" t="s">
        <v>1331</v>
      </c>
      <c r="R22" s="1635" t="s">
        <v>1331</v>
      </c>
      <c r="S22" s="1635" t="s">
        <v>1331</v>
      </c>
      <c r="T22" s="1635" t="s">
        <v>1331</v>
      </c>
      <c r="U22" s="1635" t="s">
        <v>1331</v>
      </c>
      <c r="V22" s="1635" t="s">
        <v>1331</v>
      </c>
      <c r="W22" s="1635" t="s">
        <v>3152</v>
      </c>
      <c r="X22" s="1635" t="s">
        <v>3270</v>
      </c>
      <c r="Y22" s="1635" t="s">
        <v>3271</v>
      </c>
      <c r="Z22" s="1635" t="s">
        <v>3271</v>
      </c>
      <c r="AA22" s="1635" t="s">
        <v>3271</v>
      </c>
      <c r="AB22" s="1635" t="s">
        <v>3272</v>
      </c>
      <c r="AC22" s="1635" t="s">
        <v>3156</v>
      </c>
      <c r="AD22" s="1635" t="s">
        <v>3228</v>
      </c>
      <c r="AE22" s="1635">
        <v>6400</v>
      </c>
      <c r="AF22" s="1635">
        <v>32000</v>
      </c>
      <c r="AG22" s="1635">
        <v>42100</v>
      </c>
      <c r="AH22" s="1635">
        <v>820.95</v>
      </c>
      <c r="AI22" s="1635">
        <v>1080.07</v>
      </c>
      <c r="AJ22" s="1635">
        <v>6841.29</v>
      </c>
      <c r="AK22" s="1635">
        <v>9000.56</v>
      </c>
      <c r="AL22" s="1635" t="s">
        <v>1331</v>
      </c>
      <c r="AM22" s="1635" t="s">
        <v>1331</v>
      </c>
      <c r="AN22" s="1635">
        <v>31.56</v>
      </c>
      <c r="AO22" s="1635" t="s">
        <v>3158</v>
      </c>
      <c r="AP22" s="1635" t="s">
        <v>1331</v>
      </c>
      <c r="AQ22" s="1635" t="s">
        <v>1331</v>
      </c>
      <c r="AR22" s="1635" t="s">
        <v>1331</v>
      </c>
      <c r="AS22" s="1635">
        <f t="shared" si="0"/>
        <v>16201</v>
      </c>
    </row>
    <row r="23" spans="1:45" s="1635" customFormat="1">
      <c r="A23" s="1635" t="s">
        <v>3273</v>
      </c>
      <c r="B23" s="1635" t="s">
        <v>3145</v>
      </c>
      <c r="C23" s="1635" t="s">
        <v>3146</v>
      </c>
      <c r="D23" s="1635" t="s">
        <v>3147</v>
      </c>
      <c r="E23" s="1635" t="s">
        <v>1331</v>
      </c>
      <c r="F23" s="1635" t="s">
        <v>3273</v>
      </c>
      <c r="G23" s="1635" t="s">
        <v>3148</v>
      </c>
      <c r="H23" s="1635" t="s">
        <v>3274</v>
      </c>
      <c r="I23" s="1635" t="s">
        <v>3150</v>
      </c>
      <c r="J23" s="1635">
        <v>113635</v>
      </c>
      <c r="K23" s="1635">
        <v>227270</v>
      </c>
      <c r="L23" s="1635" t="s">
        <v>3180</v>
      </c>
      <c r="M23" s="1635" t="s">
        <v>1331</v>
      </c>
      <c r="N23" s="1635" t="s">
        <v>3275</v>
      </c>
      <c r="O23" s="1635" t="s">
        <v>3276</v>
      </c>
      <c r="P23" s="1635" t="s">
        <v>1331</v>
      </c>
      <c r="Q23" s="1635" t="s">
        <v>1331</v>
      </c>
      <c r="R23" s="1635" t="s">
        <v>1331</v>
      </c>
      <c r="S23" s="1635" t="s">
        <v>1331</v>
      </c>
      <c r="T23" s="1635" t="s">
        <v>1331</v>
      </c>
      <c r="U23" s="1635" t="s">
        <v>1331</v>
      </c>
      <c r="V23" s="1635" t="s">
        <v>1331</v>
      </c>
      <c r="W23" s="1635" t="s">
        <v>3152</v>
      </c>
      <c r="X23" s="1635" t="s">
        <v>3277</v>
      </c>
      <c r="Y23" s="1635" t="s">
        <v>3278</v>
      </c>
      <c r="Z23" s="1635" t="s">
        <v>3278</v>
      </c>
      <c r="AA23" s="1635" t="s">
        <v>3278</v>
      </c>
      <c r="AB23" s="1635" t="s">
        <v>3279</v>
      </c>
      <c r="AC23" s="1635" t="s">
        <v>3156</v>
      </c>
      <c r="AD23" s="1635" t="s">
        <v>3205</v>
      </c>
      <c r="AE23" s="1635">
        <v>23820</v>
      </c>
      <c r="AF23" s="1635">
        <v>119100</v>
      </c>
      <c r="AG23" s="1635">
        <v>119100</v>
      </c>
      <c r="AH23" s="1635">
        <v>698.73</v>
      </c>
      <c r="AI23" s="1635">
        <v>698.73</v>
      </c>
      <c r="AJ23" s="1635">
        <v>5240.46</v>
      </c>
      <c r="AK23" s="1635">
        <v>5240.46</v>
      </c>
      <c r="AL23" s="1635" t="s">
        <v>1331</v>
      </c>
      <c r="AM23" s="1635" t="s">
        <v>1331</v>
      </c>
      <c r="AN23" s="1635">
        <v>0</v>
      </c>
      <c r="AO23" s="1635" t="s">
        <v>3158</v>
      </c>
      <c r="AP23" s="1635" t="s">
        <v>1331</v>
      </c>
      <c r="AQ23" s="1635" t="s">
        <v>1331</v>
      </c>
      <c r="AR23" s="1635" t="s">
        <v>1331</v>
      </c>
      <c r="AS23" s="1635">
        <f t="shared" si="0"/>
        <v>10481</v>
      </c>
    </row>
    <row r="24" spans="1:45" s="1635" customFormat="1">
      <c r="A24" s="1635" t="s">
        <v>3280</v>
      </c>
      <c r="B24" s="1635" t="s">
        <v>3145</v>
      </c>
      <c r="C24" s="1635" t="s">
        <v>3146</v>
      </c>
      <c r="D24" s="1635" t="s">
        <v>3147</v>
      </c>
      <c r="E24" s="1635" t="s">
        <v>1331</v>
      </c>
      <c r="F24" s="1635" t="s">
        <v>3280</v>
      </c>
      <c r="G24" s="1635" t="s">
        <v>3148</v>
      </c>
      <c r="H24" s="1635" t="s">
        <v>3281</v>
      </c>
      <c r="I24" s="1635" t="s">
        <v>3150</v>
      </c>
      <c r="J24" s="1635">
        <v>115424</v>
      </c>
      <c r="K24" s="1635">
        <v>230848</v>
      </c>
      <c r="L24" s="1635" t="s">
        <v>3231</v>
      </c>
      <c r="M24" s="1635" t="s">
        <v>1331</v>
      </c>
      <c r="N24" s="1635" t="s">
        <v>3275</v>
      </c>
      <c r="O24" s="1635" t="s">
        <v>3282</v>
      </c>
      <c r="P24" s="1635" t="s">
        <v>1331</v>
      </c>
      <c r="Q24" s="1635" t="s">
        <v>1331</v>
      </c>
      <c r="R24" s="1635" t="s">
        <v>1331</v>
      </c>
      <c r="S24" s="1635" t="s">
        <v>1331</v>
      </c>
      <c r="T24" s="1635" t="s">
        <v>1331</v>
      </c>
      <c r="U24" s="1635" t="s">
        <v>1331</v>
      </c>
      <c r="V24" s="1635" t="s">
        <v>1331</v>
      </c>
      <c r="W24" s="1635" t="s">
        <v>3152</v>
      </c>
      <c r="X24" s="1635" t="s">
        <v>3283</v>
      </c>
      <c r="Y24" s="1635" t="s">
        <v>3249</v>
      </c>
      <c r="Z24" s="1635" t="s">
        <v>3249</v>
      </c>
      <c r="AA24" s="1635" t="s">
        <v>3249</v>
      </c>
      <c r="AB24" s="1635" t="s">
        <v>3284</v>
      </c>
      <c r="AC24" s="1635" t="s">
        <v>3156</v>
      </c>
      <c r="AD24" s="1635" t="s">
        <v>3184</v>
      </c>
      <c r="AE24" s="1635">
        <v>34040</v>
      </c>
      <c r="AF24" s="1635">
        <v>170200</v>
      </c>
      <c r="AG24" s="1635">
        <v>198000</v>
      </c>
      <c r="AH24" s="1635">
        <v>983.04</v>
      </c>
      <c r="AI24" s="1635">
        <v>1143.6099999999999</v>
      </c>
      <c r="AJ24" s="1635">
        <v>7372.81</v>
      </c>
      <c r="AK24" s="1635">
        <v>8577.06</v>
      </c>
      <c r="AL24" s="1635" t="s">
        <v>1331</v>
      </c>
      <c r="AM24" s="1635" t="s">
        <v>1331</v>
      </c>
      <c r="AN24" s="1635">
        <v>16.329999999999998</v>
      </c>
      <c r="AO24" s="1635" t="s">
        <v>3158</v>
      </c>
      <c r="AP24" s="1635" t="s">
        <v>1331</v>
      </c>
      <c r="AQ24" s="1635" t="s">
        <v>1331</v>
      </c>
      <c r="AR24" s="1635" t="s">
        <v>1331</v>
      </c>
      <c r="AS24" s="1635">
        <f t="shared" si="0"/>
        <v>17154</v>
      </c>
    </row>
    <row r="25" spans="1:45" s="2947" customFormat="1">
      <c r="A25" s="2947" t="s">
        <v>3285</v>
      </c>
      <c r="B25" s="2947" t="s">
        <v>3145</v>
      </c>
      <c r="C25" s="2947" t="s">
        <v>3146</v>
      </c>
      <c r="D25" s="2947" t="s">
        <v>3147</v>
      </c>
      <c r="E25" s="2947" t="s">
        <v>1331</v>
      </c>
      <c r="F25" s="2947" t="s">
        <v>3285</v>
      </c>
      <c r="G25" s="2947" t="s">
        <v>3148</v>
      </c>
      <c r="H25" s="2947" t="s">
        <v>3286</v>
      </c>
      <c r="I25" s="2947" t="s">
        <v>3150</v>
      </c>
      <c r="J25" s="2947">
        <v>20730</v>
      </c>
      <c r="K25" s="2947">
        <v>26949</v>
      </c>
      <c r="L25" s="2947" t="s">
        <v>3161</v>
      </c>
      <c r="M25" s="2947" t="s">
        <v>1331</v>
      </c>
      <c r="N25" s="2947" t="s">
        <v>3256</v>
      </c>
      <c r="O25" s="2947" t="s">
        <v>3287</v>
      </c>
      <c r="P25" s="2947" t="s">
        <v>1331</v>
      </c>
      <c r="Q25" s="2947" t="s">
        <v>1331</v>
      </c>
      <c r="R25" s="2947" t="s">
        <v>1331</v>
      </c>
      <c r="S25" s="2947" t="s">
        <v>1331</v>
      </c>
      <c r="T25" s="2947" t="s">
        <v>1331</v>
      </c>
      <c r="U25" s="2947" t="s">
        <v>1331</v>
      </c>
      <c r="V25" s="2947" t="s">
        <v>1331</v>
      </c>
      <c r="W25" s="2947" t="s">
        <v>3152</v>
      </c>
      <c r="X25" s="2947" t="s">
        <v>3288</v>
      </c>
      <c r="Y25" s="2947" t="s">
        <v>3289</v>
      </c>
      <c r="Z25" s="2947" t="s">
        <v>3289</v>
      </c>
      <c r="AA25" s="2947" t="s">
        <v>3289</v>
      </c>
      <c r="AB25" s="2947" t="s">
        <v>3290</v>
      </c>
      <c r="AC25" s="2947" t="s">
        <v>3156</v>
      </c>
      <c r="AD25" s="2947" t="s">
        <v>3291</v>
      </c>
      <c r="AE25" s="2947">
        <v>3500</v>
      </c>
      <c r="AF25" s="2947">
        <v>17500</v>
      </c>
      <c r="AG25" s="2947">
        <v>17600</v>
      </c>
      <c r="AH25" s="2947">
        <v>562.79</v>
      </c>
      <c r="AI25" s="2947">
        <v>566.01</v>
      </c>
      <c r="AJ25" s="2947">
        <v>6493.74</v>
      </c>
      <c r="AK25" s="2947">
        <v>6530.85</v>
      </c>
      <c r="AL25" s="2947" t="s">
        <v>1331</v>
      </c>
      <c r="AM25" s="2947" t="s">
        <v>1331</v>
      </c>
      <c r="AN25" s="2947">
        <v>0.56999999999999995</v>
      </c>
      <c r="AO25" s="2947" t="s">
        <v>3158</v>
      </c>
      <c r="AP25" s="2947" t="s">
        <v>1331</v>
      </c>
      <c r="AQ25" s="2947" t="s">
        <v>1331</v>
      </c>
      <c r="AR25" s="2947" t="s">
        <v>1331</v>
      </c>
      <c r="AS25" s="2947">
        <f t="shared" si="0"/>
        <v>8490</v>
      </c>
    </row>
    <row r="26" spans="1:45" s="1635" customFormat="1">
      <c r="A26" s="1635" t="s">
        <v>3292</v>
      </c>
      <c r="B26" s="1635" t="s">
        <v>3145</v>
      </c>
      <c r="C26" s="1635" t="s">
        <v>3146</v>
      </c>
      <c r="D26" s="1635" t="s">
        <v>3147</v>
      </c>
      <c r="E26" s="1635" t="s">
        <v>1331</v>
      </c>
      <c r="F26" s="1635" t="s">
        <v>3292</v>
      </c>
      <c r="G26" s="1635" t="s">
        <v>3148</v>
      </c>
      <c r="H26" s="1635" t="s">
        <v>3293</v>
      </c>
      <c r="I26" s="1635" t="s">
        <v>3150</v>
      </c>
      <c r="J26" s="1635">
        <v>32948</v>
      </c>
      <c r="K26" s="1635">
        <v>65896</v>
      </c>
      <c r="L26" s="1635" t="s">
        <v>3180</v>
      </c>
      <c r="M26" s="1635" t="s">
        <v>1331</v>
      </c>
      <c r="N26" s="1635" t="s">
        <v>3275</v>
      </c>
      <c r="O26" s="1635" t="s">
        <v>3276</v>
      </c>
      <c r="P26" s="1635" t="s">
        <v>1331</v>
      </c>
      <c r="Q26" s="1635" t="s">
        <v>1331</v>
      </c>
      <c r="R26" s="1635" t="s">
        <v>1331</v>
      </c>
      <c r="S26" s="1635" t="s">
        <v>1331</v>
      </c>
      <c r="T26" s="1635" t="s">
        <v>1331</v>
      </c>
      <c r="U26" s="1635" t="s">
        <v>1331</v>
      </c>
      <c r="V26" s="1635" t="s">
        <v>1331</v>
      </c>
      <c r="W26" s="1635" t="s">
        <v>3152</v>
      </c>
      <c r="X26" s="1635" t="s">
        <v>3288</v>
      </c>
      <c r="Y26" s="1635" t="s">
        <v>3289</v>
      </c>
      <c r="Z26" s="1635" t="s">
        <v>3289</v>
      </c>
      <c r="AA26" s="1635" t="s">
        <v>3289</v>
      </c>
      <c r="AB26" s="1635" t="s">
        <v>3294</v>
      </c>
      <c r="AC26" s="1635" t="s">
        <v>3156</v>
      </c>
      <c r="AD26" s="1635" t="s">
        <v>3199</v>
      </c>
      <c r="AE26" s="1635">
        <v>1080</v>
      </c>
      <c r="AF26" s="1635">
        <v>5400</v>
      </c>
      <c r="AG26" s="1635">
        <v>5400</v>
      </c>
      <c r="AH26" s="1635">
        <v>109.26</v>
      </c>
      <c r="AI26" s="1635">
        <v>109.26</v>
      </c>
      <c r="AJ26" s="1635">
        <v>819.47</v>
      </c>
      <c r="AK26" s="1635">
        <v>819.47</v>
      </c>
      <c r="AL26" s="1635" t="s">
        <v>1331</v>
      </c>
      <c r="AM26" s="1635" t="s">
        <v>1331</v>
      </c>
      <c r="AN26" s="1635">
        <v>0</v>
      </c>
      <c r="AO26" s="1635" t="s">
        <v>3158</v>
      </c>
      <c r="AP26" s="1635" t="s">
        <v>1331</v>
      </c>
      <c r="AQ26" s="1635" t="s">
        <v>1331</v>
      </c>
      <c r="AR26" s="1635" t="s">
        <v>1331</v>
      </c>
      <c r="AS26" s="1635">
        <f t="shared" si="0"/>
        <v>1639</v>
      </c>
    </row>
    <row r="27" spans="1:45" s="1635" customFormat="1">
      <c r="A27" s="1635" t="s">
        <v>3295</v>
      </c>
      <c r="B27" s="1635" t="s">
        <v>3145</v>
      </c>
      <c r="C27" s="1635" t="s">
        <v>3146</v>
      </c>
      <c r="D27" s="1635" t="s">
        <v>3147</v>
      </c>
      <c r="E27" s="1635" t="s">
        <v>1331</v>
      </c>
      <c r="F27" s="1635" t="s">
        <v>3295</v>
      </c>
      <c r="G27" s="1635" t="s">
        <v>3148</v>
      </c>
      <c r="H27" s="1635" t="s">
        <v>3296</v>
      </c>
      <c r="I27" s="1635" t="s">
        <v>3150</v>
      </c>
      <c r="J27" s="1635">
        <v>52633</v>
      </c>
      <c r="K27" s="1635">
        <v>94739.4</v>
      </c>
      <c r="L27" s="1635" t="s">
        <v>3208</v>
      </c>
      <c r="M27" s="1635" t="s">
        <v>1331</v>
      </c>
      <c r="N27" s="1635" t="s">
        <v>3256</v>
      </c>
      <c r="O27" s="1635" t="s">
        <v>3297</v>
      </c>
      <c r="P27" s="1635" t="s">
        <v>1331</v>
      </c>
      <c r="Q27" s="1635" t="s">
        <v>1331</v>
      </c>
      <c r="R27" s="1635" t="s">
        <v>1331</v>
      </c>
      <c r="S27" s="1635" t="s">
        <v>1331</v>
      </c>
      <c r="T27" s="1635" t="s">
        <v>1331</v>
      </c>
      <c r="U27" s="1635" t="s">
        <v>1331</v>
      </c>
      <c r="V27" s="1635" t="s">
        <v>1331</v>
      </c>
      <c r="W27" s="1635" t="s">
        <v>3152</v>
      </c>
      <c r="X27" s="1635" t="s">
        <v>3298</v>
      </c>
      <c r="Y27" s="1635" t="s">
        <v>3299</v>
      </c>
      <c r="Z27" s="1635" t="s">
        <v>3299</v>
      </c>
      <c r="AA27" s="1635" t="s">
        <v>3299</v>
      </c>
      <c r="AB27" s="1635" t="s">
        <v>3300</v>
      </c>
      <c r="AC27" s="1635" t="s">
        <v>3156</v>
      </c>
      <c r="AD27" s="1635" t="s">
        <v>3301</v>
      </c>
      <c r="AE27" s="1635">
        <v>7020</v>
      </c>
      <c r="AF27" s="1635">
        <v>35100</v>
      </c>
      <c r="AG27" s="1635">
        <v>45700</v>
      </c>
      <c r="AH27" s="1635">
        <v>444.59</v>
      </c>
      <c r="AI27" s="1635">
        <v>578.85</v>
      </c>
      <c r="AJ27" s="1635">
        <v>3704.9</v>
      </c>
      <c r="AK27" s="1635">
        <v>4823.76</v>
      </c>
      <c r="AL27" s="1635" t="s">
        <v>1331</v>
      </c>
      <c r="AM27" s="1635" t="s">
        <v>1331</v>
      </c>
      <c r="AN27" s="1635">
        <v>30.2</v>
      </c>
      <c r="AO27" s="1635" t="s">
        <v>3158</v>
      </c>
      <c r="AP27" s="1635" t="s">
        <v>1331</v>
      </c>
      <c r="AQ27" s="1635" t="s">
        <v>1331</v>
      </c>
      <c r="AR27" s="1635" t="s">
        <v>1331</v>
      </c>
      <c r="AS27" s="1635">
        <f t="shared" si="0"/>
        <v>8683</v>
      </c>
    </row>
    <row r="28" spans="1:45" s="1635" customFormat="1">
      <c r="A28" s="1635" t="s">
        <v>3302</v>
      </c>
      <c r="B28" s="1635" t="s">
        <v>3145</v>
      </c>
      <c r="C28" s="1635" t="s">
        <v>3146</v>
      </c>
      <c r="D28" s="1635" t="s">
        <v>3147</v>
      </c>
      <c r="E28" s="1635" t="s">
        <v>1331</v>
      </c>
      <c r="F28" s="1635" t="s">
        <v>3302</v>
      </c>
      <c r="G28" s="1635" t="s">
        <v>3148</v>
      </c>
      <c r="H28" s="1635" t="s">
        <v>3303</v>
      </c>
      <c r="I28" s="1635" t="s">
        <v>3150</v>
      </c>
      <c r="J28" s="1635">
        <v>103835</v>
      </c>
      <c r="K28" s="1635">
        <v>134985.5</v>
      </c>
      <c r="L28" s="1635" t="s">
        <v>3161</v>
      </c>
      <c r="M28" s="1635" t="s">
        <v>1331</v>
      </c>
      <c r="N28" s="1635" t="s">
        <v>3256</v>
      </c>
      <c r="O28" s="1635" t="s">
        <v>3304</v>
      </c>
      <c r="P28" s="1635" t="s">
        <v>1331</v>
      </c>
      <c r="Q28" s="1635" t="s">
        <v>1331</v>
      </c>
      <c r="R28" s="1635" t="s">
        <v>1331</v>
      </c>
      <c r="S28" s="1635" t="s">
        <v>1331</v>
      </c>
      <c r="T28" s="1635" t="s">
        <v>1331</v>
      </c>
      <c r="U28" s="1635" t="s">
        <v>1331</v>
      </c>
      <c r="V28" s="1635" t="s">
        <v>1331</v>
      </c>
      <c r="W28" s="1635" t="s">
        <v>3152</v>
      </c>
      <c r="X28" s="1635" t="s">
        <v>3305</v>
      </c>
      <c r="Y28" s="1635" t="s">
        <v>3306</v>
      </c>
      <c r="Z28" s="1635" t="s">
        <v>3306</v>
      </c>
      <c r="AA28" s="1635" t="s">
        <v>3306</v>
      </c>
      <c r="AB28" s="1635" t="s">
        <v>3307</v>
      </c>
      <c r="AC28" s="1635" t="s">
        <v>3156</v>
      </c>
      <c r="AD28" s="1635" t="s">
        <v>3308</v>
      </c>
      <c r="AE28" s="1635">
        <v>5620</v>
      </c>
      <c r="AF28" s="1635">
        <v>28100</v>
      </c>
      <c r="AG28" s="1635">
        <v>28100</v>
      </c>
      <c r="AH28" s="1635">
        <v>180.41</v>
      </c>
      <c r="AI28" s="1635">
        <v>180.41</v>
      </c>
      <c r="AJ28" s="1635">
        <v>2081.6999999999998</v>
      </c>
      <c r="AK28" s="1635">
        <v>2081.71</v>
      </c>
      <c r="AL28" s="1635" t="s">
        <v>1331</v>
      </c>
      <c r="AM28" s="1635" t="s">
        <v>1331</v>
      </c>
      <c r="AN28" s="1635">
        <v>0</v>
      </c>
      <c r="AO28" s="1635" t="s">
        <v>3158</v>
      </c>
      <c r="AP28" s="1635" t="s">
        <v>1331</v>
      </c>
      <c r="AQ28" s="1635" t="s">
        <v>1331</v>
      </c>
      <c r="AR28" s="1635" t="s">
        <v>1331</v>
      </c>
      <c r="AS28" s="1635">
        <f t="shared" si="0"/>
        <v>2706</v>
      </c>
    </row>
    <row r="29" spans="1:45" s="1635" customFormat="1">
      <c r="A29" s="1635" t="s">
        <v>3309</v>
      </c>
      <c r="B29" s="1635" t="s">
        <v>3145</v>
      </c>
      <c r="C29" s="1635" t="s">
        <v>3146</v>
      </c>
      <c r="D29" s="1635" t="s">
        <v>3147</v>
      </c>
      <c r="E29" s="1635" t="s">
        <v>1331</v>
      </c>
      <c r="F29" s="1635" t="s">
        <v>3309</v>
      </c>
      <c r="G29" s="1635" t="s">
        <v>3148</v>
      </c>
      <c r="H29" s="1635" t="s">
        <v>3310</v>
      </c>
      <c r="I29" s="1635" t="s">
        <v>3150</v>
      </c>
      <c r="J29" s="1635">
        <v>72178</v>
      </c>
      <c r="K29" s="1635">
        <v>93831.4</v>
      </c>
      <c r="L29" s="1635" t="s">
        <v>3161</v>
      </c>
      <c r="M29" s="1635" t="s">
        <v>1331</v>
      </c>
      <c r="N29" s="1635" t="s">
        <v>3256</v>
      </c>
      <c r="O29" s="1635" t="s">
        <v>3304</v>
      </c>
      <c r="P29" s="1635" t="s">
        <v>1331</v>
      </c>
      <c r="Q29" s="1635" t="s">
        <v>1331</v>
      </c>
      <c r="R29" s="1635" t="s">
        <v>1331</v>
      </c>
      <c r="S29" s="1635" t="s">
        <v>1331</v>
      </c>
      <c r="T29" s="1635" t="s">
        <v>1331</v>
      </c>
      <c r="U29" s="1635" t="s">
        <v>1331</v>
      </c>
      <c r="V29" s="1635" t="s">
        <v>1331</v>
      </c>
      <c r="W29" s="1635" t="s">
        <v>3152</v>
      </c>
      <c r="X29" s="1635" t="s">
        <v>3305</v>
      </c>
      <c r="Y29" s="1635" t="s">
        <v>3306</v>
      </c>
      <c r="Z29" s="1635" t="s">
        <v>3306</v>
      </c>
      <c r="AA29" s="1635" t="s">
        <v>3306</v>
      </c>
      <c r="AB29" s="1635" t="s">
        <v>3311</v>
      </c>
      <c r="AC29" s="1635" t="s">
        <v>3156</v>
      </c>
      <c r="AD29" s="1635" t="s">
        <v>3308</v>
      </c>
      <c r="AE29" s="1635">
        <v>3900</v>
      </c>
      <c r="AF29" s="1635">
        <v>19500</v>
      </c>
      <c r="AG29" s="1635">
        <v>19500</v>
      </c>
      <c r="AH29" s="1635">
        <v>180.11</v>
      </c>
      <c r="AI29" s="1635">
        <v>180.11</v>
      </c>
      <c r="AJ29" s="1635">
        <v>2078.19</v>
      </c>
      <c r="AK29" s="1635">
        <v>2078.19</v>
      </c>
      <c r="AL29" s="1635" t="s">
        <v>1331</v>
      </c>
      <c r="AM29" s="1635" t="s">
        <v>1331</v>
      </c>
      <c r="AN29" s="1635">
        <v>0</v>
      </c>
      <c r="AO29" s="1635" t="s">
        <v>3158</v>
      </c>
      <c r="AP29" s="1635" t="s">
        <v>1331</v>
      </c>
      <c r="AQ29" s="1635" t="s">
        <v>1331</v>
      </c>
      <c r="AR29" s="1635" t="s">
        <v>1331</v>
      </c>
      <c r="AS29" s="1635">
        <f t="shared" si="0"/>
        <v>2702</v>
      </c>
    </row>
    <row r="30" spans="1:45" s="1635" customFormat="1">
      <c r="A30" s="1635" t="s">
        <v>3312</v>
      </c>
      <c r="B30" s="1635" t="s">
        <v>3145</v>
      </c>
      <c r="C30" s="1635" t="s">
        <v>3146</v>
      </c>
      <c r="D30" s="1635" t="s">
        <v>3147</v>
      </c>
      <c r="E30" s="1635" t="s">
        <v>1331</v>
      </c>
      <c r="F30" s="1635" t="s">
        <v>3312</v>
      </c>
      <c r="G30" s="1635" t="s">
        <v>3148</v>
      </c>
      <c r="H30" s="1635" t="s">
        <v>3313</v>
      </c>
      <c r="I30" s="1635" t="s">
        <v>3150</v>
      </c>
      <c r="J30" s="1635">
        <v>38362</v>
      </c>
      <c r="K30" s="1635">
        <v>69051.600000000006</v>
      </c>
      <c r="L30" s="1635" t="s">
        <v>3208</v>
      </c>
      <c r="M30" s="1635" t="s">
        <v>1331</v>
      </c>
      <c r="N30" s="1635" t="s">
        <v>3256</v>
      </c>
      <c r="O30" s="1635" t="s">
        <v>1331</v>
      </c>
      <c r="P30" s="1635" t="s">
        <v>1331</v>
      </c>
      <c r="Q30" s="1635" t="s">
        <v>1331</v>
      </c>
      <c r="R30" s="1635" t="s">
        <v>1331</v>
      </c>
      <c r="S30" s="1635" t="s">
        <v>1331</v>
      </c>
      <c r="T30" s="1635" t="s">
        <v>1331</v>
      </c>
      <c r="U30" s="1635" t="s">
        <v>1331</v>
      </c>
      <c r="V30" s="1635" t="s">
        <v>1331</v>
      </c>
      <c r="W30" s="1635" t="s">
        <v>3152</v>
      </c>
      <c r="X30" s="1635" t="s">
        <v>3314</v>
      </c>
      <c r="Y30" s="1635" t="s">
        <v>3315</v>
      </c>
      <c r="Z30" s="1635" t="s">
        <v>3315</v>
      </c>
      <c r="AA30" s="1635" t="s">
        <v>3315</v>
      </c>
      <c r="AB30" s="1635" t="s">
        <v>3316</v>
      </c>
      <c r="AC30" s="1635" t="s">
        <v>3156</v>
      </c>
      <c r="AD30" s="1635" t="s">
        <v>3317</v>
      </c>
      <c r="AE30" s="1635">
        <v>4160</v>
      </c>
      <c r="AF30" s="1635">
        <v>20800</v>
      </c>
      <c r="AG30" s="1635">
        <v>30000</v>
      </c>
      <c r="AH30" s="1635">
        <v>361.47</v>
      </c>
      <c r="AI30" s="1635">
        <v>521.35</v>
      </c>
      <c r="AJ30" s="1635">
        <v>3012.24</v>
      </c>
      <c r="AK30" s="1635">
        <v>4344.57</v>
      </c>
      <c r="AL30" s="1635" t="s">
        <v>1331</v>
      </c>
      <c r="AM30" s="1635" t="s">
        <v>1331</v>
      </c>
      <c r="AN30" s="1635">
        <v>44.23</v>
      </c>
      <c r="AO30" s="1635" t="s">
        <v>3158</v>
      </c>
      <c r="AP30" s="1635" t="s">
        <v>1331</v>
      </c>
      <c r="AQ30" s="1635" t="s">
        <v>1331</v>
      </c>
      <c r="AR30" s="1635" t="s">
        <v>1331</v>
      </c>
      <c r="AS30" s="1635">
        <f t="shared" si="0"/>
        <v>7820</v>
      </c>
    </row>
    <row r="31" spans="1:45" s="1635" customFormat="1">
      <c r="A31" s="1635" t="s">
        <v>3318</v>
      </c>
      <c r="B31" s="1635" t="s">
        <v>3145</v>
      </c>
      <c r="C31" s="1635" t="s">
        <v>3146</v>
      </c>
      <c r="D31" s="1635" t="s">
        <v>3147</v>
      </c>
      <c r="E31" s="1635" t="s">
        <v>1331</v>
      </c>
      <c r="F31" s="1635" t="s">
        <v>3318</v>
      </c>
      <c r="G31" s="1635" t="s">
        <v>3148</v>
      </c>
      <c r="H31" s="1635" t="s">
        <v>3319</v>
      </c>
      <c r="I31" s="1635" t="s">
        <v>3150</v>
      </c>
      <c r="J31" s="1635">
        <v>64220</v>
      </c>
      <c r="K31" s="1635">
        <v>134862</v>
      </c>
      <c r="L31" s="1635" t="s">
        <v>3320</v>
      </c>
      <c r="M31" s="1635" t="s">
        <v>1331</v>
      </c>
      <c r="N31" s="1635" t="s">
        <v>3269</v>
      </c>
      <c r="O31" s="1635" t="s">
        <v>3321</v>
      </c>
      <c r="P31" s="1635" t="s">
        <v>1331</v>
      </c>
      <c r="Q31" s="1635" t="s">
        <v>1331</v>
      </c>
      <c r="R31" s="1635" t="s">
        <v>1331</v>
      </c>
      <c r="S31" s="1635" t="s">
        <v>1331</v>
      </c>
      <c r="T31" s="1635" t="s">
        <v>1331</v>
      </c>
      <c r="U31" s="1635" t="s">
        <v>1331</v>
      </c>
      <c r="V31" s="1635" t="s">
        <v>1331</v>
      </c>
      <c r="W31" s="1635" t="s">
        <v>3152</v>
      </c>
      <c r="X31" s="1635" t="s">
        <v>3322</v>
      </c>
      <c r="Y31" s="1635" t="s">
        <v>3323</v>
      </c>
      <c r="Z31" s="1635" t="s">
        <v>3323</v>
      </c>
      <c r="AA31" s="1635" t="s">
        <v>3323</v>
      </c>
      <c r="AB31" s="1635" t="s">
        <v>3324</v>
      </c>
      <c r="AC31" s="1635" t="s">
        <v>3156</v>
      </c>
      <c r="AD31" s="1635" t="s">
        <v>3325</v>
      </c>
      <c r="AE31" s="1635">
        <v>16182</v>
      </c>
      <c r="AF31" s="1635">
        <v>80910</v>
      </c>
      <c r="AG31" s="1635">
        <v>112010</v>
      </c>
      <c r="AH31" s="1635">
        <v>839.93</v>
      </c>
      <c r="AI31" s="1635">
        <v>1162.77</v>
      </c>
      <c r="AJ31" s="1635">
        <v>5999.46</v>
      </c>
      <c r="AK31" s="1635">
        <v>8305.5300000000007</v>
      </c>
      <c r="AL31" s="1635" t="s">
        <v>1331</v>
      </c>
      <c r="AM31" s="1635" t="s">
        <v>1331</v>
      </c>
      <c r="AN31" s="1635">
        <v>38.44</v>
      </c>
      <c r="AO31" s="1635" t="s">
        <v>3158</v>
      </c>
      <c r="AP31" s="1635" t="s">
        <v>1331</v>
      </c>
      <c r="AQ31" s="1635" t="s">
        <v>1331</v>
      </c>
      <c r="AR31" s="1635" t="s">
        <v>1331</v>
      </c>
      <c r="AS31" s="1635">
        <f t="shared" si="0"/>
        <v>17442</v>
      </c>
    </row>
    <row r="32" spans="1:45" s="1635" customFormat="1">
      <c r="A32" s="1635" t="s">
        <v>3326</v>
      </c>
      <c r="B32" s="1635" t="s">
        <v>3145</v>
      </c>
      <c r="C32" s="1635" t="s">
        <v>3146</v>
      </c>
      <c r="D32" s="1635" t="s">
        <v>3147</v>
      </c>
      <c r="E32" s="1635" t="s">
        <v>1331</v>
      </c>
      <c r="F32" s="1635" t="s">
        <v>3326</v>
      </c>
      <c r="G32" s="1635" t="s">
        <v>3148</v>
      </c>
      <c r="H32" s="1635" t="s">
        <v>3327</v>
      </c>
      <c r="I32" s="1635" t="s">
        <v>3150</v>
      </c>
      <c r="J32" s="1635">
        <v>13732</v>
      </c>
      <c r="K32" s="1635">
        <v>30210.400000000001</v>
      </c>
      <c r="L32" s="1635" t="s">
        <v>3328</v>
      </c>
      <c r="M32" s="1635" t="s">
        <v>1331</v>
      </c>
      <c r="N32" s="1635" t="s">
        <v>3275</v>
      </c>
      <c r="O32" s="1635" t="s">
        <v>3282</v>
      </c>
      <c r="P32" s="1635" t="s">
        <v>1331</v>
      </c>
      <c r="Q32" s="1635" t="s">
        <v>1331</v>
      </c>
      <c r="R32" s="1635" t="s">
        <v>1331</v>
      </c>
      <c r="S32" s="1635" t="s">
        <v>1331</v>
      </c>
      <c r="T32" s="1635" t="s">
        <v>1331</v>
      </c>
      <c r="U32" s="1635" t="s">
        <v>1331</v>
      </c>
      <c r="V32" s="1635" t="s">
        <v>1331</v>
      </c>
      <c r="W32" s="1635" t="s">
        <v>3152</v>
      </c>
      <c r="X32" s="1635" t="s">
        <v>3322</v>
      </c>
      <c r="Y32" s="1635" t="s">
        <v>3323</v>
      </c>
      <c r="Z32" s="1635" t="s">
        <v>3323</v>
      </c>
      <c r="AA32" s="1635" t="s">
        <v>3323</v>
      </c>
      <c r="AB32" s="1635" t="s">
        <v>3329</v>
      </c>
      <c r="AC32" s="1635" t="s">
        <v>3156</v>
      </c>
      <c r="AD32" s="1635" t="s">
        <v>3330</v>
      </c>
      <c r="AE32" s="1635">
        <v>3542</v>
      </c>
      <c r="AF32" s="1635">
        <v>17710</v>
      </c>
      <c r="AG32" s="1635">
        <v>23410</v>
      </c>
      <c r="AH32" s="1635">
        <v>859.79</v>
      </c>
      <c r="AI32" s="1635">
        <v>1136.52</v>
      </c>
      <c r="AJ32" s="1635">
        <v>5862.21</v>
      </c>
      <c r="AK32" s="1635">
        <v>7748.98</v>
      </c>
      <c r="AL32" s="1635" t="s">
        <v>1331</v>
      </c>
      <c r="AM32" s="1635" t="s">
        <v>1331</v>
      </c>
      <c r="AN32" s="1635">
        <v>32.19</v>
      </c>
      <c r="AO32" s="1635" t="s">
        <v>3158</v>
      </c>
      <c r="AP32" s="1635" t="s">
        <v>1331</v>
      </c>
      <c r="AQ32" s="1635" t="s">
        <v>1331</v>
      </c>
      <c r="AR32" s="1635" t="s">
        <v>1331</v>
      </c>
      <c r="AS32" s="1635">
        <f t="shared" si="0"/>
        <v>17048</v>
      </c>
    </row>
    <row r="33" spans="1:45" s="1635" customFormat="1">
      <c r="A33" s="1635" t="s">
        <v>3331</v>
      </c>
      <c r="B33" s="1635" t="s">
        <v>3145</v>
      </c>
      <c r="C33" s="1635" t="s">
        <v>3146</v>
      </c>
      <c r="D33" s="1635" t="s">
        <v>3147</v>
      </c>
      <c r="E33" s="1635" t="s">
        <v>1331</v>
      </c>
      <c r="F33" s="1635" t="s">
        <v>3331</v>
      </c>
      <c r="G33" s="1635" t="s">
        <v>3148</v>
      </c>
      <c r="H33" s="1635" t="s">
        <v>3332</v>
      </c>
      <c r="I33" s="1635" t="s">
        <v>3150</v>
      </c>
      <c r="J33" s="1635">
        <v>56441</v>
      </c>
      <c r="K33" s="1635">
        <v>112882</v>
      </c>
      <c r="L33" s="1635" t="s">
        <v>3236</v>
      </c>
      <c r="M33" s="1635" t="s">
        <v>1331</v>
      </c>
      <c r="N33" s="1635" t="s">
        <v>3269</v>
      </c>
      <c r="O33" s="1635" t="s">
        <v>3276</v>
      </c>
      <c r="P33" s="1635" t="s">
        <v>1331</v>
      </c>
      <c r="Q33" s="1635" t="s">
        <v>1331</v>
      </c>
      <c r="R33" s="1635" t="s">
        <v>1331</v>
      </c>
      <c r="S33" s="1635" t="s">
        <v>1331</v>
      </c>
      <c r="T33" s="1635" t="s">
        <v>1331</v>
      </c>
      <c r="U33" s="1635" t="s">
        <v>1331</v>
      </c>
      <c r="V33" s="1635" t="s">
        <v>1331</v>
      </c>
      <c r="W33" s="1635" t="s">
        <v>3152</v>
      </c>
      <c r="X33" s="1635" t="s">
        <v>3333</v>
      </c>
      <c r="Y33" s="1635" t="s">
        <v>3334</v>
      </c>
      <c r="Z33" s="1635" t="s">
        <v>3334</v>
      </c>
      <c r="AA33" s="1635" t="s">
        <v>3334</v>
      </c>
      <c r="AB33" s="1635" t="s">
        <v>3335</v>
      </c>
      <c r="AC33" s="1635" t="s">
        <v>3156</v>
      </c>
      <c r="AD33" s="1635" t="s">
        <v>3336</v>
      </c>
      <c r="AE33" s="1635">
        <v>12220</v>
      </c>
      <c r="AF33" s="1635">
        <v>61100</v>
      </c>
      <c r="AG33" s="1635">
        <v>61100</v>
      </c>
      <c r="AH33" s="1635">
        <v>721.7</v>
      </c>
      <c r="AI33" s="1635">
        <v>721.7</v>
      </c>
      <c r="AJ33" s="1635">
        <v>5412.73</v>
      </c>
      <c r="AK33" s="1635">
        <v>5412.72</v>
      </c>
      <c r="AL33" s="1635" t="s">
        <v>1331</v>
      </c>
      <c r="AM33" s="1635" t="s">
        <v>1331</v>
      </c>
      <c r="AN33" s="1635">
        <v>0</v>
      </c>
      <c r="AO33" s="1635" t="s">
        <v>3158</v>
      </c>
      <c r="AP33" s="1635" t="s">
        <v>1331</v>
      </c>
      <c r="AQ33" s="1635" t="s">
        <v>1331</v>
      </c>
      <c r="AR33" s="1635" t="s">
        <v>1331</v>
      </c>
      <c r="AS33" s="1635">
        <f t="shared" si="0"/>
        <v>10825</v>
      </c>
    </row>
    <row r="34" spans="1:45" s="1635" customFormat="1">
      <c r="A34" s="1635" t="s">
        <v>3337</v>
      </c>
      <c r="B34" s="1635" t="s">
        <v>3145</v>
      </c>
      <c r="C34" s="1635" t="s">
        <v>3146</v>
      </c>
      <c r="D34" s="1635" t="s">
        <v>3147</v>
      </c>
      <c r="E34" s="1635" t="s">
        <v>1331</v>
      </c>
      <c r="F34" s="1635" t="s">
        <v>3337</v>
      </c>
      <c r="G34" s="1635" t="s">
        <v>3148</v>
      </c>
      <c r="H34" s="1635" t="s">
        <v>3338</v>
      </c>
      <c r="I34" s="1635" t="s">
        <v>3150</v>
      </c>
      <c r="J34" s="1635">
        <v>21904</v>
      </c>
      <c r="K34" s="1635">
        <v>41617.599999999999</v>
      </c>
      <c r="L34" s="1635" t="s">
        <v>3339</v>
      </c>
      <c r="M34" s="1635" t="s">
        <v>1331</v>
      </c>
      <c r="N34" s="1635" t="s">
        <v>3340</v>
      </c>
      <c r="O34" s="1635" t="s">
        <v>3341</v>
      </c>
      <c r="P34" s="1635" t="s">
        <v>1331</v>
      </c>
      <c r="Q34" s="1635" t="s">
        <v>1331</v>
      </c>
      <c r="R34" s="1635" t="s">
        <v>1331</v>
      </c>
      <c r="S34" s="1635" t="s">
        <v>1331</v>
      </c>
      <c r="T34" s="1635" t="s">
        <v>1331</v>
      </c>
      <c r="U34" s="1635" t="s">
        <v>1331</v>
      </c>
      <c r="V34" s="1635" t="s">
        <v>1331</v>
      </c>
      <c r="W34" s="1635" t="s">
        <v>3152</v>
      </c>
      <c r="X34" s="1635" t="s">
        <v>3322</v>
      </c>
      <c r="Y34" s="1635" t="s">
        <v>3334</v>
      </c>
      <c r="Z34" s="1635" t="s">
        <v>3334</v>
      </c>
      <c r="AA34" s="1635" t="s">
        <v>3334</v>
      </c>
      <c r="AB34" s="1635" t="s">
        <v>3342</v>
      </c>
      <c r="AC34" s="1635" t="s">
        <v>3156</v>
      </c>
      <c r="AD34" s="1635" t="s">
        <v>3343</v>
      </c>
      <c r="AE34" s="1635">
        <v>1580</v>
      </c>
      <c r="AF34" s="1635">
        <v>7900</v>
      </c>
      <c r="AG34" s="1635">
        <v>17000</v>
      </c>
      <c r="AH34" s="1635">
        <v>240.44</v>
      </c>
      <c r="AI34" s="1635">
        <v>517.41</v>
      </c>
      <c r="AJ34" s="1635">
        <v>1898.23</v>
      </c>
      <c r="AK34" s="1635">
        <v>4084.8</v>
      </c>
      <c r="AL34" s="1635" t="s">
        <v>1331</v>
      </c>
      <c r="AM34" s="1635" t="s">
        <v>1331</v>
      </c>
      <c r="AN34" s="1635">
        <v>115.19</v>
      </c>
      <c r="AO34" s="1635" t="s">
        <v>3158</v>
      </c>
      <c r="AP34" s="1635" t="s">
        <v>1331</v>
      </c>
      <c r="AQ34" s="1635" t="s">
        <v>1331</v>
      </c>
      <c r="AR34" s="1635" t="s">
        <v>1331</v>
      </c>
      <c r="AS34" s="1635">
        <f t="shared" si="0"/>
        <v>7761</v>
      </c>
    </row>
    <row r="35" spans="1:45" s="1635" customFormat="1">
      <c r="A35" s="1635" t="s">
        <v>3344</v>
      </c>
      <c r="B35" s="1635" t="s">
        <v>3145</v>
      </c>
      <c r="C35" s="1635" t="s">
        <v>3146</v>
      </c>
      <c r="D35" s="1635" t="s">
        <v>3147</v>
      </c>
      <c r="E35" s="1635" t="s">
        <v>1331</v>
      </c>
      <c r="F35" s="1635" t="s">
        <v>3344</v>
      </c>
      <c r="G35" s="1635" t="s">
        <v>3148</v>
      </c>
      <c r="H35" s="1635" t="s">
        <v>3345</v>
      </c>
      <c r="I35" s="1635" t="s">
        <v>3150</v>
      </c>
      <c r="J35" s="1635">
        <v>74964</v>
      </c>
      <c r="K35" s="1635">
        <v>119942.39999999999</v>
      </c>
      <c r="L35" s="1635" t="s">
        <v>3346</v>
      </c>
      <c r="M35" s="1635" t="s">
        <v>1331</v>
      </c>
      <c r="N35" s="1635" t="s">
        <v>3340</v>
      </c>
      <c r="O35" s="1635" t="s">
        <v>3347</v>
      </c>
      <c r="P35" s="1635" t="s">
        <v>1331</v>
      </c>
      <c r="Q35" s="1635" t="s">
        <v>1331</v>
      </c>
      <c r="R35" s="1635" t="s">
        <v>1331</v>
      </c>
      <c r="S35" s="1635" t="s">
        <v>1331</v>
      </c>
      <c r="T35" s="1635" t="s">
        <v>1331</v>
      </c>
      <c r="U35" s="1635" t="s">
        <v>1331</v>
      </c>
      <c r="V35" s="1635" t="s">
        <v>1331</v>
      </c>
      <c r="W35" s="1635" t="s">
        <v>3152</v>
      </c>
      <c r="X35" s="1635" t="s">
        <v>3333</v>
      </c>
      <c r="Y35" s="1635" t="s">
        <v>3334</v>
      </c>
      <c r="Z35" s="1635" t="s">
        <v>3334</v>
      </c>
      <c r="AA35" s="1635" t="s">
        <v>3334</v>
      </c>
      <c r="AB35" s="1635" t="s">
        <v>3348</v>
      </c>
      <c r="AC35" s="1635" t="s">
        <v>3156</v>
      </c>
      <c r="AD35" s="1635" t="s">
        <v>3349</v>
      </c>
      <c r="AE35" s="1635">
        <v>11180</v>
      </c>
      <c r="AF35" s="1635">
        <v>55900</v>
      </c>
      <c r="AG35" s="1635">
        <v>57500</v>
      </c>
      <c r="AH35" s="1635">
        <v>497.13</v>
      </c>
      <c r="AI35" s="1635">
        <v>511.36</v>
      </c>
      <c r="AJ35" s="1635">
        <v>4660.57</v>
      </c>
      <c r="AK35" s="1635">
        <v>4793.97</v>
      </c>
      <c r="AL35" s="1635" t="s">
        <v>1331</v>
      </c>
      <c r="AM35" s="1635" t="s">
        <v>1331</v>
      </c>
      <c r="AN35" s="1635">
        <v>2.86</v>
      </c>
      <c r="AO35" s="1635" t="s">
        <v>3158</v>
      </c>
      <c r="AP35" s="1635" t="s">
        <v>1331</v>
      </c>
      <c r="AQ35" s="1635" t="s">
        <v>1331</v>
      </c>
      <c r="AR35" s="1635" t="s">
        <v>1331</v>
      </c>
      <c r="AS35" s="1635">
        <f t="shared" si="0"/>
        <v>7670</v>
      </c>
    </row>
    <row r="36" spans="1:45" s="1635" customFormat="1">
      <c r="A36" s="1635" t="s">
        <v>3350</v>
      </c>
      <c r="B36" s="1635" t="s">
        <v>3145</v>
      </c>
      <c r="C36" s="1635" t="s">
        <v>3146</v>
      </c>
      <c r="D36" s="1635" t="s">
        <v>3147</v>
      </c>
      <c r="E36" s="1635" t="s">
        <v>1331</v>
      </c>
      <c r="F36" s="1635" t="s">
        <v>3350</v>
      </c>
      <c r="G36" s="1635" t="s">
        <v>3148</v>
      </c>
      <c r="H36" s="1635" t="s">
        <v>3351</v>
      </c>
      <c r="I36" s="1635" t="s">
        <v>3150</v>
      </c>
      <c r="J36" s="1635">
        <v>58790</v>
      </c>
      <c r="K36" s="1635">
        <v>117580</v>
      </c>
      <c r="L36" s="1635" t="s">
        <v>3231</v>
      </c>
      <c r="M36" s="1635" t="s">
        <v>1331</v>
      </c>
      <c r="N36" s="1635" t="s">
        <v>3256</v>
      </c>
      <c r="O36" s="1635" t="s">
        <v>1331</v>
      </c>
      <c r="P36" s="1635" t="s">
        <v>1331</v>
      </c>
      <c r="Q36" s="1635" t="s">
        <v>1331</v>
      </c>
      <c r="R36" s="1635" t="s">
        <v>1331</v>
      </c>
      <c r="S36" s="1635" t="s">
        <v>1331</v>
      </c>
      <c r="T36" s="1635" t="s">
        <v>1331</v>
      </c>
      <c r="U36" s="1635" t="s">
        <v>1331</v>
      </c>
      <c r="V36" s="1635" t="s">
        <v>1331</v>
      </c>
      <c r="W36" s="1635" t="s">
        <v>3152</v>
      </c>
      <c r="X36" s="1635" t="s">
        <v>3352</v>
      </c>
      <c r="Y36" s="1635" t="s">
        <v>3334</v>
      </c>
      <c r="Z36" s="1635" t="s">
        <v>3334</v>
      </c>
      <c r="AA36" s="1635" t="s">
        <v>3334</v>
      </c>
      <c r="AB36" s="1635" t="s">
        <v>3353</v>
      </c>
      <c r="AC36" s="1635" t="s">
        <v>3156</v>
      </c>
      <c r="AD36" s="1635" t="s">
        <v>3354</v>
      </c>
      <c r="AE36" s="1635">
        <v>8660</v>
      </c>
      <c r="AF36" s="1635">
        <v>43300</v>
      </c>
      <c r="AG36" s="1635">
        <v>47100</v>
      </c>
      <c r="AH36" s="1635">
        <v>491.01</v>
      </c>
      <c r="AI36" s="1635">
        <v>534.1</v>
      </c>
      <c r="AJ36" s="1635">
        <v>3682.59</v>
      </c>
      <c r="AK36" s="1635">
        <v>4005.78</v>
      </c>
      <c r="AL36" s="1635" t="s">
        <v>1331</v>
      </c>
      <c r="AM36" s="1635" t="s">
        <v>1331</v>
      </c>
      <c r="AN36" s="1635">
        <v>8.7799999999999994</v>
      </c>
      <c r="AO36" s="1635" t="s">
        <v>3158</v>
      </c>
      <c r="AP36" s="1635" t="s">
        <v>1331</v>
      </c>
      <c r="AQ36" s="1635" t="s">
        <v>1331</v>
      </c>
      <c r="AR36" s="1635" t="s">
        <v>1331</v>
      </c>
      <c r="AS36" s="1635">
        <f t="shared" si="0"/>
        <v>8012</v>
      </c>
    </row>
    <row r="37" spans="1:45" s="1635" customFormat="1">
      <c r="A37" s="1635" t="s">
        <v>3355</v>
      </c>
      <c r="B37" s="1635" t="s">
        <v>3145</v>
      </c>
      <c r="C37" s="1635" t="s">
        <v>3146</v>
      </c>
      <c r="D37" s="1635" t="s">
        <v>3147</v>
      </c>
      <c r="E37" s="1635" t="s">
        <v>1331</v>
      </c>
      <c r="F37" s="1635" t="s">
        <v>3355</v>
      </c>
      <c r="G37" s="1635" t="s">
        <v>3148</v>
      </c>
      <c r="H37" s="1635" t="s">
        <v>3356</v>
      </c>
      <c r="I37" s="1635" t="s">
        <v>3150</v>
      </c>
      <c r="J37" s="1635">
        <v>26802</v>
      </c>
      <c r="K37" s="1635">
        <v>42883.199999999997</v>
      </c>
      <c r="L37" s="1635" t="s">
        <v>3357</v>
      </c>
      <c r="M37" s="1635" t="s">
        <v>1331</v>
      </c>
      <c r="N37" s="1635" t="s">
        <v>3256</v>
      </c>
      <c r="O37" s="1635" t="s">
        <v>3347</v>
      </c>
      <c r="P37" s="1635" t="s">
        <v>1331</v>
      </c>
      <c r="Q37" s="1635" t="s">
        <v>1331</v>
      </c>
      <c r="R37" s="1635" t="s">
        <v>1331</v>
      </c>
      <c r="S37" s="1635" t="s">
        <v>1331</v>
      </c>
      <c r="T37" s="1635" t="s">
        <v>1331</v>
      </c>
      <c r="U37" s="1635" t="s">
        <v>1331</v>
      </c>
      <c r="V37" s="1635" t="s">
        <v>1331</v>
      </c>
      <c r="W37" s="1635" t="s">
        <v>3152</v>
      </c>
      <c r="X37" s="1635" t="s">
        <v>3352</v>
      </c>
      <c r="Y37" s="1635" t="s">
        <v>3358</v>
      </c>
      <c r="Z37" s="1635" t="s">
        <v>3358</v>
      </c>
      <c r="AA37" s="1635" t="s">
        <v>3358</v>
      </c>
      <c r="AB37" s="1635" t="s">
        <v>3359</v>
      </c>
      <c r="AC37" s="1635" t="s">
        <v>3156</v>
      </c>
      <c r="AD37" s="1635" t="s">
        <v>3360</v>
      </c>
      <c r="AE37" s="1635">
        <v>2820</v>
      </c>
      <c r="AF37" s="1635">
        <v>14100</v>
      </c>
      <c r="AG37" s="1635">
        <v>14200</v>
      </c>
      <c r="AH37" s="1635">
        <v>350.72</v>
      </c>
      <c r="AI37" s="1635">
        <v>353.21</v>
      </c>
      <c r="AJ37" s="1635">
        <v>3288</v>
      </c>
      <c r="AK37" s="1635">
        <v>3311.32</v>
      </c>
      <c r="AL37" s="1635" t="s">
        <v>1331</v>
      </c>
      <c r="AM37" s="1635" t="s">
        <v>1331</v>
      </c>
      <c r="AN37" s="1635">
        <v>0.71</v>
      </c>
      <c r="AO37" s="1635" t="s">
        <v>3158</v>
      </c>
      <c r="AP37" s="1635" t="s">
        <v>1331</v>
      </c>
      <c r="AQ37" s="1635" t="s">
        <v>1331</v>
      </c>
      <c r="AR37" s="1635" t="s">
        <v>1331</v>
      </c>
      <c r="AS37" s="1635">
        <f t="shared" si="0"/>
        <v>5298</v>
      </c>
    </row>
    <row r="38" spans="1:45" s="1635" customFormat="1">
      <c r="A38" s="1635" t="s">
        <v>3361</v>
      </c>
      <c r="B38" s="1635" t="s">
        <v>3145</v>
      </c>
      <c r="C38" s="1635" t="s">
        <v>3146</v>
      </c>
      <c r="D38" s="1635" t="s">
        <v>3147</v>
      </c>
      <c r="E38" s="1635" t="s">
        <v>1331</v>
      </c>
      <c r="F38" s="1635" t="s">
        <v>3361</v>
      </c>
      <c r="G38" s="1635" t="s">
        <v>3148</v>
      </c>
      <c r="H38" s="1635" t="s">
        <v>3362</v>
      </c>
      <c r="I38" s="1635" t="s">
        <v>3150</v>
      </c>
      <c r="J38" s="1635">
        <v>87346</v>
      </c>
      <c r="K38" s="1635">
        <v>157222.79999999999</v>
      </c>
      <c r="L38" s="1635" t="s">
        <v>3208</v>
      </c>
      <c r="M38" s="1635" t="s">
        <v>1331</v>
      </c>
      <c r="N38" s="1635" t="s">
        <v>3256</v>
      </c>
      <c r="O38" s="1635" t="s">
        <v>3363</v>
      </c>
      <c r="P38" s="1635" t="s">
        <v>1331</v>
      </c>
      <c r="Q38" s="1635" t="s">
        <v>1331</v>
      </c>
      <c r="R38" s="1635" t="s">
        <v>1331</v>
      </c>
      <c r="S38" s="1635" t="s">
        <v>1331</v>
      </c>
      <c r="T38" s="1635" t="s">
        <v>1331</v>
      </c>
      <c r="U38" s="1635" t="s">
        <v>1331</v>
      </c>
      <c r="V38" s="1635" t="s">
        <v>1331</v>
      </c>
      <c r="W38" s="1635" t="s">
        <v>3152</v>
      </c>
      <c r="X38" s="1635" t="s">
        <v>3352</v>
      </c>
      <c r="Y38" s="1635" t="s">
        <v>3358</v>
      </c>
      <c r="Z38" s="1635" t="s">
        <v>3358</v>
      </c>
      <c r="AA38" s="1635" t="s">
        <v>3358</v>
      </c>
      <c r="AB38" s="1635" t="s">
        <v>3364</v>
      </c>
      <c r="AC38" s="1635" t="s">
        <v>3156</v>
      </c>
      <c r="AD38" s="1635" t="s">
        <v>3365</v>
      </c>
      <c r="AE38" s="1635">
        <v>7380</v>
      </c>
      <c r="AF38" s="1635">
        <v>36900</v>
      </c>
      <c r="AG38" s="1635">
        <v>61300</v>
      </c>
      <c r="AH38" s="1635">
        <v>281.64</v>
      </c>
      <c r="AI38" s="1635">
        <v>467.87</v>
      </c>
      <c r="AJ38" s="1635">
        <v>2346.98</v>
      </c>
      <c r="AK38" s="1635">
        <v>3898.92</v>
      </c>
      <c r="AL38" s="1635" t="s">
        <v>1331</v>
      </c>
      <c r="AM38" s="1635" t="s">
        <v>1331</v>
      </c>
      <c r="AN38" s="1635">
        <v>66.12</v>
      </c>
      <c r="AO38" s="1635" t="s">
        <v>3158</v>
      </c>
      <c r="AP38" s="1635" t="s">
        <v>1331</v>
      </c>
      <c r="AQ38" s="1635" t="s">
        <v>1331</v>
      </c>
      <c r="AR38" s="1635" t="s">
        <v>1331</v>
      </c>
      <c r="AS38" s="1635">
        <f t="shared" si="0"/>
        <v>7018</v>
      </c>
    </row>
    <row r="39" spans="1:45" s="1635" customFormat="1">
      <c r="A39" s="1635" t="s">
        <v>3366</v>
      </c>
      <c r="B39" s="1635" t="s">
        <v>3145</v>
      </c>
      <c r="C39" s="1635" t="s">
        <v>3146</v>
      </c>
      <c r="D39" s="1635" t="s">
        <v>3147</v>
      </c>
      <c r="E39" s="1635" t="s">
        <v>1331</v>
      </c>
      <c r="F39" s="1635" t="s">
        <v>3366</v>
      </c>
      <c r="G39" s="1635" t="s">
        <v>3148</v>
      </c>
      <c r="H39" s="1635" t="s">
        <v>3367</v>
      </c>
      <c r="I39" s="1635" t="s">
        <v>3150</v>
      </c>
      <c r="J39" s="1635">
        <v>58784</v>
      </c>
      <c r="K39" s="1635">
        <v>105811.2</v>
      </c>
      <c r="L39" s="1635" t="s">
        <v>3208</v>
      </c>
      <c r="M39" s="1635" t="s">
        <v>1331</v>
      </c>
      <c r="N39" s="1635" t="s">
        <v>3256</v>
      </c>
      <c r="O39" s="1635" t="s">
        <v>3341</v>
      </c>
      <c r="P39" s="1635" t="s">
        <v>1331</v>
      </c>
      <c r="Q39" s="1635" t="s">
        <v>1331</v>
      </c>
      <c r="R39" s="1635" t="s">
        <v>1331</v>
      </c>
      <c r="S39" s="1635" t="s">
        <v>1331</v>
      </c>
      <c r="T39" s="1635" t="s">
        <v>1331</v>
      </c>
      <c r="U39" s="1635" t="s">
        <v>1331</v>
      </c>
      <c r="V39" s="1635" t="s">
        <v>1331</v>
      </c>
      <c r="W39" s="1635" t="s">
        <v>3152</v>
      </c>
      <c r="X39" s="1635" t="s">
        <v>3352</v>
      </c>
      <c r="Y39" s="1635" t="s">
        <v>3358</v>
      </c>
      <c r="Z39" s="1635" t="s">
        <v>3358</v>
      </c>
      <c r="AA39" s="1635" t="s">
        <v>3358</v>
      </c>
      <c r="AB39" s="1635" t="s">
        <v>3368</v>
      </c>
      <c r="AC39" s="1635" t="s">
        <v>3156</v>
      </c>
      <c r="AD39" s="1635" t="s">
        <v>3369</v>
      </c>
      <c r="AE39" s="1635">
        <v>4980</v>
      </c>
      <c r="AF39" s="1635">
        <v>24900</v>
      </c>
      <c r="AG39" s="1635">
        <v>49600</v>
      </c>
      <c r="AH39" s="1635">
        <v>282.39</v>
      </c>
      <c r="AI39" s="1635">
        <v>562.51</v>
      </c>
      <c r="AJ39" s="1635">
        <v>2353.2399999999998</v>
      </c>
      <c r="AK39" s="1635">
        <v>4687.59</v>
      </c>
      <c r="AL39" s="1635" t="s">
        <v>1331</v>
      </c>
      <c r="AM39" s="1635" t="s">
        <v>1331</v>
      </c>
      <c r="AN39" s="1635">
        <v>99.2</v>
      </c>
      <c r="AO39" s="1635" t="s">
        <v>3158</v>
      </c>
      <c r="AP39" s="1635" t="s">
        <v>1331</v>
      </c>
      <c r="AQ39" s="1635" t="s">
        <v>1331</v>
      </c>
      <c r="AR39" s="1635" t="s">
        <v>1331</v>
      </c>
      <c r="AS39" s="1635">
        <f t="shared" si="0"/>
        <v>8438</v>
      </c>
    </row>
    <row r="40" spans="1:45" s="1635" customFormat="1">
      <c r="A40" s="1635" t="s">
        <v>3370</v>
      </c>
      <c r="B40" s="1635" t="s">
        <v>3145</v>
      </c>
      <c r="C40" s="1635" t="s">
        <v>3146</v>
      </c>
      <c r="D40" s="1635" t="s">
        <v>3147</v>
      </c>
      <c r="E40" s="1635" t="s">
        <v>1331</v>
      </c>
      <c r="F40" s="1635" t="s">
        <v>3370</v>
      </c>
      <c r="G40" s="1635" t="s">
        <v>3148</v>
      </c>
      <c r="H40" s="1635" t="s">
        <v>3371</v>
      </c>
      <c r="I40" s="1635" t="s">
        <v>3150</v>
      </c>
      <c r="J40" s="1635">
        <v>66661</v>
      </c>
      <c r="K40" s="1635">
        <v>66661</v>
      </c>
      <c r="L40" s="1635" t="s">
        <v>3255</v>
      </c>
      <c r="M40" s="1635" t="s">
        <v>1331</v>
      </c>
      <c r="N40" s="1635" t="s">
        <v>3256</v>
      </c>
      <c r="O40" s="1635" t="s">
        <v>3372</v>
      </c>
      <c r="P40" s="1635" t="s">
        <v>1331</v>
      </c>
      <c r="Q40" s="1635" t="s">
        <v>1331</v>
      </c>
      <c r="R40" s="1635" t="s">
        <v>1331</v>
      </c>
      <c r="S40" s="1635" t="s">
        <v>1331</v>
      </c>
      <c r="T40" s="1635" t="s">
        <v>1331</v>
      </c>
      <c r="U40" s="1635" t="s">
        <v>1331</v>
      </c>
      <c r="V40" s="1635" t="s">
        <v>1331</v>
      </c>
      <c r="W40" s="1635" t="s">
        <v>3152</v>
      </c>
      <c r="X40" s="1635" t="s">
        <v>3373</v>
      </c>
      <c r="Y40" s="1635" t="s">
        <v>3374</v>
      </c>
      <c r="Z40" s="1635" t="s">
        <v>3374</v>
      </c>
      <c r="AA40" s="1635" t="s">
        <v>3374</v>
      </c>
      <c r="AB40" s="1635" t="s">
        <v>3375</v>
      </c>
      <c r="AC40" s="1635" t="s">
        <v>3156</v>
      </c>
      <c r="AD40" s="1635" t="s">
        <v>3376</v>
      </c>
      <c r="AE40" s="1635">
        <v>2310</v>
      </c>
      <c r="AF40" s="1635">
        <v>46200</v>
      </c>
      <c r="AG40" s="1635">
        <v>48100</v>
      </c>
      <c r="AH40" s="1635">
        <v>462.04</v>
      </c>
      <c r="AI40" s="1635">
        <v>481.04</v>
      </c>
      <c r="AJ40" s="1635">
        <v>6930.58</v>
      </c>
      <c r="AK40" s="1635">
        <v>7215.6</v>
      </c>
      <c r="AL40" s="1635" t="s">
        <v>1331</v>
      </c>
      <c r="AM40" s="1635" t="s">
        <v>1331</v>
      </c>
      <c r="AN40" s="1635">
        <v>4.1100000000000003</v>
      </c>
      <c r="AO40" s="1635" t="s">
        <v>3158</v>
      </c>
      <c r="AP40" s="1635" t="s">
        <v>1331</v>
      </c>
      <c r="AQ40" s="1635" t="s">
        <v>1331</v>
      </c>
      <c r="AR40" s="1635" t="s">
        <v>1331</v>
      </c>
      <c r="AS40" s="1635">
        <f t="shared" si="0"/>
        <v>7216</v>
      </c>
    </row>
    <row r="41" spans="1:45" s="1635" customFormat="1">
      <c r="A41" s="1635" t="s">
        <v>3377</v>
      </c>
      <c r="B41" s="1635" t="s">
        <v>3145</v>
      </c>
      <c r="C41" s="1635" t="s">
        <v>3146</v>
      </c>
      <c r="D41" s="1635" t="s">
        <v>3147</v>
      </c>
      <c r="E41" s="1635" t="s">
        <v>1331</v>
      </c>
      <c r="F41" s="1635" t="s">
        <v>3377</v>
      </c>
      <c r="G41" s="1635" t="s">
        <v>3148</v>
      </c>
      <c r="H41" s="1635" t="s">
        <v>3378</v>
      </c>
      <c r="I41" s="1635" t="s">
        <v>3150</v>
      </c>
      <c r="J41" s="1635">
        <v>73304</v>
      </c>
      <c r="K41" s="1635">
        <v>146608</v>
      </c>
      <c r="L41" s="1635" t="s">
        <v>3236</v>
      </c>
      <c r="M41" s="1635" t="s">
        <v>1331</v>
      </c>
      <c r="N41" s="1635" t="s">
        <v>3269</v>
      </c>
      <c r="O41" s="1635" t="s">
        <v>3321</v>
      </c>
      <c r="P41" s="1635" t="s">
        <v>1331</v>
      </c>
      <c r="Q41" s="1635" t="s">
        <v>1331</v>
      </c>
      <c r="R41" s="1635" t="s">
        <v>1331</v>
      </c>
      <c r="S41" s="1635" t="s">
        <v>1331</v>
      </c>
      <c r="T41" s="1635" t="s">
        <v>1331</v>
      </c>
      <c r="U41" s="1635" t="s">
        <v>1331</v>
      </c>
      <c r="V41" s="1635" t="s">
        <v>1331</v>
      </c>
      <c r="W41" s="1635" t="s">
        <v>3379</v>
      </c>
      <c r="X41" s="1635" t="s">
        <v>3380</v>
      </c>
      <c r="Y41" s="1635" t="s">
        <v>3381</v>
      </c>
      <c r="Z41" s="1635" t="s">
        <v>3381</v>
      </c>
      <c r="AA41" s="1635" t="s">
        <v>3381</v>
      </c>
      <c r="AB41" s="1635" t="s">
        <v>3382</v>
      </c>
      <c r="AC41" s="1635" t="s">
        <v>3156</v>
      </c>
      <c r="AD41" s="1635" t="s">
        <v>3336</v>
      </c>
      <c r="AE41" s="1635">
        <v>2360</v>
      </c>
      <c r="AF41" s="1635">
        <v>11800</v>
      </c>
      <c r="AG41" s="1635">
        <v>11800</v>
      </c>
      <c r="AH41" s="1635">
        <v>107.32</v>
      </c>
      <c r="AI41" s="1635">
        <v>107.32</v>
      </c>
      <c r="AJ41" s="1635">
        <v>804.86</v>
      </c>
      <c r="AK41" s="1635">
        <v>804.87</v>
      </c>
      <c r="AL41" s="1635" t="s">
        <v>1331</v>
      </c>
      <c r="AM41" s="1635" t="s">
        <v>1331</v>
      </c>
      <c r="AN41" s="1635">
        <v>0</v>
      </c>
      <c r="AO41" s="1635" t="s">
        <v>3158</v>
      </c>
      <c r="AP41" s="1635" t="s">
        <v>1331</v>
      </c>
      <c r="AQ41" s="1635" t="s">
        <v>1331</v>
      </c>
      <c r="AR41" s="1635" t="s">
        <v>1331</v>
      </c>
      <c r="AS41" s="1635">
        <f t="shared" si="0"/>
        <v>1610</v>
      </c>
    </row>
    <row r="42" spans="1:45" s="1635" customFormat="1">
      <c r="A42" s="1635" t="s">
        <v>3383</v>
      </c>
      <c r="B42" s="1635" t="s">
        <v>3145</v>
      </c>
      <c r="C42" s="1635" t="s">
        <v>3146</v>
      </c>
      <c r="D42" s="1635" t="s">
        <v>3147</v>
      </c>
      <c r="E42" s="1635" t="s">
        <v>1331</v>
      </c>
      <c r="F42" s="1635" t="s">
        <v>3383</v>
      </c>
      <c r="G42" s="1635" t="s">
        <v>3148</v>
      </c>
      <c r="H42" s="1635" t="s">
        <v>3384</v>
      </c>
      <c r="I42" s="1635" t="s">
        <v>3150</v>
      </c>
      <c r="J42" s="1635">
        <v>25120</v>
      </c>
      <c r="K42" s="1635">
        <v>45216</v>
      </c>
      <c r="L42" s="1635" t="s">
        <v>3208</v>
      </c>
      <c r="M42" s="1635" t="s">
        <v>1331</v>
      </c>
      <c r="N42" s="1635" t="s">
        <v>3275</v>
      </c>
      <c r="O42" s="1635" t="s">
        <v>3347</v>
      </c>
      <c r="P42" s="1635" t="s">
        <v>1331</v>
      </c>
      <c r="Q42" s="1635" t="s">
        <v>1331</v>
      </c>
      <c r="R42" s="1635" t="s">
        <v>1331</v>
      </c>
      <c r="S42" s="1635" t="s">
        <v>1331</v>
      </c>
      <c r="T42" s="1635" t="s">
        <v>1331</v>
      </c>
      <c r="U42" s="1635" t="s">
        <v>1331</v>
      </c>
      <c r="V42" s="1635" t="s">
        <v>1331</v>
      </c>
      <c r="W42" s="1635" t="s">
        <v>3379</v>
      </c>
      <c r="X42" s="1635" t="s">
        <v>3380</v>
      </c>
      <c r="Y42" s="1635" t="s">
        <v>3381</v>
      </c>
      <c r="Z42" s="1635" t="s">
        <v>3381</v>
      </c>
      <c r="AA42" s="1635" t="s">
        <v>3381</v>
      </c>
      <c r="AB42" s="1635" t="s">
        <v>3385</v>
      </c>
      <c r="AC42" s="1635" t="s">
        <v>3156</v>
      </c>
      <c r="AD42" s="1635" t="s">
        <v>3386</v>
      </c>
      <c r="AE42" s="1635">
        <v>5260</v>
      </c>
      <c r="AF42" s="1635">
        <v>26300</v>
      </c>
      <c r="AG42" s="1635">
        <v>28000</v>
      </c>
      <c r="AH42" s="1635">
        <v>697.98</v>
      </c>
      <c r="AI42" s="1635">
        <v>743.1</v>
      </c>
      <c r="AJ42" s="1635">
        <v>5816.52</v>
      </c>
      <c r="AK42" s="1635">
        <v>6192.5</v>
      </c>
      <c r="AL42" s="1635" t="s">
        <v>1331</v>
      </c>
      <c r="AM42" s="1635" t="s">
        <v>1331</v>
      </c>
      <c r="AN42" s="1635">
        <v>6.46</v>
      </c>
      <c r="AO42" s="1635" t="s">
        <v>3158</v>
      </c>
      <c r="AP42" s="1635" t="s">
        <v>1331</v>
      </c>
      <c r="AQ42" s="1635" t="s">
        <v>1331</v>
      </c>
      <c r="AR42" s="1635" t="s">
        <v>1331</v>
      </c>
      <c r="AS42" s="1635">
        <f t="shared" si="0"/>
        <v>11146</v>
      </c>
    </row>
    <row r="43" spans="1:45" s="1635" customFormat="1">
      <c r="A43" s="1635" t="s">
        <v>3387</v>
      </c>
      <c r="B43" s="1635" t="s">
        <v>3145</v>
      </c>
      <c r="C43" s="1635" t="s">
        <v>3146</v>
      </c>
      <c r="D43" s="1635" t="s">
        <v>3147</v>
      </c>
      <c r="E43" s="1635" t="s">
        <v>1331</v>
      </c>
      <c r="F43" s="1635" t="s">
        <v>3387</v>
      </c>
      <c r="G43" s="1635" t="s">
        <v>3148</v>
      </c>
      <c r="H43" s="1635" t="s">
        <v>3388</v>
      </c>
      <c r="I43" s="1635" t="s">
        <v>3150</v>
      </c>
      <c r="J43" s="1635">
        <v>49010</v>
      </c>
      <c r="K43" s="1635">
        <v>88218</v>
      </c>
      <c r="L43" s="1635" t="s">
        <v>3192</v>
      </c>
      <c r="M43" s="1635" t="s">
        <v>1331</v>
      </c>
      <c r="N43" s="1635" t="s">
        <v>3275</v>
      </c>
      <c r="O43" s="1635" t="s">
        <v>3341</v>
      </c>
      <c r="P43" s="1635" t="s">
        <v>1331</v>
      </c>
      <c r="Q43" s="1635" t="s">
        <v>1331</v>
      </c>
      <c r="R43" s="1635" t="s">
        <v>1331</v>
      </c>
      <c r="S43" s="1635" t="s">
        <v>1331</v>
      </c>
      <c r="T43" s="1635" t="s">
        <v>1331</v>
      </c>
      <c r="U43" s="1635" t="s">
        <v>1331</v>
      </c>
      <c r="V43" s="1635" t="s">
        <v>1331</v>
      </c>
      <c r="W43" s="1635" t="s">
        <v>3379</v>
      </c>
      <c r="X43" s="1635" t="s">
        <v>3380</v>
      </c>
      <c r="Y43" s="1635" t="s">
        <v>3381</v>
      </c>
      <c r="Z43" s="1635" t="s">
        <v>3381</v>
      </c>
      <c r="AA43" s="1635" t="s">
        <v>3381</v>
      </c>
      <c r="AB43" s="1635" t="s">
        <v>3389</v>
      </c>
      <c r="AC43" s="1635" t="s">
        <v>3156</v>
      </c>
      <c r="AD43" s="1635" t="s">
        <v>3199</v>
      </c>
      <c r="AE43" s="1635">
        <v>6040</v>
      </c>
      <c r="AF43" s="1635">
        <v>30200</v>
      </c>
      <c r="AG43" s="1635">
        <v>30200</v>
      </c>
      <c r="AH43" s="1635">
        <v>410.8</v>
      </c>
      <c r="AI43" s="1635">
        <v>410.8</v>
      </c>
      <c r="AJ43" s="1635">
        <v>3423.33</v>
      </c>
      <c r="AK43" s="1635">
        <v>3423.34</v>
      </c>
      <c r="AL43" s="1635" t="s">
        <v>1331</v>
      </c>
      <c r="AM43" s="1635" t="s">
        <v>1331</v>
      </c>
      <c r="AN43" s="1635">
        <v>0</v>
      </c>
      <c r="AO43" s="1635" t="s">
        <v>3158</v>
      </c>
      <c r="AP43" s="1635" t="s">
        <v>1331</v>
      </c>
      <c r="AQ43" s="1635" t="s">
        <v>1331</v>
      </c>
      <c r="AR43" s="1635" t="s">
        <v>1331</v>
      </c>
      <c r="AS43" s="1635">
        <f t="shared" si="0"/>
        <v>6162</v>
      </c>
    </row>
    <row r="44" spans="1:45" s="1635" customFormat="1">
      <c r="A44" s="1635" t="s">
        <v>3390</v>
      </c>
      <c r="B44" s="1635" t="s">
        <v>3145</v>
      </c>
      <c r="C44" s="1635" t="s">
        <v>3146</v>
      </c>
      <c r="D44" s="1635" t="s">
        <v>3147</v>
      </c>
      <c r="E44" s="1635" t="s">
        <v>1331</v>
      </c>
      <c r="F44" s="1635" t="s">
        <v>3390</v>
      </c>
      <c r="G44" s="1635" t="s">
        <v>3148</v>
      </c>
      <c r="H44" s="1635" t="s">
        <v>3391</v>
      </c>
      <c r="I44" s="1635" t="s">
        <v>3150</v>
      </c>
      <c r="J44" s="1635">
        <v>126183</v>
      </c>
      <c r="K44" s="1635">
        <v>252366</v>
      </c>
      <c r="L44" s="1635" t="s">
        <v>3236</v>
      </c>
      <c r="M44" s="1635" t="s">
        <v>1331</v>
      </c>
      <c r="N44" s="1635" t="s">
        <v>3269</v>
      </c>
      <c r="O44" s="1635" t="s">
        <v>3321</v>
      </c>
      <c r="P44" s="1635" t="s">
        <v>1331</v>
      </c>
      <c r="Q44" s="1635" t="s">
        <v>1331</v>
      </c>
      <c r="R44" s="1635" t="s">
        <v>1331</v>
      </c>
      <c r="S44" s="1635" t="s">
        <v>1331</v>
      </c>
      <c r="T44" s="1635" t="s">
        <v>1331</v>
      </c>
      <c r="U44" s="1635" t="s">
        <v>1331</v>
      </c>
      <c r="V44" s="1635" t="s">
        <v>1331</v>
      </c>
      <c r="W44" s="1635" t="s">
        <v>3379</v>
      </c>
      <c r="X44" s="1635" t="s">
        <v>3380</v>
      </c>
      <c r="Y44" s="1635" t="s">
        <v>3381</v>
      </c>
      <c r="Z44" s="1635" t="s">
        <v>3381</v>
      </c>
      <c r="AA44" s="1635" t="s">
        <v>3381</v>
      </c>
      <c r="AB44" s="1635" t="s">
        <v>3392</v>
      </c>
      <c r="AC44" s="1635" t="s">
        <v>3156</v>
      </c>
      <c r="AD44" s="1635" t="s">
        <v>3199</v>
      </c>
      <c r="AE44" s="1635">
        <v>21540</v>
      </c>
      <c r="AF44" s="1635">
        <v>107700</v>
      </c>
      <c r="AG44" s="1635">
        <v>107800</v>
      </c>
      <c r="AH44" s="1635">
        <v>569.01</v>
      </c>
      <c r="AI44" s="1635">
        <v>569.54</v>
      </c>
      <c r="AJ44" s="1635">
        <v>4267.6099999999997</v>
      </c>
      <c r="AK44" s="1635">
        <v>4271.5600000000004</v>
      </c>
      <c r="AL44" s="1635" t="s">
        <v>1331</v>
      </c>
      <c r="AM44" s="1635" t="s">
        <v>1331</v>
      </c>
      <c r="AN44" s="1635">
        <v>0.09</v>
      </c>
      <c r="AO44" s="1635" t="s">
        <v>3158</v>
      </c>
      <c r="AP44" s="1635" t="s">
        <v>1331</v>
      </c>
      <c r="AQ44" s="1635" t="s">
        <v>1331</v>
      </c>
      <c r="AR44" s="1635" t="s">
        <v>1331</v>
      </c>
      <c r="AS44" s="1635">
        <f t="shared" si="0"/>
        <v>8543</v>
      </c>
    </row>
    <row r="45" spans="1:45" s="1635" customFormat="1">
      <c r="A45" s="1635" t="s">
        <v>3393</v>
      </c>
      <c r="B45" s="1635" t="s">
        <v>3145</v>
      </c>
      <c r="C45" s="1635" t="s">
        <v>3146</v>
      </c>
      <c r="D45" s="1635" t="s">
        <v>3147</v>
      </c>
      <c r="E45" s="1635" t="s">
        <v>1331</v>
      </c>
      <c r="F45" s="1635" t="s">
        <v>3393</v>
      </c>
      <c r="G45" s="1635" t="s">
        <v>3148</v>
      </c>
      <c r="H45" s="1635" t="s">
        <v>3394</v>
      </c>
      <c r="I45" s="1635" t="s">
        <v>3150</v>
      </c>
      <c r="J45" s="1635">
        <v>69997</v>
      </c>
      <c r="K45" s="1635">
        <v>153993.4</v>
      </c>
      <c r="L45" s="1635" t="s">
        <v>3395</v>
      </c>
      <c r="M45" s="1635" t="s">
        <v>1331</v>
      </c>
      <c r="N45" s="1635" t="s">
        <v>3275</v>
      </c>
      <c r="O45" s="1635" t="s">
        <v>3282</v>
      </c>
      <c r="P45" s="1635" t="s">
        <v>1331</v>
      </c>
      <c r="Q45" s="1635" t="s">
        <v>1331</v>
      </c>
      <c r="R45" s="1635" t="s">
        <v>1331</v>
      </c>
      <c r="S45" s="1635" t="s">
        <v>1331</v>
      </c>
      <c r="T45" s="1635" t="s">
        <v>1331</v>
      </c>
      <c r="U45" s="1635" t="s">
        <v>1331</v>
      </c>
      <c r="V45" s="1635" t="s">
        <v>1331</v>
      </c>
      <c r="W45" s="1635" t="s">
        <v>3379</v>
      </c>
      <c r="X45" s="1635" t="s">
        <v>3380</v>
      </c>
      <c r="Y45" s="1635" t="s">
        <v>3381</v>
      </c>
      <c r="Z45" s="1635" t="s">
        <v>3381</v>
      </c>
      <c r="AA45" s="1635" t="s">
        <v>3381</v>
      </c>
      <c r="AB45" s="1635" t="s">
        <v>3396</v>
      </c>
      <c r="AC45" s="1635" t="s">
        <v>3156</v>
      </c>
      <c r="AD45" s="1635" t="s">
        <v>3199</v>
      </c>
      <c r="AE45" s="1635">
        <v>10540</v>
      </c>
      <c r="AF45" s="1635">
        <v>52700</v>
      </c>
      <c r="AG45" s="1635">
        <v>52700</v>
      </c>
      <c r="AH45" s="1635">
        <v>501.93</v>
      </c>
      <c r="AI45" s="1635">
        <v>501.93</v>
      </c>
      <c r="AJ45" s="1635">
        <v>3422.22</v>
      </c>
      <c r="AK45" s="1635">
        <v>3422.21</v>
      </c>
      <c r="AL45" s="1635" t="s">
        <v>1331</v>
      </c>
      <c r="AM45" s="1635" t="s">
        <v>1331</v>
      </c>
      <c r="AN45" s="1635">
        <v>0</v>
      </c>
      <c r="AO45" s="1635" t="s">
        <v>3158</v>
      </c>
      <c r="AP45" s="1635" t="s">
        <v>1331</v>
      </c>
      <c r="AQ45" s="1635" t="s">
        <v>1331</v>
      </c>
      <c r="AR45" s="1635" t="s">
        <v>1331</v>
      </c>
      <c r="AS45" s="1635">
        <f t="shared" si="0"/>
        <v>7529</v>
      </c>
    </row>
    <row r="46" spans="1:45" s="1635" customFormat="1">
      <c r="A46" s="1635" t="s">
        <v>3397</v>
      </c>
      <c r="B46" s="1635" t="s">
        <v>3145</v>
      </c>
      <c r="C46" s="1635" t="s">
        <v>3146</v>
      </c>
      <c r="D46" s="1635" t="s">
        <v>3147</v>
      </c>
      <c r="E46" s="1635" t="s">
        <v>1331</v>
      </c>
      <c r="F46" s="1635" t="s">
        <v>3397</v>
      </c>
      <c r="G46" s="1635" t="s">
        <v>3148</v>
      </c>
      <c r="H46" s="1635" t="s">
        <v>3398</v>
      </c>
      <c r="I46" s="1635" t="s">
        <v>3150</v>
      </c>
      <c r="J46" s="1635">
        <v>54834</v>
      </c>
      <c r="K46" s="1635">
        <v>82251</v>
      </c>
      <c r="L46" s="1635" t="s">
        <v>3399</v>
      </c>
      <c r="M46" s="1635" t="s">
        <v>1331</v>
      </c>
      <c r="N46" s="1635" t="s">
        <v>3256</v>
      </c>
      <c r="O46" s="1635" t="s">
        <v>3400</v>
      </c>
      <c r="P46" s="1635" t="s">
        <v>1331</v>
      </c>
      <c r="Q46" s="1635" t="s">
        <v>1331</v>
      </c>
      <c r="R46" s="1635" t="s">
        <v>1331</v>
      </c>
      <c r="S46" s="1635" t="s">
        <v>1331</v>
      </c>
      <c r="T46" s="1635" t="s">
        <v>1331</v>
      </c>
      <c r="U46" s="1635" t="s">
        <v>1331</v>
      </c>
      <c r="V46" s="1635" t="s">
        <v>1331</v>
      </c>
      <c r="W46" s="1635" t="s">
        <v>3379</v>
      </c>
      <c r="X46" s="1635" t="s">
        <v>3380</v>
      </c>
      <c r="Y46" s="1635" t="s">
        <v>3381</v>
      </c>
      <c r="Z46" s="1635" t="s">
        <v>3381</v>
      </c>
      <c r="AA46" s="1635" t="s">
        <v>3381</v>
      </c>
      <c r="AB46" s="1635" t="s">
        <v>3401</v>
      </c>
      <c r="AC46" s="1635" t="s">
        <v>3156</v>
      </c>
      <c r="AD46" s="1635" t="s">
        <v>3336</v>
      </c>
      <c r="AE46" s="1635">
        <v>11120</v>
      </c>
      <c r="AF46" s="1635">
        <v>55600</v>
      </c>
      <c r="AG46" s="1635">
        <v>55600</v>
      </c>
      <c r="AH46" s="1635">
        <v>675.98</v>
      </c>
      <c r="AI46" s="1635">
        <v>675.98</v>
      </c>
      <c r="AJ46" s="1635">
        <v>6759.79</v>
      </c>
      <c r="AK46" s="1635">
        <v>6759.8</v>
      </c>
      <c r="AL46" s="1635" t="s">
        <v>1331</v>
      </c>
      <c r="AM46" s="1635" t="s">
        <v>1331</v>
      </c>
      <c r="AN46" s="1635">
        <v>0</v>
      </c>
      <c r="AO46" s="1635" t="s">
        <v>3158</v>
      </c>
      <c r="AP46" s="1635" t="s">
        <v>1331</v>
      </c>
      <c r="AQ46" s="1635" t="s">
        <v>1331</v>
      </c>
      <c r="AR46" s="1635" t="s">
        <v>1331</v>
      </c>
      <c r="AS46" s="1635">
        <f t="shared" si="0"/>
        <v>10140</v>
      </c>
    </row>
    <row r="47" spans="1:45" s="1635" customFormat="1">
      <c r="A47" s="1635" t="s">
        <v>3402</v>
      </c>
      <c r="B47" s="1635" t="s">
        <v>3145</v>
      </c>
      <c r="C47" s="1635" t="s">
        <v>3146</v>
      </c>
      <c r="D47" s="1635" t="s">
        <v>3147</v>
      </c>
      <c r="E47" s="1635" t="s">
        <v>1331</v>
      </c>
      <c r="F47" s="1635" t="s">
        <v>3402</v>
      </c>
      <c r="G47" s="1635" t="s">
        <v>3148</v>
      </c>
      <c r="H47" s="1635" t="s">
        <v>3403</v>
      </c>
      <c r="I47" s="1635" t="s">
        <v>3150</v>
      </c>
      <c r="J47" s="1635">
        <v>28228</v>
      </c>
      <c r="K47" s="1635">
        <v>50810.400000000001</v>
      </c>
      <c r="L47" s="1635" t="s">
        <v>3192</v>
      </c>
      <c r="M47" s="1635" t="s">
        <v>1331</v>
      </c>
      <c r="N47" s="1635" t="s">
        <v>3256</v>
      </c>
      <c r="O47" s="1635" t="s">
        <v>3341</v>
      </c>
      <c r="P47" s="1635" t="s">
        <v>1331</v>
      </c>
      <c r="Q47" s="1635" t="s">
        <v>1331</v>
      </c>
      <c r="R47" s="1635" t="s">
        <v>1331</v>
      </c>
      <c r="S47" s="1635" t="s">
        <v>1331</v>
      </c>
      <c r="T47" s="1635" t="s">
        <v>1331</v>
      </c>
      <c r="U47" s="1635" t="s">
        <v>1331</v>
      </c>
      <c r="V47" s="1635" t="s">
        <v>1331</v>
      </c>
      <c r="W47" s="1635" t="s">
        <v>3379</v>
      </c>
      <c r="X47" s="1635" t="s">
        <v>3380</v>
      </c>
      <c r="Y47" s="1635" t="s">
        <v>3381</v>
      </c>
      <c r="Z47" s="1635" t="s">
        <v>3381</v>
      </c>
      <c r="AA47" s="1635" t="s">
        <v>3381</v>
      </c>
      <c r="AB47" s="1635" t="s">
        <v>3404</v>
      </c>
      <c r="AC47" s="1635" t="s">
        <v>3156</v>
      </c>
      <c r="AD47" s="1635" t="s">
        <v>3336</v>
      </c>
      <c r="AE47" s="1635">
        <v>3480</v>
      </c>
      <c r="AF47" s="1635">
        <v>17400</v>
      </c>
      <c r="AG47" s="1635">
        <v>17400</v>
      </c>
      <c r="AH47" s="1635">
        <v>410.94</v>
      </c>
      <c r="AI47" s="1635">
        <v>410.94</v>
      </c>
      <c r="AJ47" s="1635">
        <v>3424.49</v>
      </c>
      <c r="AK47" s="1635">
        <v>3424.5</v>
      </c>
      <c r="AL47" s="1635" t="s">
        <v>1331</v>
      </c>
      <c r="AM47" s="1635" t="s">
        <v>1331</v>
      </c>
      <c r="AN47" s="1635">
        <v>0</v>
      </c>
      <c r="AO47" s="1635" t="s">
        <v>3158</v>
      </c>
      <c r="AP47" s="1635" t="s">
        <v>1331</v>
      </c>
      <c r="AQ47" s="1635" t="s">
        <v>1331</v>
      </c>
      <c r="AR47" s="1635" t="s">
        <v>1331</v>
      </c>
      <c r="AS47" s="1635">
        <f t="shared" si="0"/>
        <v>6164</v>
      </c>
    </row>
    <row r="48" spans="1:45" s="1635" customFormat="1">
      <c r="A48" s="1635" t="s">
        <v>3405</v>
      </c>
      <c r="B48" s="1635" t="s">
        <v>3145</v>
      </c>
      <c r="C48" s="1635" t="s">
        <v>3146</v>
      </c>
      <c r="D48" s="1635" t="s">
        <v>3147</v>
      </c>
      <c r="E48" s="1635" t="s">
        <v>1331</v>
      </c>
      <c r="F48" s="1635" t="s">
        <v>3405</v>
      </c>
      <c r="G48" s="1635" t="s">
        <v>3148</v>
      </c>
      <c r="H48" s="1635" t="s">
        <v>3406</v>
      </c>
      <c r="I48" s="1635" t="s">
        <v>3150</v>
      </c>
      <c r="J48" s="1635">
        <v>73237</v>
      </c>
      <c r="K48" s="1635">
        <v>124502.9</v>
      </c>
      <c r="L48" s="1635" t="s">
        <v>3407</v>
      </c>
      <c r="M48" s="1635" t="s">
        <v>1331</v>
      </c>
      <c r="N48" s="1635" t="s">
        <v>3269</v>
      </c>
      <c r="O48" s="1635" t="s">
        <v>1331</v>
      </c>
      <c r="P48" s="1635" t="s">
        <v>1331</v>
      </c>
      <c r="Q48" s="1635" t="s">
        <v>1331</v>
      </c>
      <c r="R48" s="1635" t="s">
        <v>1331</v>
      </c>
      <c r="S48" s="1635" t="s">
        <v>1331</v>
      </c>
      <c r="T48" s="1635" t="s">
        <v>1331</v>
      </c>
      <c r="U48" s="1635" t="s">
        <v>1331</v>
      </c>
      <c r="V48" s="1635" t="s">
        <v>1331</v>
      </c>
      <c r="W48" s="1635" t="s">
        <v>3379</v>
      </c>
      <c r="X48" s="1635" t="s">
        <v>3408</v>
      </c>
      <c r="Y48" s="1635" t="s">
        <v>3409</v>
      </c>
      <c r="Z48" s="1635" t="s">
        <v>3409</v>
      </c>
      <c r="AA48" s="1635" t="s">
        <v>3409</v>
      </c>
      <c r="AB48" s="1635" t="s">
        <v>3410</v>
      </c>
      <c r="AC48" s="1635" t="s">
        <v>3156</v>
      </c>
      <c r="AD48" s="1635" t="s">
        <v>3411</v>
      </c>
      <c r="AE48" s="1635">
        <v>3960</v>
      </c>
      <c r="AF48" s="1635">
        <v>19800</v>
      </c>
      <c r="AG48" s="1635">
        <v>23800</v>
      </c>
      <c r="AH48" s="1635">
        <v>180.24</v>
      </c>
      <c r="AI48" s="1635">
        <v>216.65</v>
      </c>
      <c r="AJ48" s="1635">
        <v>1590.32</v>
      </c>
      <c r="AK48" s="1635">
        <v>1911.59</v>
      </c>
      <c r="AL48" s="1635" t="s">
        <v>1331</v>
      </c>
      <c r="AM48" s="1635" t="s">
        <v>1331</v>
      </c>
      <c r="AN48" s="1635">
        <v>20.2</v>
      </c>
      <c r="AO48" s="1635" t="s">
        <v>3158</v>
      </c>
      <c r="AP48" s="1635" t="s">
        <v>1331</v>
      </c>
      <c r="AQ48" s="1635" t="s">
        <v>1331</v>
      </c>
      <c r="AR48" s="1635" t="s">
        <v>1331</v>
      </c>
      <c r="AS48" s="1635">
        <f t="shared" si="0"/>
        <v>3250</v>
      </c>
    </row>
    <row r="49" spans="1:45" s="1635" customFormat="1">
      <c r="A49" s="1635" t="s">
        <v>3412</v>
      </c>
      <c r="B49" s="1635" t="s">
        <v>3145</v>
      </c>
      <c r="C49" s="1635" t="s">
        <v>3146</v>
      </c>
      <c r="D49" s="1635" t="s">
        <v>3147</v>
      </c>
      <c r="E49" s="1635" t="s">
        <v>1331</v>
      </c>
      <c r="F49" s="1635" t="s">
        <v>3412</v>
      </c>
      <c r="G49" s="1635" t="s">
        <v>3413</v>
      </c>
      <c r="H49" s="1635" t="s">
        <v>3414</v>
      </c>
      <c r="I49" s="1635" t="s">
        <v>3150</v>
      </c>
      <c r="J49" s="1635">
        <v>47875</v>
      </c>
      <c r="K49" s="1635">
        <v>52662.5</v>
      </c>
      <c r="L49" s="1635" t="s">
        <v>3168</v>
      </c>
      <c r="M49" s="1635" t="s">
        <v>1331</v>
      </c>
      <c r="N49" s="1635" t="s">
        <v>3256</v>
      </c>
      <c r="O49" s="1635" t="s">
        <v>3415</v>
      </c>
      <c r="P49" s="1635" t="s">
        <v>1331</v>
      </c>
      <c r="Q49" s="1635" t="s">
        <v>1331</v>
      </c>
      <c r="R49" s="1635" t="s">
        <v>1331</v>
      </c>
      <c r="S49" s="1635" t="s">
        <v>1331</v>
      </c>
      <c r="T49" s="1635" t="s">
        <v>1331</v>
      </c>
      <c r="U49" s="1635" t="s">
        <v>1331</v>
      </c>
      <c r="V49" s="1635" t="s">
        <v>1331</v>
      </c>
      <c r="W49" s="1635" t="s">
        <v>3379</v>
      </c>
      <c r="X49" s="1635" t="s">
        <v>3416</v>
      </c>
      <c r="Y49" s="1635" t="s">
        <v>3417</v>
      </c>
      <c r="Z49" s="1635" t="s">
        <v>3418</v>
      </c>
      <c r="AA49" s="1635" t="s">
        <v>3418</v>
      </c>
      <c r="AB49" s="1635" t="s">
        <v>3419</v>
      </c>
      <c r="AC49" s="1635" t="s">
        <v>3156</v>
      </c>
      <c r="AD49" s="1635" t="s">
        <v>3420</v>
      </c>
      <c r="AE49" s="1635">
        <v>5520</v>
      </c>
      <c r="AF49" s="1635">
        <v>27600</v>
      </c>
      <c r="AG49" s="1635">
        <v>34100</v>
      </c>
      <c r="AH49" s="1635">
        <v>384.33</v>
      </c>
      <c r="AI49" s="1635">
        <v>474.85</v>
      </c>
      <c r="AJ49" s="1635">
        <v>5240.92</v>
      </c>
      <c r="AK49" s="1635">
        <v>6475.19</v>
      </c>
      <c r="AL49" s="1635" t="s">
        <v>1331</v>
      </c>
      <c r="AM49" s="1635" t="s">
        <v>1331</v>
      </c>
      <c r="AN49" s="1635">
        <v>23.55</v>
      </c>
      <c r="AO49" s="1635" t="s">
        <v>3158</v>
      </c>
      <c r="AP49" s="1635" t="s">
        <v>1331</v>
      </c>
      <c r="AQ49" s="1635" t="s">
        <v>1331</v>
      </c>
      <c r="AR49" s="1635" t="s">
        <v>1331</v>
      </c>
      <c r="AS49" s="1635">
        <f t="shared" si="0"/>
        <v>7123</v>
      </c>
    </row>
    <row r="50" spans="1:45" s="1635" customFormat="1">
      <c r="A50" s="1635" t="s">
        <v>3421</v>
      </c>
      <c r="B50" s="1635" t="s">
        <v>3145</v>
      </c>
      <c r="C50" s="1635" t="s">
        <v>3146</v>
      </c>
      <c r="D50" s="1635" t="s">
        <v>3147</v>
      </c>
      <c r="E50" s="1635" t="s">
        <v>1331</v>
      </c>
      <c r="F50" s="1635" t="s">
        <v>3421</v>
      </c>
      <c r="G50" s="1635" t="s">
        <v>3148</v>
      </c>
      <c r="H50" s="1635" t="s">
        <v>3422</v>
      </c>
      <c r="I50" s="1635" t="s">
        <v>3150</v>
      </c>
      <c r="J50" s="1635">
        <v>18649</v>
      </c>
      <c r="K50" s="1635">
        <v>27973.5</v>
      </c>
      <c r="L50" s="1635" t="s">
        <v>3241</v>
      </c>
      <c r="M50" s="1635" t="s">
        <v>1331</v>
      </c>
      <c r="N50" s="1635" t="s">
        <v>3275</v>
      </c>
      <c r="O50" s="1635" t="s">
        <v>3347</v>
      </c>
      <c r="P50" s="1635" t="s">
        <v>1331</v>
      </c>
      <c r="Q50" s="1635" t="s">
        <v>1331</v>
      </c>
      <c r="R50" s="1635" t="s">
        <v>1331</v>
      </c>
      <c r="S50" s="1635" t="s">
        <v>1331</v>
      </c>
      <c r="T50" s="1635" t="s">
        <v>1331</v>
      </c>
      <c r="U50" s="1635" t="s">
        <v>1331</v>
      </c>
      <c r="V50" s="1635" t="s">
        <v>1331</v>
      </c>
      <c r="W50" s="1635" t="s">
        <v>3379</v>
      </c>
      <c r="X50" s="1635" t="s">
        <v>3423</v>
      </c>
      <c r="Y50" s="1635" t="s">
        <v>3424</v>
      </c>
      <c r="Z50" s="1635" t="s">
        <v>3424</v>
      </c>
      <c r="AA50" s="1635" t="s">
        <v>3424</v>
      </c>
      <c r="AB50" s="1635" t="s">
        <v>3425</v>
      </c>
      <c r="AC50" s="1635" t="s">
        <v>3156</v>
      </c>
      <c r="AD50" s="1635" t="s">
        <v>3426</v>
      </c>
      <c r="AE50" s="1635">
        <v>1740</v>
      </c>
      <c r="AF50" s="1635">
        <v>8700</v>
      </c>
      <c r="AG50" s="1635">
        <v>10200</v>
      </c>
      <c r="AH50" s="1635">
        <v>311.01</v>
      </c>
      <c r="AI50" s="1635">
        <v>364.63</v>
      </c>
      <c r="AJ50" s="1635">
        <v>3110.08</v>
      </c>
      <c r="AK50" s="1635">
        <v>3646.3</v>
      </c>
      <c r="AL50" s="1635" t="s">
        <v>1331</v>
      </c>
      <c r="AM50" s="1635" t="s">
        <v>1331</v>
      </c>
      <c r="AN50" s="1635">
        <v>17.239999999999998</v>
      </c>
      <c r="AO50" s="1635" t="s">
        <v>3158</v>
      </c>
      <c r="AP50" s="1635" t="s">
        <v>1331</v>
      </c>
      <c r="AQ50" s="1635" t="s">
        <v>1331</v>
      </c>
      <c r="AR50" s="1635" t="s">
        <v>1331</v>
      </c>
      <c r="AS50" s="1635">
        <f t="shared" si="0"/>
        <v>5469</v>
      </c>
    </row>
    <row r="51" spans="1:45" s="2947" customFormat="1">
      <c r="A51" s="2947" t="s">
        <v>3427</v>
      </c>
      <c r="B51" s="2947" t="s">
        <v>3145</v>
      </c>
      <c r="C51" s="2947" t="s">
        <v>3146</v>
      </c>
      <c r="D51" s="2947" t="s">
        <v>3147</v>
      </c>
      <c r="E51" s="2947" t="s">
        <v>1331</v>
      </c>
      <c r="F51" s="2947" t="s">
        <v>3427</v>
      </c>
      <c r="G51" s="2947" t="s">
        <v>3148</v>
      </c>
      <c r="H51" s="2947" t="s">
        <v>3428</v>
      </c>
      <c r="I51" s="2947" t="s">
        <v>3150</v>
      </c>
      <c r="J51" s="2947">
        <v>101774</v>
      </c>
      <c r="K51" s="2947">
        <v>162838.39999999999</v>
      </c>
      <c r="L51" s="2947" t="s">
        <v>3346</v>
      </c>
      <c r="M51" s="2947" t="s">
        <v>1331</v>
      </c>
      <c r="N51" s="2947" t="s">
        <v>3256</v>
      </c>
      <c r="O51" s="2947" t="s">
        <v>3341</v>
      </c>
      <c r="P51" s="2947" t="s">
        <v>1331</v>
      </c>
      <c r="Q51" s="2947" t="s">
        <v>1331</v>
      </c>
      <c r="R51" s="2947" t="s">
        <v>1331</v>
      </c>
      <c r="S51" s="2947" t="s">
        <v>1331</v>
      </c>
      <c r="T51" s="2947" t="s">
        <v>1331</v>
      </c>
      <c r="U51" s="2947" t="s">
        <v>1331</v>
      </c>
      <c r="V51" s="2947" t="s">
        <v>1331</v>
      </c>
      <c r="W51" s="2947" t="s">
        <v>3379</v>
      </c>
      <c r="X51" s="2947" t="s">
        <v>3429</v>
      </c>
      <c r="Y51" s="2947" t="s">
        <v>3430</v>
      </c>
      <c r="Z51" s="2947" t="s">
        <v>3430</v>
      </c>
      <c r="AA51" s="2947" t="s">
        <v>3430</v>
      </c>
      <c r="AB51" s="2947" t="s">
        <v>3431</v>
      </c>
      <c r="AC51" s="2947" t="s">
        <v>3156</v>
      </c>
      <c r="AD51" s="2947" t="s">
        <v>3432</v>
      </c>
      <c r="AE51" s="2947">
        <v>14260</v>
      </c>
      <c r="AF51" s="2947">
        <v>71300</v>
      </c>
      <c r="AG51" s="2947">
        <v>90100</v>
      </c>
      <c r="AH51" s="2947">
        <v>467.05</v>
      </c>
      <c r="AI51" s="2947">
        <v>590.20000000000005</v>
      </c>
      <c r="AJ51" s="2947">
        <v>4378.57</v>
      </c>
      <c r="AK51" s="2947">
        <v>5533.09</v>
      </c>
      <c r="AL51" s="2947" t="s">
        <v>1331</v>
      </c>
      <c r="AM51" s="2947" t="s">
        <v>1331</v>
      </c>
      <c r="AN51" s="2947">
        <v>26.37</v>
      </c>
      <c r="AO51" s="2947" t="s">
        <v>3158</v>
      </c>
      <c r="AP51" s="2947" t="s">
        <v>1331</v>
      </c>
      <c r="AQ51" s="2947" t="s">
        <v>1331</v>
      </c>
      <c r="AR51" s="2947" t="s">
        <v>1331</v>
      </c>
      <c r="AS51" s="2947">
        <f t="shared" si="0"/>
        <v>8853</v>
      </c>
    </row>
    <row r="52" spans="1:45">
      <c r="J52" s="1635">
        <v>45476</v>
      </c>
      <c r="K52" s="1635">
        <v>81856.800000000003</v>
      </c>
      <c r="AG52" s="1635">
        <v>44700</v>
      </c>
      <c r="AK52">
        <f>AG52/K52*10000</f>
        <v>5460.7558565690324</v>
      </c>
      <c r="AS52" s="1635">
        <f t="shared" si="0"/>
        <v>9829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6">
      <c r="A3" s="2994"/>
      <c r="B3" s="2994"/>
      <c r="C3" s="2994"/>
      <c r="D3" s="1044" t="s">
        <v>1638</v>
      </c>
      <c r="E3" s="1044" t="s">
        <v>1644</v>
      </c>
      <c r="F3" s="1044" t="s">
        <v>1638</v>
      </c>
      <c r="G3" s="1044" t="s">
        <v>1639</v>
      </c>
      <c r="H3" s="1044" t="s">
        <v>1638</v>
      </c>
      <c r="I3" s="1044" t="s">
        <v>1639</v>
      </c>
    </row>
    <row r="4" spans="1:9" ht="60">
      <c r="A4" s="1973" t="str">
        <f>项目基本情况!S2</f>
        <v>浙江省湖州市吴兴区乌山单元02-06D号地块出让国有建设用地使用权及在建建筑物房地产</v>
      </c>
      <c r="B4" s="1044">
        <f>项目基本情况!C17</f>
        <v>86753.520000000164</v>
      </c>
      <c r="C4" s="1044">
        <f>项目基本情况!C18</f>
        <v>41386.629999999997</v>
      </c>
      <c r="D4" s="1044">
        <f ca="1">结果表!D118</f>
        <v>67871</v>
      </c>
      <c r="E4" s="1044">
        <f ca="1">结果表!E118</f>
        <v>7823</v>
      </c>
      <c r="F4" s="1044">
        <f ca="1">结果表!F118</f>
        <v>18589</v>
      </c>
      <c r="G4" s="1044">
        <f ca="1">结果表!G118</f>
        <v>2143</v>
      </c>
      <c r="H4" s="1044">
        <f ca="1">结果表!H118</f>
        <v>86460</v>
      </c>
      <c r="I4" s="1044">
        <f ca="1">结果表!I118</f>
        <v>9966</v>
      </c>
    </row>
    <row r="5" spans="1:9" ht="30" customHeight="1">
      <c r="A5" s="2994" t="s">
        <v>1640</v>
      </c>
      <c r="B5" s="2994"/>
      <c r="C5" s="2994"/>
      <c r="D5" s="2995" t="str">
        <f ca="1">结果表!D119</f>
        <v>陆亿柒仟捌佰柒拾壹万元整</v>
      </c>
      <c r="E5" s="2995"/>
      <c r="F5" s="2995" t="str">
        <f ca="1">结果表!F119</f>
        <v>壹亿捌仟伍佰捌拾玖万元整</v>
      </c>
      <c r="G5" s="2995"/>
      <c r="H5" s="2995" t="str">
        <f ca="1">结果表!H119</f>
        <v>捌亿陆仟肆佰陆拾万元整</v>
      </c>
      <c r="I5" s="2995"/>
    </row>
    <row r="6" spans="1:9" ht="15.6">
      <c r="A6" s="2996" t="str">
        <f>结果表!A120</f>
        <v>估价师知悉的法定优先受偿款</v>
      </c>
      <c r="B6" s="2996"/>
      <c r="C6" s="2996"/>
      <c r="D6" s="2996">
        <f>结果表!D120</f>
        <v>30000</v>
      </c>
      <c r="E6" s="2996"/>
      <c r="F6" s="2996"/>
      <c r="G6" s="2996"/>
      <c r="H6" s="2996"/>
      <c r="I6" s="2996"/>
    </row>
    <row r="7" spans="1:9" ht="15">
      <c r="A7" s="2994" t="s">
        <v>1640</v>
      </c>
      <c r="B7" s="2994"/>
      <c r="C7" s="2994"/>
      <c r="D7" s="2997" t="str">
        <f>结果表!D121</f>
        <v>叁亿元整</v>
      </c>
      <c r="E7" s="2998"/>
      <c r="F7" s="2998"/>
      <c r="G7" s="2998"/>
      <c r="H7" s="2998"/>
      <c r="I7" s="2999"/>
    </row>
    <row r="8" spans="1:9" ht="15.6">
      <c r="A8" s="2996" t="str">
        <f>结果表!A122</f>
        <v>房地产抵押价值</v>
      </c>
      <c r="B8" s="2996"/>
      <c r="C8" s="2996"/>
      <c r="D8" s="2996">
        <f ca="1">结果表!D122</f>
        <v>56460</v>
      </c>
      <c r="E8" s="2996"/>
      <c r="F8" s="2996"/>
      <c r="G8" s="2996"/>
      <c r="H8" s="2996"/>
      <c r="I8" s="2996"/>
    </row>
    <row r="9" spans="1:9" ht="15">
      <c r="A9" s="2994" t="s">
        <v>1640</v>
      </c>
      <c r="B9" s="2994"/>
      <c r="C9" s="2994"/>
      <c r="D9" s="2995" t="str">
        <f ca="1">结果表!D123</f>
        <v>伍亿陆仟肆佰陆拾万元整</v>
      </c>
      <c r="E9" s="2995"/>
      <c r="F9" s="2995"/>
      <c r="G9" s="2995"/>
      <c r="H9" s="2995"/>
      <c r="I9" s="2995"/>
    </row>
    <row r="10" spans="1:9" ht="15.6">
      <c r="A10" s="2996" t="str">
        <f>结果表!A124</f>
        <v/>
      </c>
      <c r="B10" s="2996"/>
      <c r="C10" s="2996"/>
      <c r="D10" s="2996" t="str">
        <f>结果表!D124</f>
        <v>——</v>
      </c>
      <c r="E10" s="2996"/>
      <c r="F10" s="2996"/>
      <c r="G10" s="2996"/>
      <c r="H10" s="2996"/>
      <c r="I10" s="2996"/>
    </row>
    <row r="11" spans="1:9" ht="15">
      <c r="A11" s="2994" t="s">
        <v>1640</v>
      </c>
      <c r="B11" s="2994"/>
      <c r="C11" s="2994"/>
      <c r="D11" s="2995" t="e">
        <f>结果表!D125</f>
        <v>#VALUE!</v>
      </c>
      <c r="E11" s="2995"/>
      <c r="F11" s="2995"/>
      <c r="G11" s="2995"/>
      <c r="H11" s="2995"/>
      <c r="I11" s="2995"/>
    </row>
    <row r="12" spans="1:9" ht="15.6">
      <c r="A12" s="2996" t="str">
        <f>结果表!A126</f>
        <v>抵押净值</v>
      </c>
      <c r="B12" s="2996"/>
      <c r="C12" s="2996"/>
      <c r="D12" s="2996">
        <f ca="1">结果表!D126</f>
        <v>7480</v>
      </c>
      <c r="E12" s="2996"/>
      <c r="F12" s="2996"/>
      <c r="G12" s="2996"/>
      <c r="H12" s="2996"/>
      <c r="I12" s="2996"/>
    </row>
    <row r="13" spans="1:9" ht="15.6" thickBot="1">
      <c r="A13" s="3000" t="s">
        <v>1640</v>
      </c>
      <c r="B13" s="3000"/>
      <c r="C13" s="3000"/>
      <c r="D13" s="3001" t="str">
        <f ca="1">结果表!D127</f>
        <v>柒仟肆佰捌拾万元整</v>
      </c>
      <c r="E13" s="3001"/>
      <c r="F13" s="3001"/>
      <c r="G13" s="3001"/>
      <c r="H13" s="3001"/>
      <c r="I13" s="3001"/>
    </row>
    <row r="14" spans="1:9" ht="14.4" thickTop="1">
      <c r="A14" s="3002" t="s">
        <v>1645</v>
      </c>
      <c r="B14" s="3002"/>
      <c r="C14" s="3002"/>
      <c r="D14" s="3002"/>
      <c r="E14" s="3002"/>
      <c r="F14" s="3002"/>
      <c r="G14" s="3002"/>
      <c r="H14" s="3002"/>
      <c r="I14" s="3002"/>
    </row>
    <row r="16" spans="1:9" ht="17.399999999999999">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I22"/>
  <sheetViews>
    <sheetView topLeftCell="B1" workbookViewId="0">
      <selection activeCell="H24" sqref="H24"/>
    </sheetView>
  </sheetViews>
  <sheetFormatPr defaultRowHeight="14.4"/>
  <cols>
    <col min="7" max="7" width="11.6640625" bestFit="1" customWidth="1"/>
    <col min="8" max="8" width="29.21875" bestFit="1" customWidth="1"/>
  </cols>
  <sheetData>
    <row r="1" spans="5:9">
      <c r="G1" s="2971" t="s">
        <v>3553</v>
      </c>
    </row>
    <row r="2" spans="5:9">
      <c r="E2" s="2972" t="s">
        <v>3522</v>
      </c>
      <c r="F2" s="2972" t="s">
        <v>3523</v>
      </c>
      <c r="G2" s="2972" t="s">
        <v>3524</v>
      </c>
      <c r="H2" s="2972" t="s">
        <v>3525</v>
      </c>
      <c r="I2" s="2972" t="s">
        <v>3546</v>
      </c>
    </row>
    <row r="3" spans="5:9">
      <c r="E3" s="2972" t="s">
        <v>3526</v>
      </c>
      <c r="F3" s="2972">
        <v>3</v>
      </c>
      <c r="G3" s="2972">
        <v>3</v>
      </c>
      <c r="H3" s="2972" t="s">
        <v>3548</v>
      </c>
      <c r="I3" s="2972" t="s">
        <v>3547</v>
      </c>
    </row>
    <row r="4" spans="5:9">
      <c r="E4" s="2972" t="s">
        <v>3527</v>
      </c>
      <c r="F4" s="2972">
        <v>3</v>
      </c>
      <c r="G4" s="2972">
        <v>3</v>
      </c>
      <c r="H4" s="2972" t="s">
        <v>3548</v>
      </c>
      <c r="I4" s="2972" t="s">
        <v>3547</v>
      </c>
    </row>
    <row r="5" spans="5:9">
      <c r="E5" s="2972" t="s">
        <v>3528</v>
      </c>
      <c r="F5" s="2972">
        <v>9</v>
      </c>
      <c r="G5" s="2972">
        <v>9</v>
      </c>
      <c r="H5" s="2972" t="s">
        <v>3549</v>
      </c>
      <c r="I5" s="2972" t="s">
        <v>3550</v>
      </c>
    </row>
    <row r="6" spans="5:9">
      <c r="E6" s="2972" t="s">
        <v>3529</v>
      </c>
      <c r="F6" s="2972">
        <v>9</v>
      </c>
      <c r="G6" s="2972">
        <v>4</v>
      </c>
      <c r="H6" s="2972" t="s">
        <v>3551</v>
      </c>
      <c r="I6" s="2972" t="s">
        <v>3550</v>
      </c>
    </row>
    <row r="7" spans="5:9">
      <c r="E7" s="2972" t="s">
        <v>3530</v>
      </c>
      <c r="F7" s="2972">
        <v>3</v>
      </c>
      <c r="G7" s="2972">
        <v>3</v>
      </c>
      <c r="H7" s="2972" t="s">
        <v>3548</v>
      </c>
      <c r="I7" s="2972" t="s">
        <v>3547</v>
      </c>
    </row>
    <row r="8" spans="5:9">
      <c r="E8" s="2972" t="s">
        <v>3531</v>
      </c>
      <c r="F8" s="2972">
        <v>3</v>
      </c>
      <c r="G8" s="2972">
        <v>3</v>
      </c>
      <c r="H8" s="2972" t="s">
        <v>3548</v>
      </c>
      <c r="I8" s="2972" t="s">
        <v>3547</v>
      </c>
    </row>
    <row r="9" spans="5:9">
      <c r="E9" s="2972" t="s">
        <v>3532</v>
      </c>
      <c r="F9" s="2972">
        <v>3</v>
      </c>
      <c r="G9" s="2972">
        <v>3</v>
      </c>
      <c r="H9" s="2972" t="s">
        <v>3548</v>
      </c>
      <c r="I9" s="2972" t="s">
        <v>3547</v>
      </c>
    </row>
    <row r="10" spans="5:9">
      <c r="E10" s="2972" t="s">
        <v>3533</v>
      </c>
      <c r="F10" s="2972">
        <v>3</v>
      </c>
      <c r="G10" s="2972">
        <v>3</v>
      </c>
      <c r="H10" s="2972" t="s">
        <v>3548</v>
      </c>
      <c r="I10" s="2972" t="s">
        <v>3547</v>
      </c>
    </row>
    <row r="11" spans="5:9">
      <c r="E11" s="2972" t="s">
        <v>3534</v>
      </c>
      <c r="F11" s="2972">
        <v>9</v>
      </c>
      <c r="G11" s="2972">
        <v>9</v>
      </c>
      <c r="H11" s="2972" t="s">
        <v>3549</v>
      </c>
      <c r="I11" s="2972" t="s">
        <v>3550</v>
      </c>
    </row>
    <row r="12" spans="5:9">
      <c r="E12" s="2972" t="s">
        <v>3535</v>
      </c>
      <c r="F12" s="2972">
        <v>9</v>
      </c>
      <c r="G12" s="2972">
        <v>9</v>
      </c>
      <c r="H12" s="2972" t="s">
        <v>3549</v>
      </c>
      <c r="I12" s="2972" t="s">
        <v>3550</v>
      </c>
    </row>
    <row r="13" spans="5:9">
      <c r="E13" s="2972" t="s">
        <v>3536</v>
      </c>
      <c r="F13" s="2972">
        <v>3</v>
      </c>
      <c r="G13" s="2972">
        <v>3</v>
      </c>
      <c r="H13" s="2972" t="s">
        <v>3548</v>
      </c>
      <c r="I13" s="2972" t="s">
        <v>3547</v>
      </c>
    </row>
    <row r="14" spans="5:9">
      <c r="E14" s="2972" t="s">
        <v>3537</v>
      </c>
      <c r="F14" s="2972">
        <v>3</v>
      </c>
      <c r="G14" s="2972">
        <v>3</v>
      </c>
      <c r="H14" s="2972" t="s">
        <v>3548</v>
      </c>
      <c r="I14" s="2972" t="s">
        <v>3547</v>
      </c>
    </row>
    <row r="15" spans="5:9">
      <c r="E15" s="2972" t="s">
        <v>3538</v>
      </c>
      <c r="F15" s="2972">
        <v>18</v>
      </c>
      <c r="G15" s="2972">
        <v>7</v>
      </c>
      <c r="H15" s="2972" t="s">
        <v>3554</v>
      </c>
      <c r="I15" s="2972" t="s">
        <v>3552</v>
      </c>
    </row>
    <row r="16" spans="5:9">
      <c r="E16" s="2972" t="s">
        <v>3539</v>
      </c>
      <c r="F16" s="2972">
        <v>9</v>
      </c>
      <c r="G16" s="2972">
        <v>4</v>
      </c>
      <c r="H16" s="2972" t="s">
        <v>3551</v>
      </c>
      <c r="I16" s="2972" t="s">
        <v>3550</v>
      </c>
    </row>
    <row r="17" spans="5:9">
      <c r="E17" s="2972" t="s">
        <v>3540</v>
      </c>
      <c r="F17" s="2972">
        <v>9</v>
      </c>
      <c r="G17" s="2972">
        <v>9</v>
      </c>
      <c r="H17" s="2972" t="s">
        <v>3549</v>
      </c>
      <c r="I17" s="2972" t="s">
        <v>3550</v>
      </c>
    </row>
    <row r="18" spans="5:9">
      <c r="E18" s="2972" t="s">
        <v>3541</v>
      </c>
      <c r="F18" s="2972">
        <v>9</v>
      </c>
      <c r="G18" s="2972">
        <v>9</v>
      </c>
      <c r="H18" s="2972" t="s">
        <v>3549</v>
      </c>
      <c r="I18" s="2972" t="s">
        <v>3550</v>
      </c>
    </row>
    <row r="19" spans="5:9">
      <c r="E19" s="2972" t="s">
        <v>3542</v>
      </c>
      <c r="F19" s="2972">
        <v>20</v>
      </c>
      <c r="G19" s="2972">
        <v>19</v>
      </c>
      <c r="H19" s="2972" t="s">
        <v>3555</v>
      </c>
      <c r="I19" s="2972" t="s">
        <v>3552</v>
      </c>
    </row>
    <row r="20" spans="5:9">
      <c r="E20" s="2972" t="s">
        <v>3543</v>
      </c>
      <c r="F20" s="2972">
        <v>20</v>
      </c>
      <c r="G20" s="2972">
        <v>19</v>
      </c>
      <c r="H20" s="2972" t="s">
        <v>3555</v>
      </c>
      <c r="I20" s="2972" t="s">
        <v>3552</v>
      </c>
    </row>
    <row r="21" spans="5:9">
      <c r="E21" s="2972" t="s">
        <v>3544</v>
      </c>
      <c r="F21" s="2972">
        <v>20</v>
      </c>
      <c r="G21" s="2972">
        <v>19</v>
      </c>
      <c r="H21" s="2972" t="s">
        <v>3555</v>
      </c>
      <c r="I21" s="2972" t="s">
        <v>3552</v>
      </c>
    </row>
    <row r="22" spans="5:9">
      <c r="E22" s="2972" t="s">
        <v>3545</v>
      </c>
      <c r="F22" s="2972">
        <v>20</v>
      </c>
      <c r="G22" s="2972">
        <v>19</v>
      </c>
      <c r="H22" s="2972" t="s">
        <v>3555</v>
      </c>
      <c r="I22" s="2972" t="s">
        <v>3552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03" t="s">
        <v>1662</v>
      </c>
      <c r="B1" s="3003"/>
      <c r="C1" s="3003"/>
      <c r="D1" s="3003"/>
    </row>
    <row r="2" spans="1:4" ht="17.399999999999999">
      <c r="A2" s="3004" t="s">
        <v>1646</v>
      </c>
      <c r="B2" s="3004"/>
      <c r="C2" s="3004"/>
      <c r="D2" s="3004"/>
    </row>
    <row r="3" spans="1:4" ht="17.399999999999999">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崔锴</v>
      </c>
      <c r="B5" s="1979">
        <f ca="1">项目基本情况!E4</f>
        <v>1120100036</v>
      </c>
      <c r="C5" s="1982"/>
      <c r="D5" s="1981" t="s">
        <v>1651</v>
      </c>
    </row>
    <row r="6" spans="1:4" ht="17.399999999999999">
      <c r="A6" s="3004" t="s">
        <v>1652</v>
      </c>
      <c r="B6" s="3004"/>
      <c r="C6" s="3004"/>
      <c r="D6" s="3004"/>
    </row>
    <row r="7" spans="1:4" ht="17.399999999999999">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7.399999999999999">
      <c r="A10" s="1984" t="s">
        <v>1654</v>
      </c>
      <c r="B10" s="728"/>
      <c r="C10" s="728"/>
      <c r="D10" s="728"/>
    </row>
    <row r="11" spans="1:4" ht="30" customHeight="1">
      <c r="A11" s="3005" t="s">
        <v>1655</v>
      </c>
      <c r="B11" s="3006"/>
      <c r="C11" s="3006"/>
      <c r="D11" s="3006"/>
    </row>
    <row r="12" spans="1:4" ht="15.6">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国有土地使用权》原件，截至价值时点，估价对象已设定抵押。上述抵押权设定日期为2017年11月17日，权利人为大连银行股份有限公司上海分行，权利范围为土地，权利价值为42000。</v>
      </c>
      <c r="B15" s="3006"/>
      <c r="C15" s="3006"/>
      <c r="D15" s="3006"/>
    </row>
    <row r="16" spans="1:4" ht="30" customHeight="1">
      <c r="A16" s="3009" t="s">
        <v>1656</v>
      </c>
      <c r="B16" s="3009"/>
      <c r="C16" s="3009"/>
      <c r="D16" s="3009"/>
    </row>
    <row r="17" spans="1:4" ht="144" customHeight="1">
      <c r="A17" s="3009" t="s">
        <v>1657</v>
      </c>
      <c r="B17" s="3009"/>
      <c r="C17" s="3009"/>
      <c r="D17" s="3009"/>
    </row>
    <row r="18" spans="1:4" ht="15.75" customHeight="1">
      <c r="A18" s="3006" t="str">
        <f>IF(项目基本情况!B8="抵押",结果表!K120,"——")</f>
        <v>故，本次评估估价师知悉的法定优先受偿款为人民币30000万元整。</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1658</v>
      </c>
      <c r="B22" s="3011"/>
      <c r="C22" s="3011"/>
      <c r="D22" s="3011"/>
    </row>
    <row r="23" spans="1:4">
      <c r="A23" s="1985"/>
      <c r="B23" s="1957"/>
      <c r="C23" s="1957"/>
      <c r="D23" s="1957"/>
    </row>
    <row r="24" spans="1:4">
      <c r="A24" s="1985"/>
      <c r="B24" s="1957"/>
      <c r="C24" s="1957"/>
      <c r="D24" s="1957"/>
    </row>
    <row r="25" spans="1:4" ht="17.399999999999999">
      <c r="A25" s="1986" t="s">
        <v>1659</v>
      </c>
    </row>
    <row r="26" spans="1:4" ht="17.399999999999999">
      <c r="A26" s="1955"/>
    </row>
    <row r="27" spans="1:4" ht="17.399999999999999">
      <c r="A27" s="1955" t="s">
        <v>1660</v>
      </c>
    </row>
    <row r="30" spans="1:4" ht="17.399999999999999">
      <c r="D30" s="1986" t="s">
        <v>1661</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870</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3" customWidth="1"/>
    <col min="2" max="16384" width="14.44140625" style="1975"/>
  </cols>
  <sheetData>
    <row r="1" spans="1:7" s="1990" customFormat="1" ht="17.399999999999999">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4.4">
      <c r="A15" s="3017" t="s">
        <v>1669</v>
      </c>
      <c r="B15" s="3012" t="s">
        <v>136</v>
      </c>
      <c r="C15" s="3013"/>
    </row>
    <row r="16" spans="1:7" ht="14.4">
      <c r="A16" s="3018"/>
      <c r="B16" s="3012" t="s">
        <v>69</v>
      </c>
      <c r="C16" s="3013"/>
    </row>
    <row r="17" spans="1:3" ht="14.4">
      <c r="A17" s="3018"/>
      <c r="B17" s="3015" t="s">
        <v>1670</v>
      </c>
      <c r="C17" s="2000" t="s">
        <v>1669</v>
      </c>
    </row>
    <row r="18" spans="1:3" ht="14.4">
      <c r="A18" s="3018"/>
      <c r="B18" s="3015"/>
      <c r="C18" s="2000" t="s">
        <v>1671</v>
      </c>
    </row>
    <row r="19" spans="1:3" ht="14.4">
      <c r="A19" s="3018"/>
      <c r="B19" s="3015"/>
      <c r="C19" s="2000" t="s">
        <v>1672</v>
      </c>
    </row>
    <row r="20" spans="1:3" ht="14.4">
      <c r="A20" s="3019"/>
      <c r="B20" s="3014" t="s">
        <v>1673</v>
      </c>
      <c r="C20" s="3013"/>
    </row>
    <row r="21" spans="1:3" ht="14.4">
      <c r="A21" s="2001" t="s">
        <v>1674</v>
      </c>
      <c r="B21" s="2002"/>
      <c r="C21" s="2003"/>
    </row>
    <row r="22" spans="1:3" ht="14.4">
      <c r="A22" s="3016" t="s">
        <v>1675</v>
      </c>
      <c r="B22" s="3014" t="s">
        <v>1676</v>
      </c>
      <c r="C22" s="3013"/>
    </row>
    <row r="23" spans="1:3" ht="14.4">
      <c r="A23" s="3016"/>
      <c r="B23" s="3014" t="s">
        <v>1677</v>
      </c>
      <c r="C23" s="3013"/>
    </row>
    <row r="24" spans="1:3" ht="14.4">
      <c r="A24" s="3016"/>
      <c r="B24" s="3014" t="s">
        <v>1678</v>
      </c>
      <c r="C24" s="3013"/>
    </row>
    <row r="25" spans="1:3" ht="14.4">
      <c r="A25" s="3016"/>
      <c r="B25" s="3015" t="s">
        <v>1679</v>
      </c>
      <c r="C25" s="2000" t="s">
        <v>1680</v>
      </c>
    </row>
    <row r="26" spans="1:3" ht="14.4">
      <c r="A26" s="3016"/>
      <c r="B26" s="3015"/>
      <c r="C26" s="2000" t="s">
        <v>1681</v>
      </c>
    </row>
    <row r="27" spans="1:3" ht="14.4">
      <c r="A27" s="3016"/>
      <c r="B27" s="3015"/>
      <c r="C27" s="2000" t="s">
        <v>1682</v>
      </c>
    </row>
    <row r="28" spans="1:3" ht="14.4">
      <c r="A28" s="3016"/>
      <c r="B28" s="3015"/>
      <c r="C28" s="2000" t="s">
        <v>1683</v>
      </c>
    </row>
    <row r="29" spans="1:3" ht="14.4">
      <c r="A29" s="3016"/>
      <c r="B29" s="3015"/>
      <c r="C29" s="2000" t="s">
        <v>1684</v>
      </c>
    </row>
    <row r="30" spans="1:3" ht="14.4">
      <c r="A30" s="3016"/>
      <c r="B30" s="3015"/>
      <c r="C30" s="2000" t="s">
        <v>1685</v>
      </c>
    </row>
    <row r="31" spans="1:3" ht="14.4">
      <c r="A31" s="3016"/>
      <c r="B31" s="3015"/>
      <c r="C31" s="2000" t="s">
        <v>1686</v>
      </c>
    </row>
    <row r="32" spans="1:3" ht="14.4">
      <c r="A32" s="3016"/>
      <c r="B32" s="3015"/>
      <c r="C32" s="2000" t="s">
        <v>1687</v>
      </c>
    </row>
    <row r="33" spans="1:3" ht="14.4">
      <c r="A33" s="3016"/>
      <c r="B33" s="3015"/>
      <c r="C33" s="2000" t="s">
        <v>1688</v>
      </c>
    </row>
    <row r="34" spans="1:3">
      <c r="A34" s="2004" t="s">
        <v>76</v>
      </c>
    </row>
    <row r="37" spans="1:3">
      <c r="A37" s="2004" t="s">
        <v>1689</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43362</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f ca="1">IF(C4&lt;B2,"已过期",1119970066)</f>
        <v>1119970066</v>
      </c>
      <c r="C4" s="2343">
        <v>43849</v>
      </c>
      <c r="D4" s="2346" t="s">
        <v>832</v>
      </c>
      <c r="E4" s="1022">
        <f ca="1">IF(F4&lt;B2,"已过期",96010014)</f>
        <v>96010014</v>
      </c>
      <c r="F4" s="1030">
        <v>47118</v>
      </c>
    </row>
    <row r="5" spans="1:6" ht="24" customHeight="1">
      <c r="A5" s="1702" t="s">
        <v>833</v>
      </c>
      <c r="B5" s="1022">
        <f ca="1">IF(C5&lt;B2,"已过期",1119970074)</f>
        <v>1119970074</v>
      </c>
      <c r="C5" s="2343">
        <v>43849</v>
      </c>
      <c r="D5" s="2346" t="s">
        <v>833</v>
      </c>
      <c r="E5" s="1022">
        <f ca="1">IF(F5&lt;B2,"已过期",2002110027)</f>
        <v>2002110027</v>
      </c>
      <c r="F5" s="1030">
        <v>46752</v>
      </c>
    </row>
    <row r="6" spans="1:6" ht="24" customHeight="1">
      <c r="A6" s="1702" t="s">
        <v>834</v>
      </c>
      <c r="B6" s="1022">
        <f ca="1">IF(C6&lt;B2,"已过期",1119970111)</f>
        <v>1119970111</v>
      </c>
      <c r="C6" s="2343">
        <v>43849</v>
      </c>
      <c r="D6" s="2346" t="s">
        <v>834</v>
      </c>
      <c r="E6" s="1022">
        <f ca="1">IF(F6&lt;B2,"已过期",94010078)</f>
        <v>94010078</v>
      </c>
      <c r="F6" s="1030">
        <v>46387</v>
      </c>
    </row>
    <row r="7" spans="1:6" ht="24" customHeight="1">
      <c r="A7" s="1702" t="s">
        <v>835</v>
      </c>
      <c r="B7" s="1022">
        <f ca="1">IF(C7&lt;B2,"已过期",1120050019)</f>
        <v>1120050019</v>
      </c>
      <c r="C7" s="2343">
        <v>44395</v>
      </c>
      <c r="D7" s="2346" t="s">
        <v>835</v>
      </c>
      <c r="E7" s="1022">
        <f ca="1">IF(F7&lt;B2,"已过期",2002110030)</f>
        <v>2002110030</v>
      </c>
      <c r="F7" s="1030">
        <v>46387</v>
      </c>
    </row>
    <row r="8" spans="1:6" ht="24" customHeight="1">
      <c r="A8" s="1702" t="s">
        <v>836</v>
      </c>
      <c r="B8" s="1022">
        <f ca="1">IF(C8&lt;B2,"已过期",1120000080)</f>
        <v>1120000080</v>
      </c>
      <c r="C8" s="2343">
        <v>43849</v>
      </c>
      <c r="D8" s="2346" t="s">
        <v>836</v>
      </c>
      <c r="E8" s="1022">
        <f ca="1">IF(F8&lt;B2,"已过期",2000110082)</f>
        <v>2000110082</v>
      </c>
      <c r="F8" s="1030">
        <v>46387</v>
      </c>
    </row>
    <row r="9" spans="1:6" ht="24" customHeight="1">
      <c r="A9" s="1702" t="s">
        <v>837</v>
      </c>
      <c r="B9" s="1022">
        <f ca="1">IF(C9&lt;B2,"已过期",1419970001)</f>
        <v>1419970001</v>
      </c>
      <c r="C9" s="2343">
        <v>43867</v>
      </c>
      <c r="D9" s="2346" t="s">
        <v>837</v>
      </c>
      <c r="E9" s="1022">
        <f ca="1">IF(F9&lt;B2,"已过期",2002110125)</f>
        <v>2002110125</v>
      </c>
      <c r="F9" s="1030">
        <v>47118</v>
      </c>
    </row>
    <row r="10" spans="1:6" ht="24" customHeight="1">
      <c r="A10" s="1702" t="s">
        <v>838</v>
      </c>
      <c r="B10" s="1022">
        <f ca="1">IF(C10&lt;B2,"已过期",1120060040)</f>
        <v>1120060040</v>
      </c>
      <c r="C10" s="2343">
        <v>43483</v>
      </c>
      <c r="D10" s="2346" t="s">
        <v>838</v>
      </c>
      <c r="E10" s="1022">
        <f ca="1">IF(F10&lt;B2,"已过期",2004110096)</f>
        <v>2004110096</v>
      </c>
      <c r="F10" s="1030">
        <v>47118</v>
      </c>
    </row>
    <row r="11" spans="1:6" ht="24" customHeight="1">
      <c r="A11" s="1702" t="s">
        <v>839</v>
      </c>
      <c r="B11" s="1022">
        <f ca="1">IF(C11&lt;B2,"已过期",1120100036)</f>
        <v>1120100036</v>
      </c>
      <c r="C11" s="2343">
        <v>43622</v>
      </c>
      <c r="D11" s="2346" t="s">
        <v>839</v>
      </c>
      <c r="E11" s="1022">
        <f ca="1">IF(F11&lt;B2,"已过期",2010110070)</f>
        <v>2010110070</v>
      </c>
      <c r="F11" s="1030">
        <v>47907</v>
      </c>
    </row>
    <row r="12" spans="1:6" ht="24" customHeight="1">
      <c r="A12" s="1702" t="s">
        <v>3043</v>
      </c>
      <c r="B12" s="1022">
        <v>1120110054</v>
      </c>
      <c r="C12" s="2935">
        <v>43937</v>
      </c>
      <c r="D12" s="1702" t="s">
        <v>3043</v>
      </c>
      <c r="E12" s="1022">
        <v>2008110060</v>
      </c>
      <c r="F12" s="1030">
        <v>47177</v>
      </c>
    </row>
    <row r="13" spans="1:6" ht="24" customHeight="1">
      <c r="A13" s="1702" t="s">
        <v>840</v>
      </c>
      <c r="B13" s="1022">
        <f ca="1">IF(C13&lt;B2,"已过期",1120070131)</f>
        <v>1120070131</v>
      </c>
      <c r="C13" s="2343">
        <v>43814</v>
      </c>
      <c r="D13" s="2346" t="s">
        <v>840</v>
      </c>
      <c r="E13" s="1022">
        <v>2014110011</v>
      </c>
      <c r="F13" s="1030">
        <v>49302</v>
      </c>
    </row>
    <row r="14" spans="1:6" ht="24" customHeight="1">
      <c r="A14" s="1702" t="s">
        <v>841</v>
      </c>
      <c r="B14" s="1022">
        <f ca="1">IF(C14&lt;B2,"已过期",1120130020)</f>
        <v>1120130020</v>
      </c>
      <c r="C14" s="2343">
        <v>43622</v>
      </c>
      <c r="D14" s="2346"/>
      <c r="E14" s="1022"/>
      <c r="F14" s="1022"/>
    </row>
    <row r="15" spans="1:6" ht="24" customHeight="1">
      <c r="A15" s="1703" t="s">
        <v>1149</v>
      </c>
      <c r="B15" s="1022">
        <v>1120070085</v>
      </c>
      <c r="C15" s="2343">
        <v>43814</v>
      </c>
      <c r="D15" s="2347" t="s">
        <v>1149</v>
      </c>
      <c r="E15" s="1022">
        <v>2004110128</v>
      </c>
      <c r="F15" s="1023">
        <v>47118</v>
      </c>
    </row>
    <row r="16" spans="1:6" ht="24" customHeight="1">
      <c r="A16" s="1702" t="s">
        <v>842</v>
      </c>
      <c r="B16" s="1022">
        <f ca="1">IF(C16&lt;B2,"已过期",1120140022)</f>
        <v>1120140022</v>
      </c>
      <c r="C16" s="2343">
        <v>44029</v>
      </c>
      <c r="D16" s="2346" t="s">
        <v>842</v>
      </c>
      <c r="E16" s="1022">
        <f ca="1">IF(F16&lt;B2,"已过期",2008110059)</f>
        <v>2008110059</v>
      </c>
      <c r="F16" s="1030">
        <v>47177</v>
      </c>
    </row>
    <row r="17" spans="1:7" ht="24" customHeight="1">
      <c r="A17" s="1702"/>
      <c r="B17" s="1022"/>
      <c r="C17" s="2343"/>
      <c r="D17" s="2346"/>
      <c r="E17" s="1022"/>
      <c r="F17" s="1030"/>
    </row>
    <row r="18" spans="1:7" ht="24" customHeight="1">
      <c r="A18" s="1702"/>
      <c r="B18" s="1022"/>
      <c r="C18" s="2343"/>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843</v>
      </c>
      <c r="E21" s="1022">
        <f ca="1">IF(F21&lt;B2,"已过期",2011110090)</f>
        <v>2011110090</v>
      </c>
      <c r="F21" s="1030">
        <v>48302</v>
      </c>
    </row>
    <row r="22" spans="1:7" ht="24" customHeight="1">
      <c r="A22" s="1702" t="s">
        <v>844</v>
      </c>
      <c r="B22" s="1022">
        <f ca="1">IF(C22&lt;B2,"已过期",1120020033)</f>
        <v>1120020033</v>
      </c>
      <c r="C22" s="2935">
        <v>44339</v>
      </c>
      <c r="D22" s="2346" t="s">
        <v>844</v>
      </c>
      <c r="E22" s="1022">
        <f ca="1">IF(F22&lt;B2,"已过期",2000110137)</f>
        <v>2000110137</v>
      </c>
      <c r="F22" s="1030">
        <v>46387</v>
      </c>
    </row>
    <row r="23" spans="1:7" ht="24" customHeight="1">
      <c r="A23" s="1702" t="s">
        <v>845</v>
      </c>
      <c r="B23" s="1022">
        <f ca="1">IF(C23&lt;B2,"已过期",1120130048)</f>
        <v>1120130048</v>
      </c>
      <c r="C23" s="2343">
        <v>43686</v>
      </c>
      <c r="D23" s="2346"/>
      <c r="E23" s="1022"/>
      <c r="F23" s="1022"/>
    </row>
    <row r="24" spans="1:7" s="1024" customFormat="1" ht="24" customHeight="1">
      <c r="A24" s="1703" t="s">
        <v>1333</v>
      </c>
      <c r="B24" s="1703" t="s">
        <v>1333</v>
      </c>
      <c r="C24" s="2344" t="s">
        <v>1333</v>
      </c>
      <c r="D24" s="2347" t="s">
        <v>1333</v>
      </c>
      <c r="E24" s="1703" t="s">
        <v>1333</v>
      </c>
      <c r="F24" s="1703" t="s">
        <v>1333</v>
      </c>
    </row>
    <row r="25" spans="1:7" ht="24" customHeight="1">
      <c r="A25" s="3020" t="s">
        <v>846</v>
      </c>
      <c r="B25" s="3020"/>
      <c r="C25" s="3020"/>
      <c r="D25" s="3020"/>
      <c r="E25" s="3020"/>
      <c r="F25" s="3020"/>
      <c r="G25" s="3020"/>
    </row>
    <row r="26" spans="1:7" s="1025" customFormat="1" ht="24" customHeight="1">
      <c r="A26" s="3021" t="s">
        <v>847</v>
      </c>
      <c r="B26" s="3021"/>
      <c r="C26" s="3022"/>
      <c r="D26" s="3023" t="s">
        <v>848</v>
      </c>
      <c r="E26" s="3021"/>
      <c r="F26" s="3021"/>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1" priority="66">
      <formula>AND($C28-TODAY()&lt;30,TODAY()&lt;$C28)</formula>
    </cfRule>
  </conditionalFormatting>
  <conditionalFormatting sqref="C28 F4">
    <cfRule type="cellIs" dxfId="230" priority="68" stopIfTrue="1" operator="lessThan">
      <formula>$B$2</formula>
    </cfRule>
  </conditionalFormatting>
  <conditionalFormatting sqref="C5">
    <cfRule type="expression" dxfId="229" priority="63">
      <formula>AND($C5-TODAY()&lt;30,TODAY()&lt;$C5)</formula>
    </cfRule>
  </conditionalFormatting>
  <conditionalFormatting sqref="C5 F5">
    <cfRule type="cellIs" dxfId="228" priority="64" stopIfTrue="1" operator="lessThan">
      <formula>$B$2</formula>
    </cfRule>
  </conditionalFormatting>
  <conditionalFormatting sqref="F6 F8 F10">
    <cfRule type="cellIs" dxfId="227" priority="62" stopIfTrue="1" operator="lessThan">
      <formula>$B$2</formula>
    </cfRule>
  </conditionalFormatting>
  <conditionalFormatting sqref="C4:C11 C13:C21 C23">
    <cfRule type="expression" dxfId="226" priority="60">
      <formula>AND($C4-TODAY()&lt;30,TODAY()&lt;$C4)</formula>
    </cfRule>
  </conditionalFormatting>
  <conditionalFormatting sqref="F7 F9 F11 C4:C11 C13:C21 C23">
    <cfRule type="cellIs" dxfId="225" priority="61" stopIfTrue="1" operator="lessThan">
      <formula>$B$2</formula>
    </cfRule>
  </conditionalFormatting>
  <conditionalFormatting sqref="C14">
    <cfRule type="expression" dxfId="224" priority="54">
      <formula>AND($C14-TODAY()&lt;30,TODAY()&lt;$C14)</formula>
    </cfRule>
  </conditionalFormatting>
  <conditionalFormatting sqref="C14">
    <cfRule type="cellIs" dxfId="223" priority="55" stopIfTrue="1" operator="lessThan">
      <formula>$B$2</formula>
    </cfRule>
  </conditionalFormatting>
  <conditionalFormatting sqref="C16">
    <cfRule type="expression" dxfId="222" priority="52">
      <formula>AND($C16-TODAY()&lt;30,TODAY()&lt;$C16)</formula>
    </cfRule>
  </conditionalFormatting>
  <conditionalFormatting sqref="C16">
    <cfRule type="cellIs" dxfId="221" priority="53" stopIfTrue="1" operator="lessThan">
      <formula>$B$2</formula>
    </cfRule>
  </conditionalFormatting>
  <conditionalFormatting sqref="C18">
    <cfRule type="expression" dxfId="220" priority="50">
      <formula>AND($C18-TODAY()&lt;30,TODAY()&lt;$C18)</formula>
    </cfRule>
  </conditionalFormatting>
  <conditionalFormatting sqref="C18">
    <cfRule type="cellIs" dxfId="219" priority="51" stopIfTrue="1" operator="lessThan">
      <formula>$B$2</formula>
    </cfRule>
  </conditionalFormatting>
  <conditionalFormatting sqref="C20">
    <cfRule type="expression" dxfId="218" priority="48">
      <formula>AND($C20-TODAY()&lt;30,TODAY()&lt;$C20)</formula>
    </cfRule>
  </conditionalFormatting>
  <conditionalFormatting sqref="C20">
    <cfRule type="cellIs" dxfId="217" priority="49" stopIfTrue="1" operator="lessThan">
      <formula>$B$2</formula>
    </cfRule>
  </conditionalFormatting>
  <conditionalFormatting sqref="C15">
    <cfRule type="expression" dxfId="216" priority="44">
      <formula>AND($C15-TODAY()&lt;30,TODAY()&lt;$C15)</formula>
    </cfRule>
  </conditionalFormatting>
  <conditionalFormatting sqref="C15">
    <cfRule type="cellIs" dxfId="215" priority="45" stopIfTrue="1" operator="lessThan">
      <formula>$B$2</formula>
    </cfRule>
  </conditionalFormatting>
  <conditionalFormatting sqref="C17">
    <cfRule type="expression" dxfId="214" priority="42">
      <formula>AND($C17-TODAY()&lt;30,TODAY()&lt;$C17)</formula>
    </cfRule>
  </conditionalFormatting>
  <conditionalFormatting sqref="C17">
    <cfRule type="cellIs" dxfId="213" priority="43" stopIfTrue="1" operator="lessThan">
      <formula>$B$2</formula>
    </cfRule>
  </conditionalFormatting>
  <conditionalFormatting sqref="C19">
    <cfRule type="expression" dxfId="212" priority="40">
      <formula>AND($C19-TODAY()&lt;30,TODAY()&lt;$C19)</formula>
    </cfRule>
  </conditionalFormatting>
  <conditionalFormatting sqref="C19">
    <cfRule type="cellIs" dxfId="211" priority="41" stopIfTrue="1" operator="lessThan">
      <formula>$B$2</formula>
    </cfRule>
  </conditionalFormatting>
  <conditionalFormatting sqref="C21">
    <cfRule type="expression" dxfId="210" priority="38">
      <formula>AND($C21-TODAY()&lt;30,TODAY()&lt;$C21)</formula>
    </cfRule>
  </conditionalFormatting>
  <conditionalFormatting sqref="C21">
    <cfRule type="cellIs" dxfId="209" priority="39" stopIfTrue="1" operator="lessThan">
      <formula>$B$2</formula>
    </cfRule>
  </conditionalFormatting>
  <conditionalFormatting sqref="C23">
    <cfRule type="expression" dxfId="208" priority="36">
      <formula>AND($C23-TODAY()&lt;30,TODAY()&lt;$C23)</formula>
    </cfRule>
  </conditionalFormatting>
  <conditionalFormatting sqref="C23">
    <cfRule type="cellIs" dxfId="207" priority="37" stopIfTrue="1" operator="lessThan">
      <formula>$B$2</formula>
    </cfRule>
  </conditionalFormatting>
  <conditionalFormatting sqref="F16">
    <cfRule type="cellIs" dxfId="206" priority="34" stopIfTrue="1" operator="lessThan">
      <formula>$B$2</formula>
    </cfRule>
  </conditionalFormatting>
  <conditionalFormatting sqref="F18">
    <cfRule type="cellIs" dxfId="205" priority="33" stopIfTrue="1" operator="lessThan">
      <formula>$B$2</formula>
    </cfRule>
  </conditionalFormatting>
  <conditionalFormatting sqref="F22">
    <cfRule type="cellIs" dxfId="204" priority="32" stopIfTrue="1" operator="lessThan">
      <formula>$B$2</formula>
    </cfRule>
  </conditionalFormatting>
  <conditionalFormatting sqref="F21">
    <cfRule type="cellIs" dxfId="203" priority="31" stopIfTrue="1" operator="lessThan">
      <formula>$B$2</formula>
    </cfRule>
  </conditionalFormatting>
  <conditionalFormatting sqref="F17">
    <cfRule type="cellIs" dxfId="202" priority="30" stopIfTrue="1" operator="lessThan">
      <formula>$B$2</formula>
    </cfRule>
  </conditionalFormatting>
  <conditionalFormatting sqref="B4:B11 E4:E11 B16:B23 E16:E23 B13:B14 E13:E14">
    <cfRule type="cellIs" dxfId="201" priority="29" stopIfTrue="1" operator="equal">
      <formula>"已过期"</formula>
    </cfRule>
  </conditionalFormatting>
  <conditionalFormatting sqref="A24:F24">
    <cfRule type="cellIs" dxfId="200" priority="25" stopIfTrue="1" operator="equal">
      <formula>"已过期"</formula>
    </cfRule>
  </conditionalFormatting>
  <conditionalFormatting sqref="F28">
    <cfRule type="expression" dxfId="199" priority="23">
      <formula>AND($E28-TODAY()&lt;30,TODAY()&lt;$E28)</formula>
    </cfRule>
  </conditionalFormatting>
  <conditionalFormatting sqref="F28">
    <cfRule type="cellIs" dxfId="198" priority="24" stopIfTrue="1" operator="lessThan">
      <formula>$B$2</formula>
    </cfRule>
  </conditionalFormatting>
  <conditionalFormatting sqref="F29">
    <cfRule type="expression" dxfId="197" priority="19" stopIfTrue="1">
      <formula>AND($E29-TODAY()&lt;30,TODAY()&lt;$E29)</formula>
    </cfRule>
  </conditionalFormatting>
  <conditionalFormatting sqref="F29">
    <cfRule type="cellIs" dxfId="196" priority="20" stopIfTrue="1" operator="lessThan">
      <formula>$B$2</formula>
    </cfRule>
  </conditionalFormatting>
  <conditionalFormatting sqref="B15">
    <cfRule type="cellIs" dxfId="195" priority="17" stopIfTrue="1" operator="equal">
      <formula>"已过期"</formula>
    </cfRule>
  </conditionalFormatting>
  <conditionalFormatting sqref="A15">
    <cfRule type="cellIs" dxfId="194" priority="16" stopIfTrue="1" operator="equal">
      <formula>"已过期"</formula>
    </cfRule>
  </conditionalFormatting>
  <conditionalFormatting sqref="C15">
    <cfRule type="expression" dxfId="193" priority="15">
      <formula>AND($C15-TODAY()&lt;30,TODAY()&lt;$C15)</formula>
    </cfRule>
  </conditionalFormatting>
  <conditionalFormatting sqref="E15">
    <cfRule type="cellIs" dxfId="192" priority="14" stopIfTrue="1" operator="equal">
      <formula>"已过期"</formula>
    </cfRule>
  </conditionalFormatting>
  <conditionalFormatting sqref="D15">
    <cfRule type="cellIs" dxfId="191" priority="13" stopIfTrue="1" operator="equal">
      <formula>"已过期"</formula>
    </cfRule>
  </conditionalFormatting>
  <conditionalFormatting sqref="F13">
    <cfRule type="cellIs" dxfId="190" priority="12" stopIfTrue="1" operator="lessThan">
      <formula>$B$2</formula>
    </cfRule>
  </conditionalFormatting>
  <conditionalFormatting sqref="C12">
    <cfRule type="expression" dxfId="189" priority="10">
      <formula>AND($C12-TODAY()&lt;30,TODAY()&lt;$C12)</formula>
    </cfRule>
  </conditionalFormatting>
  <conditionalFormatting sqref="C12">
    <cfRule type="cellIs" dxfId="188" priority="11" stopIfTrue="1" operator="lessThan">
      <formula>$B$2</formula>
    </cfRule>
  </conditionalFormatting>
  <conditionalFormatting sqref="C12">
    <cfRule type="expression" dxfId="187" priority="8">
      <formula>AND($C12-TODAY()&lt;30,TODAY()&lt;$C12)</formula>
    </cfRule>
  </conditionalFormatting>
  <conditionalFormatting sqref="C12">
    <cfRule type="cellIs" dxfId="186" priority="9" stopIfTrue="1" operator="lessThan">
      <formula>$B$2</formula>
    </cfRule>
  </conditionalFormatting>
  <conditionalFormatting sqref="B12">
    <cfRule type="cellIs" dxfId="185" priority="7" stopIfTrue="1" operator="equal">
      <formula>"已过期"</formula>
    </cfRule>
  </conditionalFormatting>
  <conditionalFormatting sqref="E12">
    <cfRule type="cellIs" dxfId="184" priority="6" stopIfTrue="1" operator="equal">
      <formula>"已过期"</formula>
    </cfRule>
  </conditionalFormatting>
  <conditionalFormatting sqref="F12">
    <cfRule type="cellIs" dxfId="183" priority="5" stopIfTrue="1" operator="lessThan">
      <formula>$B$2</formula>
    </cfRule>
  </conditionalFormatting>
  <conditionalFormatting sqref="C22">
    <cfRule type="expression" dxfId="182" priority="3">
      <formula>AND($C22-TODAY()&lt;30,TODAY()&lt;$C22)</formula>
    </cfRule>
  </conditionalFormatting>
  <conditionalFormatting sqref="C22">
    <cfRule type="cellIs" dxfId="181" priority="4"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收益法-仓储</vt:lpstr>
      <vt:lpstr>收益法 (元)</vt:lpstr>
      <vt:lpstr>收益法（汇总）</vt:lpstr>
      <vt:lpstr>酒店收入计算</vt:lpstr>
      <vt:lpstr>比较法-高层</vt:lpstr>
      <vt:lpstr>比较法-洋房</vt:lpstr>
      <vt:lpstr>比较法-排屋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工程进度</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'比较法-洋房'!住宅朝向</vt:lpstr>
      <vt:lpstr>住宅朝向</vt:lpstr>
      <vt:lpstr>'比较法-高层'!住宅房型</vt:lpstr>
      <vt:lpstr>'比较法-洋房'!住宅房型</vt:lpstr>
      <vt:lpstr>住宅房型</vt:lpstr>
      <vt:lpstr>'比较法-高层'!住宅公共部分装修</vt:lpstr>
      <vt:lpstr>'比较法-洋房'!住宅公共部分装修</vt:lpstr>
      <vt:lpstr>住宅公共部分装修</vt:lpstr>
      <vt:lpstr>'比较法-高层'!住宅基础设施水平</vt:lpstr>
      <vt:lpstr>'比较法-洋房'!住宅基础设施水平</vt:lpstr>
      <vt:lpstr>住宅基础设施水平</vt:lpstr>
      <vt:lpstr>'比较法-高层'!住宅建筑结构</vt:lpstr>
      <vt:lpstr>'比较法-洋房'!住宅建筑结构</vt:lpstr>
      <vt:lpstr>住宅建筑结构</vt:lpstr>
      <vt:lpstr>'比较法-高层'!住宅建筑类型</vt:lpstr>
      <vt:lpstr>'比较法-洋房'!住宅建筑类型</vt:lpstr>
      <vt:lpstr>住宅建筑类型</vt:lpstr>
      <vt:lpstr>'比较法-高层'!住宅建筑品质</vt:lpstr>
      <vt:lpstr>'比较法-洋房'!住宅建筑品质</vt:lpstr>
      <vt:lpstr>住宅建筑品质</vt:lpstr>
      <vt:lpstr>'比较法-高层'!住宅交易情况</vt:lpstr>
      <vt:lpstr>'比较法-洋房'!住宅交易情况</vt:lpstr>
      <vt:lpstr>住宅交易情况</vt:lpstr>
      <vt:lpstr>'比较法-高层'!住宅楼层</vt:lpstr>
      <vt:lpstr>'比较法-洋房'!住宅楼层</vt:lpstr>
      <vt:lpstr>住宅楼层</vt:lpstr>
      <vt:lpstr>'比较法-高层'!住宅内部装修</vt:lpstr>
      <vt:lpstr>'比较法-洋房'!住宅内部装修</vt:lpstr>
      <vt:lpstr>住宅内部装修</vt:lpstr>
      <vt:lpstr>'比较法-高层'!住宅物业管理</vt:lpstr>
      <vt:lpstr>'比较法-洋房'!住宅物业管理</vt:lpstr>
      <vt:lpstr>住宅物业管理</vt:lpstr>
      <vt:lpstr>'比较法-高层'!住宅用途</vt:lpstr>
      <vt:lpstr>'比较法-洋房'!住宅用途</vt:lpstr>
      <vt:lpstr>住宅用途</vt:lpstr>
      <vt:lpstr>'比较法-高层'!住宅主力户型面积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2018-09-19T10:00:14Z</dcterms:modified>
</cp:coreProperties>
</file>