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292-P01华英园-咨询函-吴琼\"/>
    </mc:Choice>
  </mc:AlternateContent>
  <xr:revisionPtr revIDLastSave="0" documentId="13_ncr:1_{FF3546FA-0552-44AC-AAC3-6925F3ADCB56}"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信息" sheetId="80" r:id="rId20"/>
    <sheet name="案例" sheetId="81" r:id="rId21"/>
    <sheet name="比较法-商业" sheetId="33"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成本法 (元)" sheetId="69" r:id="rId36"/>
    <sheet name="基准地价修正" sheetId="43"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7" i="81" l="1"/>
  <c r="E47" i="33" s="1"/>
  <c r="D66" i="33"/>
  <c r="C66" i="33" s="1"/>
  <c r="E66" i="33"/>
  <c r="O66" i="81"/>
  <c r="I47" i="33" s="1"/>
  <c r="O36" i="81"/>
  <c r="G47" i="33" s="1"/>
  <c r="T5" i="31"/>
  <c r="D5" i="31"/>
  <c r="E5" i="31"/>
  <c r="F5" i="31"/>
  <c r="C5" i="31"/>
  <c r="E104" i="33"/>
  <c r="F104" i="33"/>
  <c r="G104" i="33"/>
  <c r="H104" i="33"/>
  <c r="D104" i="33"/>
  <c r="D3" i="31"/>
  <c r="E3" i="31"/>
  <c r="F3" i="31"/>
  <c r="G3" i="31"/>
  <c r="H3" i="31"/>
  <c r="D4" i="31"/>
  <c r="C4" i="31"/>
  <c r="C3" i="31"/>
  <c r="S17" i="81"/>
  <c r="U6" i="1" s="1"/>
  <c r="U7" i="1" s="1"/>
  <c r="S16" i="81"/>
  <c r="T16" i="81"/>
  <c r="D93" i="33" s="1"/>
  <c r="T15" i="81"/>
  <c r="C93" i="33" s="1"/>
  <c r="E93" i="33"/>
  <c r="G36" i="33"/>
  <c r="P69" i="81"/>
  <c r="Q22" i="81"/>
  <c r="C36" i="33"/>
  <c r="P71" i="81"/>
  <c r="Q23" i="81"/>
  <c r="G5" i="33"/>
  <c r="J49" i="67"/>
  <c r="AM7" i="1"/>
  <c r="AL7" i="1"/>
  <c r="AK7" i="1"/>
  <c r="J7" i="1"/>
  <c r="I7" i="1"/>
  <c r="H7" i="1"/>
  <c r="L7" i="1"/>
  <c r="N7" i="1"/>
  <c r="Y7" i="1"/>
  <c r="W7" i="1"/>
  <c r="V7" i="1"/>
  <c r="Y6" i="1"/>
  <c r="Q7" i="1"/>
  <c r="N6" i="1"/>
  <c r="M19" i="1"/>
  <c r="F16" i="4"/>
  <c r="B59" i="1"/>
  <c r="B21" i="1"/>
  <c r="C14" i="3"/>
  <c r="C13" i="3"/>
  <c r="H34" i="80"/>
  <c r="I14" i="3" s="1"/>
  <c r="H16" i="80"/>
  <c r="I13" i="3" s="1"/>
  <c r="I12" i="79"/>
  <c r="F4" i="31" l="1"/>
  <c r="E4" i="31"/>
  <c r="G4" i="31"/>
  <c r="H4" i="3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S33" i="79"/>
  <c r="AG33" i="79" s="1"/>
  <c r="S34" i="79"/>
  <c r="AG34" i="79" s="1"/>
  <c r="S35" i="79"/>
  <c r="AG35" i="79" s="1"/>
  <c r="T40" i="79"/>
  <c r="S48" i="79"/>
  <c r="AG48" i="79" s="1"/>
  <c r="U50" i="79"/>
  <c r="AI50" i="79" s="1"/>
  <c r="AD51" i="79"/>
  <c r="W22" i="79"/>
  <c r="AK22" i="79" s="1"/>
  <c r="AH22" i="79"/>
  <c r="Z3" i="79"/>
  <c r="AA31" i="79"/>
  <c r="AD31" i="79" s="1"/>
  <c r="U46" i="79"/>
  <c r="AI46" i="79" s="1"/>
  <c r="AD47" i="79"/>
  <c r="AR18" i="79"/>
  <c r="AR19" i="79" s="1"/>
  <c r="AR20" i="79" s="1"/>
  <c r="AR21" i="79" s="1"/>
  <c r="AR22" i="79" s="1"/>
  <c r="AR23" i="79" s="1"/>
  <c r="AR24" i="79" s="1"/>
  <c r="T33" i="79"/>
  <c r="T35" i="79"/>
  <c r="T34"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0" i="79" l="1"/>
  <c r="AK40" i="79" s="1"/>
  <c r="AH40" i="79"/>
  <c r="W49" i="79"/>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AH33" i="79"/>
  <c r="W33" i="79"/>
  <c r="AK33" i="79" s="1"/>
  <c r="W13" i="79"/>
  <c r="AK13" i="79" s="1"/>
  <c r="AH13" i="79"/>
  <c r="W11" i="79"/>
  <c r="AK11" i="79" s="1"/>
  <c r="AH11" i="79"/>
  <c r="W39" i="79"/>
  <c r="AK39" i="79" s="1"/>
  <c r="W17" i="79"/>
  <c r="AK17" i="79" s="1"/>
  <c r="AH17" i="79"/>
  <c r="W10" i="79"/>
  <c r="AK10" i="79" s="1"/>
  <c r="AH10" i="79"/>
  <c r="W18" i="79"/>
  <c r="AK18" i="79" s="1"/>
  <c r="AH18" i="79"/>
  <c r="W20" i="79"/>
  <c r="AK20" i="79" s="1"/>
  <c r="AH20" i="79"/>
  <c r="W15" i="79"/>
  <c r="AK15" i="79" s="1"/>
  <c r="AH15" i="79"/>
  <c r="W48" i="79"/>
  <c r="AK48" i="79" s="1"/>
  <c r="AH48"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5"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D29" i="71"/>
  <c r="O28" i="71"/>
  <c r="Y26" i="71" s="1"/>
  <c r="Z26"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D46" i="71"/>
  <c r="P28" i="71"/>
  <c r="E28" i="71" s="1"/>
  <c r="U68" i="71"/>
  <c r="E67" i="71"/>
  <c r="Q28" i="71"/>
  <c r="C59" i="71"/>
  <c r="D58" i="71"/>
  <c r="D62" i="71"/>
  <c r="N67" i="71"/>
  <c r="B66" i="71"/>
  <c r="N65" i="71" s="1"/>
  <c r="Q67" i="71"/>
  <c r="T68" i="71"/>
  <c r="O68" i="71"/>
  <c r="D68" i="71"/>
  <c r="Q68" i="71"/>
  <c r="C71" i="71"/>
  <c r="C70" i="71" s="1"/>
  <c r="D70" i="71" s="1"/>
  <c r="E71" i="71"/>
  <c r="E70" i="71" s="1"/>
  <c r="D72" i="71"/>
  <c r="C75" i="71"/>
  <c r="D75" i="71" s="1"/>
  <c r="E75" i="71"/>
  <c r="E74" i="71" s="1"/>
  <c r="D76" i="71"/>
  <c r="C79" i="71"/>
  <c r="E79" i="71"/>
  <c r="E78" i="71" s="1"/>
  <c r="D80" i="71"/>
  <c r="C83" i="71"/>
  <c r="C87" i="71"/>
  <c r="C86" i="71" s="1"/>
  <c r="D86" i="71" s="1"/>
  <c r="F28" i="71"/>
  <c r="F27" i="71" s="1"/>
  <c r="F26" i="71" s="1"/>
  <c r="AA3" i="71"/>
  <c r="D83" i="71"/>
  <c r="C82" i="71"/>
  <c r="D82" i="71"/>
  <c r="C74" i="71"/>
  <c r="D74" i="71" s="1"/>
  <c r="N66" i="71"/>
  <c r="D79" i="71"/>
  <c r="C78" i="71"/>
  <c r="D78" i="71" s="1"/>
  <c r="D71" i="71"/>
  <c r="C60" i="71"/>
  <c r="D60" i="71" s="1"/>
  <c r="D59" i="71"/>
  <c r="P67" i="71"/>
  <c r="E66" i="71"/>
  <c r="P65" i="71" s="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F68" i="35"/>
  <c r="H18" i="35"/>
  <c r="AB18" i="35" s="1"/>
  <c r="G68" i="35"/>
  <c r="J18" i="35"/>
  <c r="W18" i="35" s="1"/>
  <c r="H21" i="37"/>
  <c r="AB21" i="37" s="1"/>
  <c r="F21" i="37"/>
  <c r="F84" i="34"/>
  <c r="H21" i="34"/>
  <c r="AB21" i="34" s="1"/>
  <c r="H21" i="33"/>
  <c r="U21" i="33" s="1"/>
  <c r="F21" i="33"/>
  <c r="E83" i="21"/>
  <c r="F83" i="21" s="1"/>
  <c r="H1" i="69"/>
  <c r="AC25" i="40"/>
  <c r="W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R42" i="31"/>
  <c r="S42" i="31" s="1"/>
  <c r="R43" i="31"/>
  <c r="S43" i="31" s="1"/>
  <c r="R44" i="31"/>
  <c r="S44" i="31" s="1"/>
  <c r="R45" i="31"/>
  <c r="R46" i="31"/>
  <c r="S46" i="31" s="1"/>
  <c r="R47" i="31"/>
  <c r="S47" i="31" s="1"/>
  <c r="R48" i="31"/>
  <c r="S48" i="31" s="1"/>
  <c r="R49" i="31"/>
  <c r="S49" i="31" s="1"/>
  <c r="R50" i="3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R66" i="31"/>
  <c r="S66" i="31" s="1"/>
  <c r="R67" i="31"/>
  <c r="S67" i="31" s="1"/>
  <c r="R68" i="31"/>
  <c r="S68" i="31" s="1"/>
  <c r="R69" i="3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F20" i="6" s="1"/>
  <c r="E20" i="6" s="1"/>
  <c r="B25" i="31" s="1"/>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50" i="31"/>
  <c r="S340" i="31"/>
  <c r="S316" i="31"/>
  <c r="S292" i="31"/>
  <c r="S272" i="31"/>
  <c r="S250" i="31"/>
  <c r="S245" i="31"/>
  <c r="S241" i="31"/>
  <c r="S234" i="31"/>
  <c r="S229" i="31"/>
  <c r="S225" i="31"/>
  <c r="S426" i="31"/>
  <c r="S182" i="31"/>
  <c r="S166" i="31"/>
  <c r="S150" i="31"/>
  <c r="S134" i="31"/>
  <c r="S493" i="31"/>
  <c r="S489" i="31"/>
  <c r="S477" i="31"/>
  <c r="S473" i="31"/>
  <c r="S121" i="31"/>
  <c r="S112" i="31"/>
  <c r="S458" i="31"/>
  <c r="S50" i="31"/>
  <c r="S45" i="31"/>
  <c r="S41" i="31"/>
  <c r="S72" i="31"/>
  <c r="S69" i="31"/>
  <c r="S65" i="31"/>
  <c r="S64" i="31"/>
  <c r="S93" i="31"/>
  <c r="S89" i="31"/>
  <c r="S448"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F12" i="39" s="1"/>
  <c r="S12" i="39" s="1"/>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J25" i="35" s="1"/>
  <c r="B75" i="35"/>
  <c r="J24" i="35" s="1"/>
  <c r="AC24" i="35"/>
  <c r="B73" i="35"/>
  <c r="J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E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Q34" i="33"/>
  <c r="Z34" i="33"/>
  <c r="Q33" i="33"/>
  <c r="Z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c r="AC29" i="21"/>
  <c r="B92" i="21"/>
  <c r="J28" i="21" s="1"/>
  <c r="W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c r="H36" i="21"/>
  <c r="F35" i="21"/>
  <c r="AA35" i="21"/>
  <c r="J10" i="21"/>
  <c r="AC10" i="21" s="1"/>
  <c r="H26" i="21"/>
  <c r="AB26" i="21" s="1"/>
  <c r="AB19" i="21"/>
  <c r="J19" i="21"/>
  <c r="W19" i="21"/>
  <c r="J26" i="21"/>
  <c r="W26" i="21" s="1"/>
  <c r="F26" i="21"/>
  <c r="S26" i="21"/>
  <c r="AB41" i="21"/>
  <c r="F45" i="39"/>
  <c r="S45" i="39"/>
  <c r="J45" i="39"/>
  <c r="W45" i="39" s="1"/>
  <c r="J44" i="39"/>
  <c r="AC44" i="39"/>
  <c r="F36" i="39"/>
  <c r="S36" i="39" s="1"/>
  <c r="H36" i="39"/>
  <c r="AB36" i="39"/>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U34" i="34"/>
  <c r="H39" i="33"/>
  <c r="AB39" i="33" s="1"/>
  <c r="W39" i="33"/>
  <c r="H39" i="37"/>
  <c r="AB39" i="37"/>
  <c r="S27" i="35"/>
  <c r="F11" i="40"/>
  <c r="AA11" i="40" s="1"/>
  <c r="H11" i="40"/>
  <c r="AB11" i="40"/>
  <c r="W8" i="40"/>
  <c r="U9" i="40"/>
  <c r="S34" i="40"/>
  <c r="U34" i="40"/>
  <c r="S38" i="40"/>
  <c r="F42" i="39"/>
  <c r="AA42" i="39" s="1"/>
  <c r="F41" i="39"/>
  <c r="S41" i="39" s="1"/>
  <c r="H40" i="39"/>
  <c r="AB40" i="39" s="1"/>
  <c r="H39" i="39"/>
  <c r="S34" i="39"/>
  <c r="H34" i="39"/>
  <c r="U34" i="39" s="1"/>
  <c r="E108" i="39"/>
  <c r="E100" i="39"/>
  <c r="H19" i="39"/>
  <c r="AB19" i="39" s="1"/>
  <c r="F19" i="39"/>
  <c r="AA19" i="39" s="1"/>
  <c r="H17" i="39"/>
  <c r="AB17" i="39" s="1"/>
  <c r="F17" i="39"/>
  <c r="AA17" i="39" s="1"/>
  <c r="J23" i="40"/>
  <c r="AC23" i="40"/>
  <c r="F21" i="40"/>
  <c r="AA21" i="40" s="1"/>
  <c r="J21" i="40"/>
  <c r="H42" i="39"/>
  <c r="AB42" i="39" s="1"/>
  <c r="J34" i="39"/>
  <c r="AC34" i="39" s="1"/>
  <c r="F108" i="39"/>
  <c r="G108" i="39" s="1"/>
  <c r="H108" i="39" s="1"/>
  <c r="I108" i="39" s="1"/>
  <c r="J108" i="39" s="1"/>
  <c r="K108" i="39" s="1"/>
  <c r="L108" i="39" s="1"/>
  <c r="M108" i="39" s="1"/>
  <c r="J31" i="39"/>
  <c r="F100" i="39"/>
  <c r="H27" i="39"/>
  <c r="U27" i="39" s="1"/>
  <c r="J19" i="39"/>
  <c r="J17" i="39"/>
  <c r="J27" i="39"/>
  <c r="AC27" i="39" s="1"/>
  <c r="F27" i="39"/>
  <c r="F11" i="21"/>
  <c r="S11" i="21" s="1"/>
  <c r="S40" i="21"/>
  <c r="U34" i="21"/>
  <c r="C25" i="39"/>
  <c r="H11" i="39"/>
  <c r="C15" i="39"/>
  <c r="H32" i="33"/>
  <c r="AB32" i="33" s="1"/>
  <c r="H11" i="21"/>
  <c r="U11" i="21" s="1"/>
  <c r="J11" i="21"/>
  <c r="W11" i="21" s="1"/>
  <c r="H37" i="40"/>
  <c r="U37" i="40"/>
  <c r="H36" i="40"/>
  <c r="AB36" i="40" s="1"/>
  <c r="F35" i="40"/>
  <c r="AA35" i="40"/>
  <c r="H23" i="40"/>
  <c r="AB23" i="40" s="1"/>
  <c r="H17" i="40"/>
  <c r="U17" i="40" s="1"/>
  <c r="J15" i="40"/>
  <c r="W15" i="40" s="1"/>
  <c r="J11" i="40"/>
  <c r="W11" i="40"/>
  <c r="AC12" i="34"/>
  <c r="AB12" i="35"/>
  <c r="W32" i="40"/>
  <c r="S44" i="39"/>
  <c r="F37" i="39"/>
  <c r="AA37" i="39"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AA12"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E113" i="33"/>
  <c r="F32" i="33"/>
  <c r="AA32" i="33" s="1"/>
  <c r="J19" i="33"/>
  <c r="AC19" i="33" s="1"/>
  <c r="J15" i="33"/>
  <c r="AC15" i="33" s="1"/>
  <c r="F11" i="33"/>
  <c r="AA11" i="33" s="1"/>
  <c r="U40" i="33"/>
  <c r="W40" i="33"/>
  <c r="F37" i="40"/>
  <c r="F36" i="40"/>
  <c r="AA36" i="40"/>
  <c r="H28" i="40"/>
  <c r="U28" i="40" s="1"/>
  <c r="F23" i="40"/>
  <c r="AA23" i="40" s="1"/>
  <c r="F17" i="40"/>
  <c r="AA17" i="40" s="1"/>
  <c r="J17" i="40"/>
  <c r="W17" i="40"/>
  <c r="F15" i="40"/>
  <c r="S15" i="40" s="1"/>
  <c r="H15" i="40"/>
  <c r="AB15" i="40" s="1"/>
  <c r="AC11" i="40"/>
  <c r="AB30" i="36"/>
  <c r="F29" i="35"/>
  <c r="S29" i="35" s="1"/>
  <c r="H29" i="35"/>
  <c r="H33" i="37"/>
  <c r="F33" i="37"/>
  <c r="AA33" i="37" s="1"/>
  <c r="U34" i="37"/>
  <c r="S34" i="37"/>
  <c r="AA34" i="37"/>
  <c r="J43" i="34"/>
  <c r="AB42" i="34"/>
  <c r="J40" i="34"/>
  <c r="W40" i="34" s="1"/>
  <c r="H38" i="34"/>
  <c r="AB38" i="34" s="1"/>
  <c r="J36" i="34"/>
  <c r="AC36" i="34" s="1"/>
  <c r="W36" i="34"/>
  <c r="H37" i="34"/>
  <c r="U37" i="34" s="1"/>
  <c r="H25" i="34"/>
  <c r="AB25" i="34" s="1"/>
  <c r="J25" i="34"/>
  <c r="AC25" i="34"/>
  <c r="AB23" i="34"/>
  <c r="F23" i="34"/>
  <c r="AA23" i="34"/>
  <c r="J19" i="34"/>
  <c r="F17" i="34"/>
  <c r="AA17" i="34" s="1"/>
  <c r="J17" i="34"/>
  <c r="W17" i="34" s="1"/>
  <c r="AB17" i="34"/>
  <c r="S41" i="33"/>
  <c r="F113" i="33"/>
  <c r="G113" i="33"/>
  <c r="H113" i="33"/>
  <c r="I113" i="33" s="1"/>
  <c r="J113" i="33" s="1"/>
  <c r="K113" i="33" s="1"/>
  <c r="L113" i="33"/>
  <c r="M113" i="33" s="1"/>
  <c r="H37" i="33"/>
  <c r="AB37" i="33" s="1"/>
  <c r="H15" i="33"/>
  <c r="AB15" i="33" s="1"/>
  <c r="H11" i="33"/>
  <c r="F28" i="40"/>
  <c r="AA28" i="40"/>
  <c r="AA29" i="35"/>
  <c r="AA42" i="34"/>
  <c r="S42" i="34"/>
  <c r="AC38" i="34"/>
  <c r="AA38" i="34"/>
  <c r="J37" i="34"/>
  <c r="AC37" i="34" s="1"/>
  <c r="J11" i="33"/>
  <c r="W11" i="33" s="1"/>
  <c r="M123" i="21"/>
  <c r="J42" i="21"/>
  <c r="AC42" i="21"/>
  <c r="H42" i="21"/>
  <c r="U42" i="21"/>
  <c r="J44" i="34"/>
  <c r="F44" i="34"/>
  <c r="S44" i="34" s="1"/>
  <c r="AA44" i="34"/>
  <c r="J10" i="35"/>
  <c r="AC10" i="35" s="1"/>
  <c r="F14" i="21"/>
  <c r="S14" i="21" s="1"/>
  <c r="H14" i="21"/>
  <c r="U14" i="21" s="1"/>
  <c r="H28" i="21"/>
  <c r="AB28" i="21" s="1"/>
  <c r="H30" i="21"/>
  <c r="U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F27" i="21"/>
  <c r="AA27" i="21" s="1"/>
  <c r="H29" i="21"/>
  <c r="U29" i="21"/>
  <c r="J31" i="21"/>
  <c r="AC31" i="21" s="1"/>
  <c r="F31" i="21"/>
  <c r="S31" i="21"/>
  <c r="F45" i="21"/>
  <c r="F27" i="33"/>
  <c r="AA27" i="33" s="1"/>
  <c r="J13" i="33"/>
  <c r="H13" i="33"/>
  <c r="U13" i="33" s="1"/>
  <c r="F13" i="33"/>
  <c r="J29" i="33"/>
  <c r="H29" i="33"/>
  <c r="AB29" i="33" s="1"/>
  <c r="J31" i="33"/>
  <c r="W31" i="33" s="1"/>
  <c r="H31" i="33"/>
  <c r="F31" i="33"/>
  <c r="H45" i="33"/>
  <c r="U45" i="33" s="1"/>
  <c r="J45" i="33"/>
  <c r="W45" i="33" s="1"/>
  <c r="AA45" i="33"/>
  <c r="J14" i="34"/>
  <c r="W14" i="34" s="1"/>
  <c r="F14" i="34"/>
  <c r="H14" i="34"/>
  <c r="H30" i="34"/>
  <c r="F30" i="34"/>
  <c r="J30" i="34"/>
  <c r="H32" i="34"/>
  <c r="F32" i="34"/>
  <c r="H46" i="34"/>
  <c r="F46" i="34"/>
  <c r="J46" i="34"/>
  <c r="H11" i="35"/>
  <c r="AB11" i="35" s="1"/>
  <c r="J11" i="35"/>
  <c r="W11" i="35" s="1"/>
  <c r="AC11" i="35"/>
  <c r="F11" i="35"/>
  <c r="S11" i="35" s="1"/>
  <c r="J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AC40" i="37"/>
  <c r="F40" i="37"/>
  <c r="AA40" i="37" s="1"/>
  <c r="AC12" i="40"/>
  <c r="W12" i="40"/>
  <c r="H14" i="33"/>
  <c r="U14" i="33" s="1"/>
  <c r="F14" i="33"/>
  <c r="S14" i="33"/>
  <c r="H30" i="33"/>
  <c r="AB30" i="33"/>
  <c r="F30" i="33"/>
  <c r="J30" i="33"/>
  <c r="H44" i="33"/>
  <c r="J44" i="33"/>
  <c r="J46" i="33"/>
  <c r="AC46" i="33"/>
  <c r="F46" i="33"/>
  <c r="H46" i="33"/>
  <c r="AB46" i="33"/>
  <c r="H13" i="34"/>
  <c r="U13" i="34" s="1"/>
  <c r="J13" i="34"/>
  <c r="W13" i="34" s="1"/>
  <c r="F13" i="34"/>
  <c r="AA13" i="34" s="1"/>
  <c r="J29" i="34"/>
  <c r="F29" i="34"/>
  <c r="S29" i="34" s="1"/>
  <c r="H29" i="34"/>
  <c r="AB29" i="34" s="1"/>
  <c r="J31" i="34"/>
  <c r="AC31" i="34"/>
  <c r="F31" i="34"/>
  <c r="S31" i="34"/>
  <c r="H45" i="34"/>
  <c r="U45" i="34" s="1"/>
  <c r="J45" i="34"/>
  <c r="W45" i="34"/>
  <c r="F45" i="34"/>
  <c r="H47" i="34"/>
  <c r="U47" i="34" s="1"/>
  <c r="F47" i="34"/>
  <c r="S47" i="34" s="1"/>
  <c r="J47" i="34"/>
  <c r="W47" i="34" s="1"/>
  <c r="AC47" i="34"/>
  <c r="F13" i="35"/>
  <c r="J13" i="35"/>
  <c r="AC13" i="35"/>
  <c r="H13" i="35"/>
  <c r="W25" i="35"/>
  <c r="F25" i="35"/>
  <c r="S25" i="35" s="1"/>
  <c r="H25" i="35"/>
  <c r="AB25" i="35" s="1"/>
  <c r="J35" i="35"/>
  <c r="F35" i="35"/>
  <c r="AA35" i="35"/>
  <c r="H35" i="35"/>
  <c r="J25" i="36"/>
  <c r="H13" i="37"/>
  <c r="AB13" i="37" s="1"/>
  <c r="F13" i="37"/>
  <c r="S13" i="37" s="1"/>
  <c r="J13" i="37"/>
  <c r="W13" i="37" s="1"/>
  <c r="F28" i="37"/>
  <c r="AA28" i="37" s="1"/>
  <c r="J28" i="37"/>
  <c r="H28" i="37"/>
  <c r="H38" i="37"/>
  <c r="AB38" i="37"/>
  <c r="J38" i="37"/>
  <c r="AC38" i="37" s="1"/>
  <c r="F38" i="37"/>
  <c r="S38" i="37"/>
  <c r="F43" i="39"/>
  <c r="AA43" i="39" s="1"/>
  <c r="J14" i="39"/>
  <c r="AC14" i="39" s="1"/>
  <c r="F14" i="39"/>
  <c r="H14" i="39"/>
  <c r="AB14" i="39" s="1"/>
  <c r="F12" i="40"/>
  <c r="AA12" i="40" s="1"/>
  <c r="S12" i="40"/>
  <c r="H12" i="40"/>
  <c r="AB12" i="40" s="1"/>
  <c r="H30" i="40"/>
  <c r="AB30" i="40"/>
  <c r="F33" i="40"/>
  <c r="AA33" i="40" s="1"/>
  <c r="J35" i="40"/>
  <c r="AC35" i="40" s="1"/>
  <c r="J37" i="40"/>
  <c r="H13" i="40"/>
  <c r="U13" i="40" s="1"/>
  <c r="J13" i="40"/>
  <c r="AC13" i="40" s="1"/>
  <c r="W13" i="40"/>
  <c r="F13" i="40"/>
  <c r="AA13" i="40" s="1"/>
  <c r="F14" i="37"/>
  <c r="AA14" i="37" s="1"/>
  <c r="S14" i="37"/>
  <c r="F27" i="37"/>
  <c r="F13" i="39"/>
  <c r="J13" i="39"/>
  <c r="W13" i="39" s="1"/>
  <c r="H13" i="39"/>
  <c r="AB14" i="40"/>
  <c r="J14" i="40"/>
  <c r="W14" i="40" s="1"/>
  <c r="F14" i="40"/>
  <c r="AA14" i="40" s="1"/>
  <c r="J14" i="37"/>
  <c r="J27" i="37"/>
  <c r="AC27" i="37" s="1"/>
  <c r="U46" i="33"/>
  <c r="AA14" i="33"/>
  <c r="J36" i="37"/>
  <c r="J10" i="36"/>
  <c r="AC10" i="36" s="1"/>
  <c r="AB30" i="21"/>
  <c r="W31" i="34"/>
  <c r="S11" i="36"/>
  <c r="S45" i="33"/>
  <c r="AC28" i="21"/>
  <c r="BA586" i="3"/>
  <c r="BA585" i="3"/>
  <c r="F17" i="21"/>
  <c r="AA17" i="21" s="1"/>
  <c r="H17" i="21"/>
  <c r="AB17" i="21" s="1"/>
  <c r="F15" i="21"/>
  <c r="S15" i="21" s="1"/>
  <c r="J41" i="39"/>
  <c r="W41" i="39" s="1"/>
  <c r="W44" i="39"/>
  <c r="U36" i="39"/>
  <c r="S35" i="39"/>
  <c r="G544" i="3"/>
  <c r="G536" i="3"/>
  <c r="G535" i="3"/>
  <c r="G528" i="3"/>
  <c r="G527" i="3"/>
  <c r="G518" i="3"/>
  <c r="G514" i="3"/>
  <c r="G508" i="3"/>
  <c r="G504" i="3"/>
  <c r="G500" i="3"/>
  <c r="G584" i="3"/>
  <c r="G580" i="3"/>
  <c r="G572" i="3"/>
  <c r="G568" i="3"/>
  <c r="G564" i="3"/>
  <c r="G554" i="3"/>
  <c r="G550" i="3"/>
  <c r="BL584" i="3"/>
  <c r="BL576" i="3"/>
  <c r="BL572" i="3"/>
  <c r="BL568" i="3"/>
  <c r="BL560" i="3"/>
  <c r="BL522" i="3"/>
  <c r="BL498" i="3"/>
  <c r="BL578" i="3"/>
  <c r="BL574" i="3"/>
  <c r="BL570" i="3"/>
  <c r="BL562" i="3"/>
  <c r="BL556" i="3"/>
  <c r="G529" i="3"/>
  <c r="BL528" i="3"/>
  <c r="BL510" i="3"/>
  <c r="G493" i="3"/>
  <c r="BA582" i="3"/>
  <c r="AZ582" i="3" s="1"/>
  <c r="BA580" i="3"/>
  <c r="AZ580" i="3" s="1"/>
  <c r="BA578" i="3"/>
  <c r="BA574" i="3"/>
  <c r="AZ574" i="3" s="1"/>
  <c r="BA572" i="3"/>
  <c r="AZ572" i="3" s="1"/>
  <c r="BA570" i="3"/>
  <c r="BA566" i="3"/>
  <c r="AZ566" i="3" s="1"/>
  <c r="BA564" i="3"/>
  <c r="BA562" i="3"/>
  <c r="BA558" i="3"/>
  <c r="BA556" i="3"/>
  <c r="AZ556" i="3" s="1"/>
  <c r="BA540" i="3"/>
  <c r="BA516" i="3"/>
  <c r="BA508" i="3"/>
  <c r="BA500" i="3"/>
  <c r="AZ500" i="3" s="1"/>
  <c r="BA587" i="3"/>
  <c r="BA583" i="3"/>
  <c r="BA581" i="3"/>
  <c r="BA579" i="3"/>
  <c r="BA575" i="3"/>
  <c r="AZ575" i="3" s="1"/>
  <c r="BA573" i="3"/>
  <c r="BA571" i="3"/>
  <c r="BA567" i="3"/>
  <c r="BA565" i="3"/>
  <c r="AZ565" i="3" s="1"/>
  <c r="BA563" i="3"/>
  <c r="BA559" i="3"/>
  <c r="BA553" i="3"/>
  <c r="BA529" i="3"/>
  <c r="AZ529" i="3" s="1"/>
  <c r="BA517" i="3"/>
  <c r="BA503" i="3"/>
  <c r="BA493" i="3"/>
  <c r="G583" i="3"/>
  <c r="G581" i="3"/>
  <c r="G579" i="3"/>
  <c r="G577" i="3"/>
  <c r="G575" i="3"/>
  <c r="G573" i="3"/>
  <c r="G571" i="3"/>
  <c r="G569" i="3"/>
  <c r="G565" i="3"/>
  <c r="G563" i="3"/>
  <c r="G561" i="3"/>
  <c r="BA557" i="3"/>
  <c r="AC557" i="3"/>
  <c r="G557" i="3" s="1"/>
  <c r="BQ557" i="3"/>
  <c r="BL557" i="3" s="1"/>
  <c r="BQ583" i="3"/>
  <c r="BQ581" i="3"/>
  <c r="BL581" i="3"/>
  <c r="BQ579" i="3"/>
  <c r="BQ577" i="3"/>
  <c r="BL577" i="3" s="1"/>
  <c r="AZ577" i="3" s="1"/>
  <c r="BQ575" i="3"/>
  <c r="BL575" i="3"/>
  <c r="BQ573" i="3"/>
  <c r="BQ571" i="3"/>
  <c r="BL571" i="3" s="1"/>
  <c r="BQ569" i="3"/>
  <c r="BL569" i="3" s="1"/>
  <c r="AZ569" i="3" s="1"/>
  <c r="BQ567" i="3"/>
  <c r="BL567" i="3"/>
  <c r="BQ565" i="3"/>
  <c r="BL565" i="3" s="1"/>
  <c r="BQ563" i="3"/>
  <c r="BL563" i="3"/>
  <c r="AZ563" i="3" s="1"/>
  <c r="BQ561" i="3"/>
  <c r="BL561" i="3"/>
  <c r="BQ559" i="3"/>
  <c r="G559" i="3"/>
  <c r="G555" i="3"/>
  <c r="G545" i="3"/>
  <c r="G537" i="3"/>
  <c r="BQ555" i="3"/>
  <c r="BQ553" i="3"/>
  <c r="BQ551" i="3"/>
  <c r="BQ549" i="3"/>
  <c r="BQ547" i="3"/>
  <c r="BQ545" i="3"/>
  <c r="BQ543" i="3"/>
  <c r="BQ541" i="3"/>
  <c r="BQ539" i="3"/>
  <c r="BQ537" i="3"/>
  <c r="BQ535" i="3"/>
  <c r="BQ533" i="3"/>
  <c r="BQ531" i="3"/>
  <c r="BQ529" i="3"/>
  <c r="BQ527" i="3"/>
  <c r="BQ525" i="3"/>
  <c r="BQ523" i="3"/>
  <c r="AC521" i="3"/>
  <c r="G521" i="3"/>
  <c r="BQ521" i="3"/>
  <c r="G519" i="3"/>
  <c r="G515" i="3"/>
  <c r="G513" i="3"/>
  <c r="BQ519" i="3"/>
  <c r="BQ517" i="3"/>
  <c r="BQ515" i="3"/>
  <c r="BQ513" i="3"/>
  <c r="BQ511" i="3"/>
  <c r="AC509" i="3"/>
  <c r="BQ509" i="3"/>
  <c r="G507" i="3"/>
  <c r="G501" i="3"/>
  <c r="G499" i="3"/>
  <c r="BQ507" i="3"/>
  <c r="BQ505" i="3"/>
  <c r="BQ503" i="3"/>
  <c r="BQ501" i="3"/>
  <c r="BL501" i="3"/>
  <c r="AZ501" i="3" s="1"/>
  <c r="BQ499" i="3"/>
  <c r="BQ497" i="3"/>
  <c r="BQ495" i="3"/>
  <c r="BQ493" i="3"/>
  <c r="AZ584" i="3"/>
  <c r="S501" i="31"/>
  <c r="O27" i="31"/>
  <c r="O28" i="31"/>
  <c r="O26" i="31"/>
  <c r="M27" i="31"/>
  <c r="M28" i="31"/>
  <c r="M26" i="31"/>
  <c r="I26" i="31"/>
  <c r="I25" i="31"/>
  <c r="Q26" i="31"/>
  <c r="K26" i="31"/>
  <c r="I27" i="31"/>
  <c r="Q27" i="31"/>
  <c r="K27" i="31"/>
  <c r="I28" i="31"/>
  <c r="Q28" i="31"/>
  <c r="K28" i="31"/>
  <c r="S21" i="40"/>
  <c r="H25" i="21"/>
  <c r="U25" i="21" s="1"/>
  <c r="F25" i="2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c r="H32" i="40"/>
  <c r="AB32" i="40" s="1"/>
  <c r="J36" i="40"/>
  <c r="W36" i="40"/>
  <c r="H19" i="37"/>
  <c r="AB19" i="37" s="1"/>
  <c r="J43" i="33"/>
  <c r="AC43" i="33"/>
  <c r="S28" i="31"/>
  <c r="U14" i="40"/>
  <c r="U39" i="37"/>
  <c r="U26" i="37"/>
  <c r="AC45"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S14" i="40"/>
  <c r="W23" i="39"/>
  <c r="U45" i="39"/>
  <c r="AB45" i="39"/>
  <c r="AB44" i="39"/>
  <c r="U44"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4" i="52"/>
  <c r="B41" i="72" s="1"/>
  <c r="J11" i="39"/>
  <c r="F11" i="39"/>
  <c r="S11" i="39" s="1"/>
  <c r="AA11" i="39"/>
  <c r="G4" i="4"/>
  <c r="I4" i="4"/>
  <c r="F61" i="43"/>
  <c r="H64" i="4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76" i="3"/>
  <c r="AZ120"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BL380" i="3"/>
  <c r="G381" i="3"/>
  <c r="BA383" i="3"/>
  <c r="AZ383" i="3" s="1"/>
  <c r="BL384" i="3"/>
  <c r="G385" i="3"/>
  <c r="BA387" i="3"/>
  <c r="BL388" i="3"/>
  <c r="AZ388" i="3" s="1"/>
  <c r="G389" i="3"/>
  <c r="BA391" i="3"/>
  <c r="BL392" i="3"/>
  <c r="AZ392" i="3" s="1"/>
  <c r="G393" i="3"/>
  <c r="BO5" i="3"/>
  <c r="BF5" i="3"/>
  <c r="AZ341" i="3"/>
  <c r="AC5" i="3"/>
  <c r="G538" i="3"/>
  <c r="G520" i="3"/>
  <c r="BP5" i="3"/>
  <c r="BG5" i="3"/>
  <c r="G17" i="3"/>
  <c r="BA17" i="3"/>
  <c r="AZ17" i="3" s="1"/>
  <c r="AZ356" i="3"/>
  <c r="AZ368" i="3"/>
  <c r="BA15" i="3"/>
  <c r="BR5" i="3"/>
  <c r="AZ380" i="3"/>
  <c r="G509" i="3"/>
  <c r="AZ493" i="3"/>
  <c r="U36" i="40"/>
  <c r="F83" i="43"/>
  <c r="H85" i="43" s="1"/>
  <c r="F50" i="43"/>
  <c r="H54" i="43" s="1"/>
  <c r="F72" i="43"/>
  <c r="H75" i="43" s="1"/>
  <c r="U17" i="39"/>
  <c r="S14" i="35"/>
  <c r="U43" i="21"/>
  <c r="U35" i="21"/>
  <c r="AC35" i="21"/>
  <c r="W37" i="37"/>
  <c r="W44" i="34"/>
  <c r="AC44" i="34"/>
  <c r="S15" i="37"/>
  <c r="U12" i="40"/>
  <c r="J37" i="33"/>
  <c r="AC37" i="33" s="1"/>
  <c r="AC17" i="34"/>
  <c r="F106" i="33"/>
  <c r="G106" i="33" s="1"/>
  <c r="H106" i="33" s="1"/>
  <c r="I106" i="33" s="1"/>
  <c r="J106" i="33" s="1"/>
  <c r="K106" i="33" s="1"/>
  <c r="L106" i="33" s="1"/>
  <c r="M106" i="33" s="1"/>
  <c r="J34" i="33"/>
  <c r="F33" i="34"/>
  <c r="S33" i="34" s="1"/>
  <c r="H20" i="36"/>
  <c r="U20" i="36" s="1"/>
  <c r="J20" i="36"/>
  <c r="J27" i="36"/>
  <c r="W27" i="36" s="1"/>
  <c r="AB25" i="37"/>
  <c r="F111" i="40"/>
  <c r="G111" i="40" s="1"/>
  <c r="H111" i="40" s="1"/>
  <c r="I111" i="40" s="1"/>
  <c r="J111" i="40" s="1"/>
  <c r="K111" i="40" s="1"/>
  <c r="L111" i="40" s="1"/>
  <c r="M111" i="40" s="1"/>
  <c r="H35" i="40"/>
  <c r="AB35" i="40" s="1"/>
  <c r="AC29" i="35"/>
  <c r="W29" i="35"/>
  <c r="H35" i="37"/>
  <c r="U35" i="37" s="1"/>
  <c r="H20" i="35"/>
  <c r="U20" i="35" s="1"/>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AZ353" i="3"/>
  <c r="C40" i="11"/>
  <c r="AZ248" i="3"/>
  <c r="AZ259" i="3"/>
  <c r="AZ271" i="3"/>
  <c r="AZ72" i="3"/>
  <c r="AZ82" i="3"/>
  <c r="F23" i="39"/>
  <c r="AA23" i="39" s="1"/>
  <c r="H27" i="36"/>
  <c r="U27" i="36" s="1"/>
  <c r="F27" i="36"/>
  <c r="AA27" i="36" s="1"/>
  <c r="H33" i="34"/>
  <c r="U33" i="34" s="1"/>
  <c r="F32" i="37"/>
  <c r="S32" i="37" s="1"/>
  <c r="F20" i="36"/>
  <c r="J33" i="34"/>
  <c r="AC33" i="34" s="1"/>
  <c r="H23" i="39"/>
  <c r="U23" i="39" s="1"/>
  <c r="D48" i="9"/>
  <c r="M52" i="9" s="1"/>
  <c r="K9" i="1"/>
  <c r="M9" i="1" s="1"/>
  <c r="W27" i="34"/>
  <c r="AC27" i="34"/>
  <c r="AB33" i="36"/>
  <c r="U33" i="36"/>
  <c r="AC12" i="39"/>
  <c r="W12" i="39"/>
  <c r="W12" i="33"/>
  <c r="AC12" i="33"/>
  <c r="BL14" i="3"/>
  <c r="U30" i="33"/>
  <c r="AA47" i="34"/>
  <c r="S19" i="39"/>
  <c r="F12" i="33"/>
  <c r="S12" i="33" s="1"/>
  <c r="H12" i="39"/>
  <c r="F39" i="40"/>
  <c r="BA14" i="3"/>
  <c r="AZ250" i="3"/>
  <c r="AZ189" i="3"/>
  <c r="B12" i="1"/>
  <c r="E12" i="1" s="1"/>
  <c r="B10" i="1"/>
  <c r="E10" i="1" s="1"/>
  <c r="K12" i="1"/>
  <c r="M12" i="1" s="1"/>
  <c r="S13" i="1"/>
  <c r="AR13" i="1" s="1"/>
  <c r="R13" i="1"/>
  <c r="J51" i="67"/>
  <c r="C42" i="1"/>
  <c r="C24" i="12" s="1"/>
  <c r="B41" i="1"/>
  <c r="F32" i="67" s="1"/>
  <c r="F60" i="67"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J21" i="39"/>
  <c r="W21" i="39" s="1"/>
  <c r="F21" i="39"/>
  <c r="S21" i="39" s="1"/>
  <c r="G94" i="39"/>
  <c r="H21" i="39"/>
  <c r="U19" i="39"/>
  <c r="S17" i="39"/>
  <c r="AA12" i="39"/>
  <c r="S9" i="39"/>
  <c r="U14" i="39"/>
  <c r="AC13" i="39"/>
  <c r="S23" i="36"/>
  <c r="U13" i="36"/>
  <c r="U26" i="36"/>
  <c r="S33" i="36"/>
  <c r="AA26" i="36"/>
  <c r="AA22" i="36"/>
  <c r="W14" i="36"/>
  <c r="AB14" i="36"/>
  <c r="S16" i="36"/>
  <c r="U23" i="36"/>
  <c r="AB20" i="36"/>
  <c r="U16" i="36"/>
  <c r="S14" i="36"/>
  <c r="AA25" i="35"/>
  <c r="S23" i="35"/>
  <c r="W24" i="35"/>
  <c r="U28" i="35"/>
  <c r="AB27" i="35"/>
  <c r="U32" i="35"/>
  <c r="AA33" i="35"/>
  <c r="AC30" i="35"/>
  <c r="S32"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25" i="34"/>
  <c r="U28" i="34"/>
  <c r="S17" i="34"/>
  <c r="AA29" i="34"/>
  <c r="U27" i="34"/>
  <c r="S23" i="34"/>
  <c r="U15" i="34"/>
  <c r="S13" i="34"/>
  <c r="H10" i="34"/>
  <c r="AB10" i="34" s="1"/>
  <c r="F11" i="34"/>
  <c r="S11" i="34" s="1"/>
  <c r="F70" i="34"/>
  <c r="G70" i="34" s="1"/>
  <c r="AA35" i="33"/>
  <c r="S27"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W43" i="33"/>
  <c r="S43" i="33"/>
  <c r="F91" i="33"/>
  <c r="H27" i="33"/>
  <c r="F87" i="33"/>
  <c r="G87" i="33" s="1"/>
  <c r="H25" i="33"/>
  <c r="U25" i="33" s="1"/>
  <c r="F25" i="33"/>
  <c r="S25" i="33" s="1"/>
  <c r="F81" i="33"/>
  <c r="F19" i="33"/>
  <c r="S19" i="33" s="1"/>
  <c r="J17" i="33"/>
  <c r="W17" i="33" s="1"/>
  <c r="F79" i="33"/>
  <c r="G79" i="33" s="1"/>
  <c r="J10" i="33"/>
  <c r="W10" i="33" s="1"/>
  <c r="H10" i="33"/>
  <c r="U10" i="33" s="1"/>
  <c r="AC11" i="33"/>
  <c r="AB14" i="33"/>
  <c r="W43" i="21"/>
  <c r="W36" i="21"/>
  <c r="W41" i="21"/>
  <c r="AB39" i="21"/>
  <c r="AA43" i="21"/>
  <c r="AA38" i="21"/>
  <c r="AA36" i="21"/>
  <c r="AC40" i="21"/>
  <c r="J15" i="21"/>
  <c r="W15" i="21"/>
  <c r="F77" i="21"/>
  <c r="G77" i="21" s="1"/>
  <c r="F23" i="21"/>
  <c r="S23" i="21"/>
  <c r="E85" i="21"/>
  <c r="AA14" i="21"/>
  <c r="F34" i="15"/>
  <c r="F62" i="15" s="1"/>
  <c r="BA13" i="3"/>
  <c r="BL17" i="3"/>
  <c r="BL13" i="3"/>
  <c r="J56" i="9"/>
  <c r="J57" i="9" s="1"/>
  <c r="J59" i="9" s="1"/>
  <c r="J61" i="9" s="1"/>
  <c r="A24" i="51"/>
  <c r="B18" i="72"/>
  <c r="U29" i="34"/>
  <c r="E5" i="6"/>
  <c r="E32" i="6"/>
  <c r="E19" i="69"/>
  <c r="E19" i="68"/>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W23" i="40"/>
  <c r="U32" i="40"/>
  <c r="AB31" i="40"/>
  <c r="AB28" i="40"/>
  <c r="W28" i="40"/>
  <c r="W34" i="40"/>
  <c r="W19" i="40"/>
  <c r="W27" i="40"/>
  <c r="S36" i="40"/>
  <c r="AC14" i="40"/>
  <c r="S1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W34" i="39"/>
  <c r="U38" i="39"/>
  <c r="S8" i="39"/>
  <c r="W29" i="36"/>
  <c r="AB28" i="36"/>
  <c r="AA13" i="36"/>
  <c r="W9" i="36"/>
  <c r="W22" i="36"/>
  <c r="W23" i="36"/>
  <c r="AC25" i="35"/>
  <c r="U25" i="35"/>
  <c r="S24" i="35"/>
  <c r="U24" i="35"/>
  <c r="S35" i="35"/>
  <c r="AA16" i="35"/>
  <c r="AA35" i="37"/>
  <c r="S28" i="37"/>
  <c r="W32" i="37"/>
  <c r="U36" i="37"/>
  <c r="S40" i="37"/>
  <c r="U38" i="37"/>
  <c r="AB37" i="37"/>
  <c r="AC34" i="37"/>
  <c r="AB35" i="37"/>
  <c r="AA31" i="37"/>
  <c r="U19" i="37"/>
  <c r="AA29" i="37"/>
  <c r="U8" i="37"/>
  <c r="AA40" i="34"/>
  <c r="AB40" i="34"/>
  <c r="U19" i="34"/>
  <c r="AB33" i="34"/>
  <c r="AC45" i="34"/>
  <c r="AA31" i="34"/>
  <c r="AB45" i="34"/>
  <c r="AB47" i="34"/>
  <c r="U25" i="34"/>
  <c r="AB36"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W13" i="21"/>
  <c r="W42" i="21"/>
  <c r="AC45" i="21"/>
  <c r="F10" i="21"/>
  <c r="AA10" i="21" s="1"/>
  <c r="K145" i="21"/>
  <c r="W25" i="21"/>
  <c r="W31" i="21"/>
  <c r="S27" i="21"/>
  <c r="S17" i="21"/>
  <c r="AA15" i="21"/>
  <c r="AC27" i="21"/>
  <c r="AC26" i="21"/>
  <c r="AB29" i="21"/>
  <c r="AC34"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U27" i="33"/>
  <c r="AB27" i="33"/>
  <c r="G91" i="33"/>
  <c r="H91" i="33" s="1"/>
  <c r="I91" i="33" s="1"/>
  <c r="J91" i="33" s="1"/>
  <c r="K91" i="33" s="1"/>
  <c r="L91" i="33" s="1"/>
  <c r="M91" i="33" s="1"/>
  <c r="J27" i="33"/>
  <c r="W27" i="33" s="1"/>
  <c r="AA25" i="33"/>
  <c r="H87" i="33"/>
  <c r="I87" i="33" s="1"/>
  <c r="J87" i="33" s="1"/>
  <c r="K87" i="33" s="1"/>
  <c r="L87" i="33" s="1"/>
  <c r="M87" i="33" s="1"/>
  <c r="J25" i="33"/>
  <c r="AC25" i="33" s="1"/>
  <c r="H19" i="33"/>
  <c r="AB19" i="33" s="1"/>
  <c r="G81" i="33"/>
  <c r="H17" i="33"/>
  <c r="U17" i="33" s="1"/>
  <c r="F17" i="33"/>
  <c r="S17" i="33" s="1"/>
  <c r="S37" i="21"/>
  <c r="AA23" i="21"/>
  <c r="AB15" i="21"/>
  <c r="J23" i="21"/>
  <c r="AC23" i="21" s="1"/>
  <c r="F85" i="21"/>
  <c r="G85" i="21" s="1"/>
  <c r="H23" i="21"/>
  <c r="AB23" i="21" s="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C27" i="33"/>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 i="73"/>
  <c r="E2" i="69"/>
  <c r="E8" i="76"/>
  <c r="B7" i="76"/>
  <c r="B8" i="76"/>
  <c r="B11" i="76"/>
  <c r="F7" i="73"/>
  <c r="F20" i="31"/>
  <c r="AO13" i="1"/>
  <c r="E10" i="76"/>
  <c r="B12" i="76"/>
  <c r="B10" i="76"/>
  <c r="B9" i="76"/>
  <c r="F3" i="73"/>
  <c r="E9" i="76"/>
  <c r="E2" i="68"/>
  <c r="B13" i="76"/>
  <c r="F6" i="73"/>
  <c r="F5" i="73"/>
  <c r="E7" i="76"/>
  <c r="E13" i="76"/>
  <c r="E11" i="76"/>
  <c r="E12" i="76"/>
  <c r="D6" i="73"/>
  <c r="H23" i="33" l="1"/>
  <c r="AB23" i="33" s="1"/>
  <c r="F23" i="33"/>
  <c r="J23" i="33"/>
  <c r="AC23" i="33" s="1"/>
  <c r="H36" i="33"/>
  <c r="U36" i="33" s="1"/>
  <c r="G111" i="33"/>
  <c r="H111" i="33" s="1"/>
  <c r="I111" i="33" s="1"/>
  <c r="J111" i="33" s="1"/>
  <c r="K111" i="33" s="1"/>
  <c r="L111" i="33" s="1"/>
  <c r="M111" i="33" s="1"/>
  <c r="J36" i="33"/>
  <c r="W36" i="33" s="1"/>
  <c r="F123" i="33"/>
  <c r="J42" i="33"/>
  <c r="AC42" i="33" s="1"/>
  <c r="H42" i="33"/>
  <c r="AB42" i="33" s="1"/>
  <c r="U38" i="33"/>
  <c r="S36" i="33"/>
  <c r="U29" i="33"/>
  <c r="AA29" i="33"/>
  <c r="AC21" i="33"/>
  <c r="W15" i="33"/>
  <c r="S15" i="33"/>
  <c r="W25" i="33"/>
  <c r="AB25" i="33"/>
  <c r="U19" i="33"/>
  <c r="AA19" i="33"/>
  <c r="W19" i="33"/>
  <c r="AA17" i="33"/>
  <c r="U15" i="33"/>
  <c r="U42" i="33"/>
  <c r="U37" i="33"/>
  <c r="AC32" i="33"/>
  <c r="U32" i="33"/>
  <c r="S28" i="33"/>
  <c r="AC28" i="33"/>
  <c r="AB28" i="33"/>
  <c r="D68" i="9"/>
  <c r="F28" i="15"/>
  <c r="M20" i="67"/>
  <c r="F34" i="67"/>
  <c r="F62" i="67" s="1"/>
  <c r="M18" i="67"/>
  <c r="D93" i="9"/>
  <c r="F31" i="12"/>
  <c r="M18" i="15"/>
  <c r="F30" i="11"/>
  <c r="C48" i="11" s="1"/>
  <c r="C40" i="68"/>
  <c r="C40" i="69"/>
  <c r="C21" i="68"/>
  <c r="AZ14" i="3"/>
  <c r="G1" i="69"/>
  <c r="G1" i="67"/>
  <c r="K1" i="12"/>
  <c r="G1" i="15"/>
  <c r="G1" i="68"/>
  <c r="K7" i="1"/>
  <c r="M7" i="1" s="1"/>
  <c r="O7" i="1" s="1"/>
  <c r="P7" i="1" s="1"/>
  <c r="K6" i="1"/>
  <c r="AP6" i="1" s="1"/>
  <c r="G13" i="3"/>
  <c r="F19" i="6" s="1"/>
  <c r="E19" i="6" s="1"/>
  <c r="H112" i="9"/>
  <c r="D21" i="53" s="1"/>
  <c r="B39" i="72" s="1"/>
  <c r="H111" i="9"/>
  <c r="D126" i="9" s="1"/>
  <c r="B19" i="53"/>
  <c r="B37" i="72" s="1"/>
  <c r="A15" i="62"/>
  <c r="B61" i="72" s="1"/>
  <c r="A118" i="9"/>
  <c r="A2" i="9"/>
  <c r="AZ546" i="3"/>
  <c r="AC35" i="33"/>
  <c r="F48" i="9"/>
  <c r="O52" i="9" s="1"/>
  <c r="F30" i="68"/>
  <c r="F48" i="68" s="1"/>
  <c r="F52" i="9"/>
  <c r="F32" i="15"/>
  <c r="F60" i="15" s="1"/>
  <c r="F54" i="9"/>
  <c r="AA20" i="36"/>
  <c r="S20" i="36"/>
  <c r="W20" i="36"/>
  <c r="AC20" i="36"/>
  <c r="D8" i="53"/>
  <c r="D120" i="9"/>
  <c r="AC31" i="33"/>
  <c r="W25" i="36"/>
  <c r="AC25" i="36"/>
  <c r="AC35" i="35"/>
  <c r="W35" i="35"/>
  <c r="U13" i="35"/>
  <c r="AB13" i="35"/>
  <c r="S45" i="34"/>
  <c r="AA45" i="34"/>
  <c r="AA46" i="33"/>
  <c r="S46" i="33"/>
  <c r="AA37" i="40"/>
  <c r="S37" i="40"/>
  <c r="AC19" i="39"/>
  <c r="W19" i="39"/>
  <c r="H9" i="33"/>
  <c r="F9" i="33"/>
  <c r="AA9" i="33" s="1"/>
  <c r="J9" i="33"/>
  <c r="W14" i="35"/>
  <c r="AC14" i="35"/>
  <c r="H36" i="35"/>
  <c r="F36" i="35"/>
  <c r="J36" i="35"/>
  <c r="AC36" i="35" s="1"/>
  <c r="J12" i="36"/>
  <c r="H12" i="36"/>
  <c r="AB22" i="36"/>
  <c r="U22" i="36"/>
  <c r="H25" i="36"/>
  <c r="F25" i="36"/>
  <c r="H34" i="36"/>
  <c r="F34" i="36"/>
  <c r="J34" i="36"/>
  <c r="W34" i="36" s="1"/>
  <c r="U23" i="21"/>
  <c r="AC17" i="33"/>
  <c r="W17" i="21"/>
  <c r="W33" i="34"/>
  <c r="U23" i="33"/>
  <c r="F30" i="69"/>
  <c r="F48" i="69" s="1"/>
  <c r="F28" i="67"/>
  <c r="S30" i="40"/>
  <c r="AA32" i="37"/>
  <c r="U13" i="37"/>
  <c r="AZ389" i="3"/>
  <c r="AZ342" i="3"/>
  <c r="W11" i="39"/>
  <c r="AC11" i="39"/>
  <c r="AB45" i="33"/>
  <c r="AC37" i="40"/>
  <c r="W37" i="40"/>
  <c r="U46" i="34"/>
  <c r="AB46" i="34"/>
  <c r="S30" i="34"/>
  <c r="AA30" i="34"/>
  <c r="S12" i="36"/>
  <c r="U36" i="21"/>
  <c r="AB36" i="21"/>
  <c r="AB20" i="35"/>
  <c r="S33" i="40"/>
  <c r="S32" i="33"/>
  <c r="AB12" i="39"/>
  <c r="U12" i="39"/>
  <c r="AC13" i="34"/>
  <c r="S39" i="39"/>
  <c r="AA39" i="39"/>
  <c r="U34" i="33"/>
  <c r="AB34" i="33"/>
  <c r="U27" i="40"/>
  <c r="AB27" i="40"/>
  <c r="W37" i="33"/>
  <c r="AZ379" i="3"/>
  <c r="BL547" i="3"/>
  <c r="AA27" i="37"/>
  <c r="S27" i="37"/>
  <c r="W26" i="36"/>
  <c r="AC26" i="36"/>
  <c r="AB27" i="21"/>
  <c r="U27" i="21"/>
  <c r="AB29" i="35"/>
  <c r="U29" i="35"/>
  <c r="AC8" i="33"/>
  <c r="W8" i="33"/>
  <c r="W39" i="34"/>
  <c r="AC39" i="34"/>
  <c r="S34" i="33"/>
  <c r="AA34" i="33"/>
  <c r="S27" i="40"/>
  <c r="AA27" i="40"/>
  <c r="W34" i="33"/>
  <c r="AC34" i="33"/>
  <c r="AC36" i="37"/>
  <c r="W36" i="37"/>
  <c r="AC28" i="37"/>
  <c r="W28" i="37"/>
  <c r="W44" i="33"/>
  <c r="AC44" i="33"/>
  <c r="S13" i="33"/>
  <c r="AA13" i="33"/>
  <c r="AA45" i="21"/>
  <c r="S45" i="21"/>
  <c r="AB11" i="33"/>
  <c r="U11" i="33"/>
  <c r="AC19" i="34"/>
  <c r="W19" i="34"/>
  <c r="W21" i="40"/>
  <c r="AC21" i="40"/>
  <c r="U39" i="39"/>
  <c r="AB39" i="39"/>
  <c r="AA39" i="21"/>
  <c r="S39" i="21"/>
  <c r="S9" i="40"/>
  <c r="AA9" i="40"/>
  <c r="J33" i="40"/>
  <c r="H33" i="40"/>
  <c r="BA555" i="3"/>
  <c r="BL554" i="3"/>
  <c r="AZ554" i="3" s="1"/>
  <c r="BL552" i="3"/>
  <c r="BA552" i="3"/>
  <c r="BL551" i="3"/>
  <c r="BA551" i="3"/>
  <c r="BA550" i="3"/>
  <c r="BL549" i="3"/>
  <c r="BL548" i="3"/>
  <c r="BA548" i="3"/>
  <c r="BA547" i="3"/>
  <c r="BA545" i="3"/>
  <c r="BA544" i="3"/>
  <c r="AZ544" i="3" s="1"/>
  <c r="BA543" i="3"/>
  <c r="BL542" i="3"/>
  <c r="BA542" i="3"/>
  <c r="BL541" i="3"/>
  <c r="AZ541" i="3" s="1"/>
  <c r="BA541" i="3"/>
  <c r="BL538" i="3"/>
  <c r="BA538" i="3"/>
  <c r="BL537" i="3"/>
  <c r="BA537" i="3"/>
  <c r="BL536" i="3"/>
  <c r="BA536" i="3"/>
  <c r="BA535" i="3"/>
  <c r="BL534" i="3"/>
  <c r="BA534" i="3"/>
  <c r="AZ534" i="3" s="1"/>
  <c r="BL533" i="3"/>
  <c r="BA533" i="3"/>
  <c r="BL532" i="3"/>
  <c r="BA532" i="3"/>
  <c r="AZ532" i="3" s="1"/>
  <c r="BA531" i="3"/>
  <c r="BL530" i="3"/>
  <c r="BA530" i="3"/>
  <c r="BA528" i="3"/>
  <c r="AZ528" i="3" s="1"/>
  <c r="BA527" i="3"/>
  <c r="BL526" i="3"/>
  <c r="AZ526" i="3" s="1"/>
  <c r="BL525" i="3"/>
  <c r="BA525" i="3"/>
  <c r="BL524" i="3"/>
  <c r="BA524" i="3"/>
  <c r="AZ524" i="3" s="1"/>
  <c r="BA523" i="3"/>
  <c r="BA522" i="3"/>
  <c r="AZ522" i="3" s="1"/>
  <c r="BA521" i="3"/>
  <c r="AZ521" i="3" s="1"/>
  <c r="BL520" i="3"/>
  <c r="BA520" i="3"/>
  <c r="AZ520" i="3" s="1"/>
  <c r="BA519" i="3"/>
  <c r="BL518" i="3"/>
  <c r="BA518" i="3"/>
  <c r="BL517" i="3"/>
  <c r="BL516" i="3"/>
  <c r="AZ516" i="3" s="1"/>
  <c r="BA515" i="3"/>
  <c r="BL514" i="3"/>
  <c r="BA514" i="3"/>
  <c r="AZ514" i="3" s="1"/>
  <c r="BL513" i="3"/>
  <c r="BA513" i="3"/>
  <c r="AZ513" i="3" s="1"/>
  <c r="BL512" i="3"/>
  <c r="BA512" i="3"/>
  <c r="AZ512" i="3" s="1"/>
  <c r="BA511" i="3"/>
  <c r="BI5" i="3"/>
  <c r="BA510" i="3"/>
  <c r="AZ510" i="3" s="1"/>
  <c r="BL509" i="3"/>
  <c r="BA509" i="3"/>
  <c r="BL508" i="3"/>
  <c r="AZ508" i="3" s="1"/>
  <c r="BS5" i="3"/>
  <c r="BL505" i="3"/>
  <c r="BH5" i="3"/>
  <c r="BT5" i="3"/>
  <c r="BJ5" i="3"/>
  <c r="AZ498" i="3"/>
  <c r="BN5" i="3"/>
  <c r="G29" i="6" s="1"/>
  <c r="BE5" i="3"/>
  <c r="BD5" i="3"/>
  <c r="BK5" i="3"/>
  <c r="BC5" i="3"/>
  <c r="AZ345" i="3"/>
  <c r="AZ303" i="3"/>
  <c r="AZ372" i="3"/>
  <c r="AZ337" i="3"/>
  <c r="AZ376" i="3"/>
  <c r="AZ324" i="3"/>
  <c r="AZ309" i="3"/>
  <c r="BL515" i="3"/>
  <c r="AZ515" i="3" s="1"/>
  <c r="BL527" i="3"/>
  <c r="BL539" i="3"/>
  <c r="AZ539" i="3" s="1"/>
  <c r="BL543" i="3"/>
  <c r="BL553" i="3"/>
  <c r="AZ553" i="3" s="1"/>
  <c r="BA494" i="3"/>
  <c r="AZ494" i="3" s="1"/>
  <c r="W28" i="34"/>
  <c r="AC28" i="34"/>
  <c r="S44" i="33"/>
  <c r="AA44" i="33"/>
  <c r="AC22" i="35"/>
  <c r="W22" i="35"/>
  <c r="F32" i="36"/>
  <c r="H32" i="36"/>
  <c r="AA38" i="39"/>
  <c r="S38" i="39"/>
  <c r="AC31" i="40"/>
  <c r="W31" i="40"/>
  <c r="AA40" i="33"/>
  <c r="S40" i="33"/>
  <c r="BL564" i="3"/>
  <c r="AZ564" i="3" s="1"/>
  <c r="BA561" i="3"/>
  <c r="AZ561" i="3" s="1"/>
  <c r="BA560" i="3"/>
  <c r="AZ560" i="3" s="1"/>
  <c r="BA549" i="3"/>
  <c r="BL544" i="3"/>
  <c r="BB5" i="3"/>
  <c r="AZ387" i="3"/>
  <c r="AZ370" i="3"/>
  <c r="AZ338" i="3"/>
  <c r="AZ371" i="3"/>
  <c r="AZ305" i="3"/>
  <c r="AZ204" i="3"/>
  <c r="AZ375" i="3"/>
  <c r="AZ360" i="3"/>
  <c r="S25" i="21"/>
  <c r="AA25" i="21"/>
  <c r="BL503" i="3"/>
  <c r="AZ503" i="3" s="1"/>
  <c r="BL511" i="3"/>
  <c r="AZ511" i="3" s="1"/>
  <c r="BL523" i="3"/>
  <c r="AZ523" i="3" s="1"/>
  <c r="AZ571" i="3"/>
  <c r="BA496" i="3"/>
  <c r="BL496" i="3"/>
  <c r="S28" i="34"/>
  <c r="S38" i="33"/>
  <c r="BL587" i="3"/>
  <c r="AZ587" i="3" s="1"/>
  <c r="BL586" i="3"/>
  <c r="AZ586" i="3" s="1"/>
  <c r="J26" i="33"/>
  <c r="F26" i="33"/>
  <c r="H26" i="33"/>
  <c r="AC9" i="34"/>
  <c r="W9" i="34"/>
  <c r="F12" i="35"/>
  <c r="AA12" i="35" s="1"/>
  <c r="J12" i="35"/>
  <c r="AC23" i="35"/>
  <c r="W23" i="35"/>
  <c r="J25" i="37"/>
  <c r="F25" i="37"/>
  <c r="U8" i="39"/>
  <c r="AB8" i="39"/>
  <c r="H31" i="39"/>
  <c r="F31" i="39"/>
  <c r="J43" i="39"/>
  <c r="H43" i="39"/>
  <c r="J39" i="40"/>
  <c r="H39" i="40"/>
  <c r="S41" i="21"/>
  <c r="AA41" i="21"/>
  <c r="BL579" i="3"/>
  <c r="AZ579" i="3" s="1"/>
  <c r="AZ576" i="3"/>
  <c r="AZ568" i="3"/>
  <c r="BL558" i="3"/>
  <c r="AZ558" i="3" s="1"/>
  <c r="S15" i="39"/>
  <c r="BM5" i="3"/>
  <c r="F29" i="6" s="1"/>
  <c r="E29" i="6" s="1"/>
  <c r="K15" i="1" s="1"/>
  <c r="AZ391" i="3"/>
  <c r="AZ318" i="3"/>
  <c r="AZ364" i="3"/>
  <c r="AZ329" i="3"/>
  <c r="AZ304" i="3"/>
  <c r="AZ139" i="3"/>
  <c r="AZ306" i="3"/>
  <c r="W35" i="40"/>
  <c r="BL535" i="3"/>
  <c r="AZ535" i="3" s="1"/>
  <c r="AZ557" i="3"/>
  <c r="AZ570" i="3"/>
  <c r="S14" i="34"/>
  <c r="AA14" i="34"/>
  <c r="F30" i="21"/>
  <c r="F28" i="21"/>
  <c r="S40" i="39"/>
  <c r="B97" i="43"/>
  <c r="B75" i="43"/>
  <c r="AB35" i="33"/>
  <c r="U35" i="33"/>
  <c r="AC28" i="36"/>
  <c r="W28" i="36"/>
  <c r="J24" i="36"/>
  <c r="H24" i="36"/>
  <c r="F24" i="36"/>
  <c r="AB30" i="37"/>
  <c r="U30" i="37"/>
  <c r="BL506" i="3"/>
  <c r="AZ506" i="3" s="1"/>
  <c r="BA505" i="3"/>
  <c r="BL504" i="3"/>
  <c r="AZ504" i="3" s="1"/>
  <c r="BL499" i="3"/>
  <c r="AZ499" i="3" s="1"/>
  <c r="BA497" i="3"/>
  <c r="AZ497" i="3" s="1"/>
  <c r="BL495" i="3"/>
  <c r="G566" i="3"/>
  <c r="G558" i="3"/>
  <c r="AZ444" i="3"/>
  <c r="BL519" i="3"/>
  <c r="AZ519" i="3" s="1"/>
  <c r="BL531" i="3"/>
  <c r="AZ531" i="3" s="1"/>
  <c r="BL559" i="3"/>
  <c r="AZ559" i="3" s="1"/>
  <c r="BL573" i="3"/>
  <c r="AZ573" i="3" s="1"/>
  <c r="BL583" i="3"/>
  <c r="AZ583" i="3" s="1"/>
  <c r="G587" i="3"/>
  <c r="G551" i="3"/>
  <c r="BL550" i="3"/>
  <c r="G542" i="3"/>
  <c r="AZ407" i="3"/>
  <c r="AZ462" i="3"/>
  <c r="U38" i="40"/>
  <c r="BL585" i="3"/>
  <c r="AZ585" i="3" s="1"/>
  <c r="AC31" i="35"/>
  <c r="AZ419" i="3"/>
  <c r="AZ466" i="3"/>
  <c r="AZ400" i="3"/>
  <c r="AZ402" i="3"/>
  <c r="AZ406" i="3"/>
  <c r="AZ443" i="3"/>
  <c r="AZ453" i="3"/>
  <c r="AZ487" i="3"/>
  <c r="AZ201"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A272" i="3"/>
  <c r="AZ272" i="3" s="1"/>
  <c r="BA275" i="3"/>
  <c r="AZ275" i="3" s="1"/>
  <c r="BA276" i="3"/>
  <c r="BL286" i="3"/>
  <c r="AZ286" i="3" s="1"/>
  <c r="G574" i="3"/>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AZ441" i="3" s="1"/>
  <c r="BL445" i="3"/>
  <c r="BL446" i="3"/>
  <c r="BL449" i="3"/>
  <c r="BL450" i="3"/>
  <c r="BL452" i="3"/>
  <c r="AZ452" i="3" s="1"/>
  <c r="G454" i="3"/>
  <c r="BL456" i="3"/>
  <c r="BA464" i="3"/>
  <c r="BL467" i="3"/>
  <c r="BL468" i="3"/>
  <c r="BL470" i="3"/>
  <c r="AZ470" i="3" s="1"/>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AZ220" i="3" s="1"/>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66" i="3"/>
  <c r="BA269" i="3"/>
  <c r="AZ269" i="3" s="1"/>
  <c r="BL270" i="3"/>
  <c r="AZ270" i="3" s="1"/>
  <c r="BA274" i="3"/>
  <c r="BL274" i="3"/>
  <c r="BL278" i="3"/>
  <c r="BL146" i="3"/>
  <c r="BL154" i="3"/>
  <c r="BL163" i="3"/>
  <c r="AZ163" i="3" s="1"/>
  <c r="G398" i="3"/>
  <c r="BL400" i="3"/>
  <c r="BL408" i="3"/>
  <c r="AZ408" i="3" s="1"/>
  <c r="BL411" i="3"/>
  <c r="AZ411" i="3" s="1"/>
  <c r="BL413" i="3"/>
  <c r="AZ413" i="3" s="1"/>
  <c r="G415" i="3"/>
  <c r="BL417" i="3"/>
  <c r="AZ417" i="3" s="1"/>
  <c r="BL418" i="3"/>
  <c r="BL420" i="3"/>
  <c r="AZ420" i="3" s="1"/>
  <c r="G422" i="3"/>
  <c r="BL424" i="3"/>
  <c r="G426" i="3"/>
  <c r="BL428" i="3"/>
  <c r="AZ428" i="3" s="1"/>
  <c r="BL429" i="3"/>
  <c r="AZ429" i="3" s="1"/>
  <c r="BL432" i="3"/>
  <c r="AZ432" i="3" s="1"/>
  <c r="BL435" i="3"/>
  <c r="BL436" i="3"/>
  <c r="BA439" i="3"/>
  <c r="BA440" i="3"/>
  <c r="AZ440" i="3" s="1"/>
  <c r="BA442" i="3"/>
  <c r="BA445" i="3"/>
  <c r="AZ445" i="3" s="1"/>
  <c r="BA447" i="3"/>
  <c r="AZ447" i="3" s="1"/>
  <c r="BA449" i="3"/>
  <c r="BL453" i="3"/>
  <c r="BL454" i="3"/>
  <c r="BL459" i="3"/>
  <c r="G461" i="3"/>
  <c r="BA465" i="3"/>
  <c r="AZ465" i="3" s="1"/>
  <c r="BA467" i="3"/>
  <c r="AZ467" i="3" s="1"/>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BL385" i="3"/>
  <c r="AZ385" i="3" s="1"/>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A281" i="3"/>
  <c r="BL287" i="3"/>
  <c r="BL289" i="3"/>
  <c r="AZ27" i="3"/>
  <c r="AZ52" i="3"/>
  <c r="AA21" i="33"/>
  <c r="S21" i="33"/>
  <c r="AA21" i="37"/>
  <c r="S21" i="37"/>
  <c r="C64" i="71"/>
  <c r="D63" i="71"/>
  <c r="D67" i="71"/>
  <c r="C66" i="71"/>
  <c r="O67" i="71"/>
  <c r="BA268" i="3"/>
  <c r="BL273" i="3"/>
  <c r="G274" i="3"/>
  <c r="BA277" i="3"/>
  <c r="BL277" i="3"/>
  <c r="BA282" i="3"/>
  <c r="BL282" i="3"/>
  <c r="BA284" i="3"/>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BL185" i="3"/>
  <c r="BL193" i="3"/>
  <c r="G194" i="3"/>
  <c r="BL194" i="3"/>
  <c r="AZ194" i="3" s="1"/>
  <c r="BA198" i="3"/>
  <c r="AZ198" i="3" s="1"/>
  <c r="G199" i="3"/>
  <c r="G205" i="3"/>
  <c r="BL206" i="3"/>
  <c r="BA19" i="3"/>
  <c r="AZ19" i="3" s="1"/>
  <c r="G27" i="3"/>
  <c r="BA27" i="3"/>
  <c r="BL30" i="3"/>
  <c r="BL31" i="3"/>
  <c r="AZ31" i="3" s="1"/>
  <c r="G37" i="3"/>
  <c r="BL54" i="3"/>
  <c r="BL55" i="3"/>
  <c r="AZ55" i="3" s="1"/>
  <c r="G58" i="3"/>
  <c r="BA59" i="3"/>
  <c r="BL61" i="3"/>
  <c r="G64" i="3"/>
  <c r="AZ70" i="3"/>
  <c r="C44" i="71"/>
  <c r="D43" i="71"/>
  <c r="BA296" i="3"/>
  <c r="BA116" i="3"/>
  <c r="AZ116" i="3" s="1"/>
  <c r="BA121" i="3"/>
  <c r="BL121" i="3"/>
  <c r="BA124" i="3"/>
  <c r="AZ124" i="3" s="1"/>
  <c r="BA126" i="3"/>
  <c r="AZ126" i="3" s="1"/>
  <c r="BA129" i="3"/>
  <c r="BL133" i="3"/>
  <c r="AZ133" i="3" s="1"/>
  <c r="BL139" i="3"/>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BA18" i="3"/>
  <c r="BL21" i="3"/>
  <c r="G23" i="3"/>
  <c r="BL29" i="3"/>
  <c r="G33" i="3"/>
  <c r="G34" i="3"/>
  <c r="BA40" i="3"/>
  <c r="G47" i="3"/>
  <c r="BL48" i="3"/>
  <c r="AZ48" i="3" s="1"/>
  <c r="BA51" i="3"/>
  <c r="G55" i="3"/>
  <c r="BL56" i="3"/>
  <c r="BA58" i="3"/>
  <c r="AZ58" i="3" s="1"/>
  <c r="BL59" i="3"/>
  <c r="BL60" i="3"/>
  <c r="AZ60" i="3" s="1"/>
  <c r="BA61" i="3"/>
  <c r="BL65" i="3"/>
  <c r="AZ65" i="3" s="1"/>
  <c r="BL66" i="3"/>
  <c r="BL99" i="3"/>
  <c r="B27" i="71"/>
  <c r="B26" i="71" s="1"/>
  <c r="S28" i="71"/>
  <c r="D50" i="71"/>
  <c r="C51" i="7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BA150" i="3"/>
  <c r="AZ150" i="3" s="1"/>
  <c r="G159" i="3"/>
  <c r="BL167" i="3"/>
  <c r="AZ167" i="3" s="1"/>
  <c r="G175" i="3"/>
  <c r="G176" i="3"/>
  <c r="BL178" i="3"/>
  <c r="AZ178" i="3" s="1"/>
  <c r="BA180" i="3"/>
  <c r="AZ180" i="3" s="1"/>
  <c r="BL182" i="3"/>
  <c r="G183" i="3"/>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A41" i="3"/>
  <c r="AZ41" i="3" s="1"/>
  <c r="BA42" i="3"/>
  <c r="BL45" i="3"/>
  <c r="BA48" i="3"/>
  <c r="BA49" i="3"/>
  <c r="BL64" i="3"/>
  <c r="BA67" i="3"/>
  <c r="AZ67" i="3" s="1"/>
  <c r="BA68" i="3"/>
  <c r="BL70" i="3"/>
  <c r="BL91" i="3"/>
  <c r="BA94" i="3"/>
  <c r="AZ94" i="3" s="1"/>
  <c r="BA105" i="3"/>
  <c r="AZ105" i="3" s="1"/>
  <c r="D31" i="71"/>
  <c r="C32" i="71"/>
  <c r="D34" i="71"/>
  <c r="C35" i="71"/>
  <c r="C55" i="71"/>
  <c r="D54" i="71"/>
  <c r="V24" i="71"/>
  <c r="E23" i="71"/>
  <c r="E22" i="71" s="1"/>
  <c r="E21" i="71" s="1"/>
  <c r="E20" i="71" s="1"/>
  <c r="E19" i="71" s="1"/>
  <c r="E18" i="71" s="1"/>
  <c r="E17" i="71" s="1"/>
  <c r="E16" i="71" s="1"/>
  <c r="BA64" i="3"/>
  <c r="G67" i="3"/>
  <c r="BL68" i="3"/>
  <c r="BA69" i="3"/>
  <c r="AZ69" i="3" s="1"/>
  <c r="G72" i="3"/>
  <c r="BL73" i="3"/>
  <c r="AZ73" i="3" s="1"/>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AB27" i="71"/>
  <c r="AB25" i="71"/>
  <c r="X26" i="71"/>
  <c r="Y25" i="71"/>
  <c r="Z25" i="71" s="1"/>
  <c r="X38" i="71"/>
  <c r="Y29" i="71"/>
  <c r="Z29" i="71" s="1"/>
  <c r="AB32" i="71"/>
  <c r="X33" i="71"/>
  <c r="BA73" i="3"/>
  <c r="BA80" i="3"/>
  <c r="BL84" i="3"/>
  <c r="BA89" i="3"/>
  <c r="BA103" i="3"/>
  <c r="AZ103" i="3" s="1"/>
  <c r="BA104" i="3"/>
  <c r="BA106" i="3"/>
  <c r="BL108" i="3"/>
  <c r="BL111" i="3"/>
  <c r="AZ111" i="3" s="1"/>
  <c r="U29" i="39"/>
  <c r="P66" i="71"/>
  <c r="AA27" i="71"/>
  <c r="AB26" i="71"/>
  <c r="C39" i="71"/>
  <c r="X25" i="71"/>
  <c r="Y28" i="71"/>
  <c r="Z28" i="71" s="1"/>
  <c r="C28" i="71"/>
  <c r="AA37" i="71"/>
  <c r="X28" i="71"/>
  <c r="X32" i="71"/>
  <c r="F38" i="71"/>
  <c r="F39" i="71" s="1"/>
  <c r="F40" i="71" s="1"/>
  <c r="V40" i="71" s="1"/>
  <c r="B79" i="71"/>
  <c r="B78" i="71" s="1"/>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U25" i="40"/>
  <c r="S21" i="34"/>
  <c r="B68" i="43"/>
  <c r="B88" i="43"/>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49" i="3"/>
  <c r="AZ456" i="3"/>
  <c r="AZ468"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AZ87" i="3"/>
  <c r="BL202" i="3"/>
  <c r="AZ202" i="3" s="1"/>
  <c r="AZ30" i="3"/>
  <c r="BL36" i="3"/>
  <c r="AZ40" i="3"/>
  <c r="AZ68" i="3"/>
  <c r="AZ104" i="3"/>
  <c r="AZ106" i="3"/>
  <c r="G200" i="3"/>
  <c r="G207" i="3"/>
  <c r="BA23" i="3"/>
  <c r="AZ23" i="3" s="1"/>
  <c r="BA24" i="3"/>
  <c r="AZ24" i="3" s="1"/>
  <c r="BL26" i="3"/>
  <c r="BL32" i="3"/>
  <c r="AZ32" i="3" s="1"/>
  <c r="BA34" i="3"/>
  <c r="AZ34" i="3" s="1"/>
  <c r="BA35" i="3"/>
  <c r="AZ35" i="3" s="1"/>
  <c r="BL37" i="3"/>
  <c r="AZ37" i="3" s="1"/>
  <c r="BL42" i="3"/>
  <c r="BA44" i="3"/>
  <c r="AZ44" i="3" s="1"/>
  <c r="AZ56"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D9" i="69"/>
  <c r="C76" i="15"/>
  <c r="F7" i="15"/>
  <c r="F8" i="15"/>
  <c r="M9" i="15"/>
  <c r="L47" i="15"/>
  <c r="M22" i="67"/>
  <c r="F6" i="67"/>
  <c r="F42" i="67"/>
  <c r="M6" i="67"/>
  <c r="L48" i="67"/>
  <c r="F40" i="67"/>
  <c r="F8" i="67"/>
  <c r="D4" i="73"/>
  <c r="D7" i="73"/>
  <c r="M24" i="15"/>
  <c r="F6" i="15"/>
  <c r="F37" i="15"/>
  <c r="F42" i="15"/>
  <c r="M23" i="15"/>
  <c r="M22" i="15"/>
  <c r="M24" i="67"/>
  <c r="M8" i="67"/>
  <c r="L47" i="67"/>
  <c r="M9" i="67"/>
  <c r="F37" i="67"/>
  <c r="M26" i="67"/>
  <c r="F40" i="15"/>
  <c r="D5" i="73"/>
  <c r="J15" i="15"/>
  <c r="M29" i="15"/>
  <c r="F9" i="15"/>
  <c r="F16" i="15"/>
  <c r="F26" i="15"/>
  <c r="F38" i="15"/>
  <c r="M28" i="15"/>
  <c r="F36" i="67"/>
  <c r="F16" i="67"/>
  <c r="F38" i="67"/>
  <c r="M28" i="67"/>
  <c r="J15" i="67"/>
  <c r="C76" i="67"/>
  <c r="M8" i="15"/>
  <c r="F43" i="15"/>
  <c r="L48" i="15"/>
  <c r="M6" i="15"/>
  <c r="F13" i="15"/>
  <c r="F7" i="67"/>
  <c r="F43" i="67"/>
  <c r="F26" i="67"/>
  <c r="F9" i="67"/>
  <c r="D3" i="73"/>
  <c r="M26" i="15"/>
  <c r="F13" i="67"/>
  <c r="M29" i="67"/>
  <c r="M23" i="67"/>
  <c r="F36" i="15"/>
  <c r="AB36" i="33" l="1"/>
  <c r="E59" i="40"/>
  <c r="B24" i="31"/>
  <c r="C33" i="33"/>
  <c r="D33" i="43"/>
  <c r="D1" i="43" s="1"/>
  <c r="W23" i="33"/>
  <c r="W42" i="33"/>
  <c r="G123" i="33"/>
  <c r="H123" i="33" s="1"/>
  <c r="I123" i="33" s="1"/>
  <c r="J123" i="33" s="1"/>
  <c r="K123" i="33" s="1"/>
  <c r="L123" i="33" s="1"/>
  <c r="M123" i="33" s="1"/>
  <c r="F42" i="33"/>
  <c r="G26" i="43"/>
  <c r="F51" i="67"/>
  <c r="Q71" i="67"/>
  <c r="F68" i="67"/>
  <c r="F65" i="67"/>
  <c r="L56" i="67"/>
  <c r="J57" i="67"/>
  <c r="J55" i="67" s="1"/>
  <c r="J58" i="67" s="1"/>
  <c r="Q50" i="67" s="1"/>
  <c r="I54" i="67"/>
  <c r="J53" i="67"/>
  <c r="F1" i="67" s="1"/>
  <c r="C27" i="67"/>
  <c r="F66" i="67"/>
  <c r="M59" i="67"/>
  <c r="N59" i="67"/>
  <c r="L59" i="67"/>
  <c r="Q61" i="67" s="1"/>
  <c r="L58" i="67"/>
  <c r="Q60" i="67" s="1"/>
  <c r="F71" i="67"/>
  <c r="C6" i="67"/>
  <c r="F31" i="67"/>
  <c r="F64" i="67"/>
  <c r="M7" i="67"/>
  <c r="J6" i="67" s="1"/>
  <c r="J18" i="67" s="1"/>
  <c r="F50" i="67"/>
  <c r="L59" i="15"/>
  <c r="Q74" i="15" s="1"/>
  <c r="M59" i="15"/>
  <c r="N59" i="15"/>
  <c r="L58" i="15"/>
  <c r="Q60" i="15" s="1"/>
  <c r="F66" i="15"/>
  <c r="C27" i="15"/>
  <c r="F51" i="15"/>
  <c r="J57" i="15"/>
  <c r="J55" i="15" s="1"/>
  <c r="J58" i="15" s="1"/>
  <c r="Q50" i="15" s="1"/>
  <c r="I54" i="15"/>
  <c r="J53" i="15"/>
  <c r="L56" i="15" s="1"/>
  <c r="F65" i="15"/>
  <c r="M7" i="15"/>
  <c r="J6" i="15" s="1"/>
  <c r="J18" i="15" s="1"/>
  <c r="F50" i="15"/>
  <c r="F71" i="15"/>
  <c r="F31" i="15"/>
  <c r="C6" i="15"/>
  <c r="Q71" i="15"/>
  <c r="P6" i="1"/>
  <c r="C13" i="12" s="1"/>
  <c r="Q16" i="1"/>
  <c r="F27" i="11" s="1"/>
  <c r="C29" i="11" s="1"/>
  <c r="D27" i="11" s="1"/>
  <c r="J26" i="43"/>
  <c r="K16" i="1"/>
  <c r="F26" i="43"/>
  <c r="D26" i="43" s="1"/>
  <c r="C25" i="43" s="1"/>
  <c r="E26" i="43"/>
  <c r="F64" i="15"/>
  <c r="F68" i="15"/>
  <c r="AZ89" i="3"/>
  <c r="AZ26" i="3"/>
  <c r="G16" i="1"/>
  <c r="F10" i="39" s="1"/>
  <c r="AA10" i="39" s="1"/>
  <c r="C40" i="71"/>
  <c r="D39" i="71"/>
  <c r="C36" i="71"/>
  <c r="D35" i="71"/>
  <c r="C52" i="71"/>
  <c r="D51" i="71"/>
  <c r="O65" i="71"/>
  <c r="D66" i="71"/>
  <c r="O66" i="71"/>
  <c r="S30" i="21"/>
  <c r="AA30" i="21"/>
  <c r="W43" i="39"/>
  <c r="AC43" i="39"/>
  <c r="AB32" i="36"/>
  <c r="U32" i="36"/>
  <c r="U25" i="36"/>
  <c r="AB25" i="36"/>
  <c r="W12" i="36"/>
  <c r="AC12" i="36"/>
  <c r="AB9" i="33"/>
  <c r="U9" i="33"/>
  <c r="AZ174" i="3"/>
  <c r="AZ141" i="3"/>
  <c r="T28" i="71"/>
  <c r="D28" i="71"/>
  <c r="U28" i="71" s="1"/>
  <c r="C27" i="71"/>
  <c r="AZ51" i="3"/>
  <c r="AZ121" i="3"/>
  <c r="D44" i="71"/>
  <c r="T44" i="71"/>
  <c r="AZ59" i="3"/>
  <c r="AZ282" i="3"/>
  <c r="AZ241" i="3"/>
  <c r="AZ274" i="3"/>
  <c r="AZ249" i="3"/>
  <c r="AZ459" i="3"/>
  <c r="AA24" i="36"/>
  <c r="S24" i="36"/>
  <c r="AB39" i="40"/>
  <c r="U39" i="40"/>
  <c r="AA31" i="39"/>
  <c r="S31" i="39"/>
  <c r="AA25" i="37"/>
  <c r="S25" i="37"/>
  <c r="W12" i="35"/>
  <c r="AC12" i="35"/>
  <c r="AB26" i="33"/>
  <c r="U26" i="33"/>
  <c r="AZ496" i="3"/>
  <c r="S32" i="36"/>
  <c r="AA32" i="36"/>
  <c r="AZ505" i="3"/>
  <c r="AZ509" i="3"/>
  <c r="AZ527" i="3"/>
  <c r="AZ533" i="3"/>
  <c r="AZ536" i="3"/>
  <c r="AZ538" i="3"/>
  <c r="AZ542" i="3"/>
  <c r="AZ549" i="3"/>
  <c r="AZ552" i="3"/>
  <c r="U33" i="40"/>
  <c r="AB33" i="40"/>
  <c r="S34" i="36"/>
  <c r="AA34" i="36"/>
  <c r="D121" i="9"/>
  <c r="D7" i="52" s="1"/>
  <c r="D6" i="52"/>
  <c r="AZ108" i="3"/>
  <c r="T32" i="71"/>
  <c r="D32" i="71"/>
  <c r="AB24" i="36"/>
  <c r="U24" i="36"/>
  <c r="AC39" i="40"/>
  <c r="W39" i="40"/>
  <c r="AB31" i="39"/>
  <c r="U31" i="39"/>
  <c r="AC25" i="37"/>
  <c r="W25" i="37"/>
  <c r="S26" i="33"/>
  <c r="AA26" i="33"/>
  <c r="AZ550" i="3"/>
  <c r="W33" i="40"/>
  <c r="AC33" i="40"/>
  <c r="AZ547" i="3"/>
  <c r="AB34" i="36"/>
  <c r="U34" i="36"/>
  <c r="S36" i="35"/>
  <c r="AA36" i="35"/>
  <c r="AC9" i="33"/>
  <c r="W9" i="33"/>
  <c r="G5" i="3"/>
  <c r="B3" i="3" s="1"/>
  <c r="E536" i="3" s="1"/>
  <c r="AZ42" i="3"/>
  <c r="AZ36" i="3"/>
  <c r="AZ281" i="3"/>
  <c r="AZ482" i="3"/>
  <c r="AZ64" i="3"/>
  <c r="C56" i="71"/>
  <c r="D55" i="71"/>
  <c r="AZ49" i="3"/>
  <c r="AZ146" i="3"/>
  <c r="AZ273" i="3"/>
  <c r="AZ61" i="3"/>
  <c r="AZ182" i="3"/>
  <c r="AZ302" i="3"/>
  <c r="AZ284" i="3"/>
  <c r="AZ277" i="3"/>
  <c r="AZ244" i="3"/>
  <c r="AZ239" i="3"/>
  <c r="AZ251" i="3"/>
  <c r="AZ247" i="3"/>
  <c r="AZ464" i="3"/>
  <c r="AZ405" i="3"/>
  <c r="AZ454" i="3"/>
  <c r="AZ435" i="3"/>
  <c r="AC24" i="36"/>
  <c r="W24" i="36"/>
  <c r="AA28" i="21"/>
  <c r="S28" i="21"/>
  <c r="U43" i="39"/>
  <c r="AB43" i="39"/>
  <c r="AC26" i="33"/>
  <c r="W26" i="33"/>
  <c r="AZ518" i="3"/>
  <c r="AZ525" i="3"/>
  <c r="AZ530" i="3"/>
  <c r="AZ537" i="3"/>
  <c r="AZ543" i="3"/>
  <c r="AZ548" i="3"/>
  <c r="AZ551" i="3"/>
  <c r="S25" i="36"/>
  <c r="AA25" i="36"/>
  <c r="AB12" i="36"/>
  <c r="U12" i="36"/>
  <c r="AB36" i="35"/>
  <c r="U36" i="35"/>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Q61" i="15"/>
  <c r="AE11" i="1"/>
  <c r="AE9" i="1"/>
  <c r="AE7" i="1"/>
  <c r="AE8" i="1"/>
  <c r="AE12" i="1"/>
  <c r="AE10" i="1"/>
  <c r="C16" i="67"/>
  <c r="C16" i="15"/>
  <c r="G1" i="73"/>
  <c r="C36" i="69"/>
  <c r="AE6" i="1"/>
  <c r="F41" i="67"/>
  <c r="F27" i="69"/>
  <c r="F27" i="68" l="1"/>
  <c r="C47" i="68" s="1"/>
  <c r="D45" i="68" s="1"/>
  <c r="E139" i="3"/>
  <c r="E369" i="3"/>
  <c r="E94" i="3"/>
  <c r="E219" i="3"/>
  <c r="E275" i="3"/>
  <c r="E148" i="3"/>
  <c r="E246" i="3"/>
  <c r="E263" i="3"/>
  <c r="E172" i="3"/>
  <c r="AB6" i="3"/>
  <c r="E579" i="3"/>
  <c r="E572" i="3"/>
  <c r="E531" i="3"/>
  <c r="E204" i="3"/>
  <c r="E171" i="3"/>
  <c r="E406" i="3"/>
  <c r="E545" i="3"/>
  <c r="E586" i="3"/>
  <c r="E538" i="3"/>
  <c r="E44" i="3"/>
  <c r="E433" i="3"/>
  <c r="E130" i="3"/>
  <c r="E443" i="3"/>
  <c r="E86" i="3"/>
  <c r="E142" i="3"/>
  <c r="E240" i="3"/>
  <c r="E483" i="3"/>
  <c r="E132" i="3"/>
  <c r="E100" i="3"/>
  <c r="AI6" i="3"/>
  <c r="E135" i="3"/>
  <c r="E189" i="3"/>
  <c r="E311" i="3"/>
  <c r="E268" i="3"/>
  <c r="E182" i="3"/>
  <c r="E485" i="3"/>
  <c r="E74" i="3"/>
  <c r="E468" i="3"/>
  <c r="E133" i="3"/>
  <c r="E347" i="3"/>
  <c r="E183" i="3"/>
  <c r="E555" i="3"/>
  <c r="E414" i="3"/>
  <c r="E253" i="3"/>
  <c r="E282" i="3"/>
  <c r="E238" i="3"/>
  <c r="E378" i="3"/>
  <c r="E248" i="3"/>
  <c r="E131" i="3"/>
  <c r="AY6" i="3"/>
  <c r="E242" i="3"/>
  <c r="E119" i="3"/>
  <c r="X6" i="3"/>
  <c r="E423" i="3"/>
  <c r="E161" i="3"/>
  <c r="E215" i="3"/>
  <c r="E201" i="3"/>
  <c r="E526" i="3"/>
  <c r="E70" i="3"/>
  <c r="AO6" i="3"/>
  <c r="E362" i="3"/>
  <c r="E577" i="3"/>
  <c r="E277" i="3"/>
  <c r="E399" i="3"/>
  <c r="E528" i="3"/>
  <c r="E388" i="3"/>
  <c r="E478" i="3"/>
  <c r="E583" i="3"/>
  <c r="E553" i="3"/>
  <c r="E353" i="3"/>
  <c r="J33" i="33"/>
  <c r="H33" i="33"/>
  <c r="F33" i="33"/>
  <c r="E118" i="3"/>
  <c r="E487" i="3"/>
  <c r="E296" i="3"/>
  <c r="E200" i="3"/>
  <c r="E385" i="3"/>
  <c r="E191" i="3"/>
  <c r="E563" i="3"/>
  <c r="M6" i="3"/>
  <c r="E509" i="3"/>
  <c r="E377" i="3"/>
  <c r="E557" i="3"/>
  <c r="E89" i="3"/>
  <c r="E146" i="3"/>
  <c r="E472" i="3"/>
  <c r="E181" i="3"/>
  <c r="E350" i="3"/>
  <c r="E561" i="3"/>
  <c r="E384" i="3"/>
  <c r="E450" i="3"/>
  <c r="E230" i="3"/>
  <c r="E448" i="3"/>
  <c r="E491" i="3"/>
  <c r="B22" i="31"/>
  <c r="B14" i="74" s="1"/>
  <c r="C25" i="31"/>
  <c r="AA42" i="33"/>
  <c r="S42" i="33"/>
  <c r="Q52" i="15"/>
  <c r="Q73" i="67"/>
  <c r="F59" i="67"/>
  <c r="F45" i="69"/>
  <c r="S10" i="39"/>
  <c r="J10" i="40"/>
  <c r="AC10" i="40" s="1"/>
  <c r="F59" i="15"/>
  <c r="M17" i="67"/>
  <c r="F28" i="12"/>
  <c r="C29" i="12" s="1"/>
  <c r="D28" i="12" s="1"/>
  <c r="J10" i="39"/>
  <c r="W10" i="39" s="1"/>
  <c r="F10" i="40"/>
  <c r="S10" i="40" s="1"/>
  <c r="H10" i="40"/>
  <c r="AB10" i="40" s="1"/>
  <c r="J5" i="67"/>
  <c r="J24" i="67" s="1"/>
  <c r="C29" i="69"/>
  <c r="D27" i="69" s="1"/>
  <c r="C47" i="69"/>
  <c r="D45" i="69" s="1"/>
  <c r="C49" i="15"/>
  <c r="Q73" i="15"/>
  <c r="F1" i="15"/>
  <c r="Q74" i="67"/>
  <c r="Q52" i="67"/>
  <c r="C49" i="67"/>
  <c r="M17" i="15"/>
  <c r="H10" i="39"/>
  <c r="E445" i="3"/>
  <c r="E69" i="3"/>
  <c r="E387" i="3"/>
  <c r="E514" i="3"/>
  <c r="E431" i="3"/>
  <c r="E322" i="3"/>
  <c r="E109" i="3"/>
  <c r="E211" i="3"/>
  <c r="E489" i="3"/>
  <c r="E400" i="3"/>
  <c r="E327" i="3"/>
  <c r="E227" i="3"/>
  <c r="E214" i="3"/>
  <c r="E454" i="3"/>
  <c r="E465" i="3"/>
  <c r="K6" i="3"/>
  <c r="AK6" i="3"/>
  <c r="E77" i="3"/>
  <c r="E495" i="3"/>
  <c r="E180" i="3"/>
  <c r="E231" i="3"/>
  <c r="E143" i="3"/>
  <c r="E530" i="3"/>
  <c r="E27" i="3"/>
  <c r="E31" i="3"/>
  <c r="E193" i="3"/>
  <c r="E290" i="3"/>
  <c r="E151" i="3"/>
  <c r="E166" i="3"/>
  <c r="E73" i="3"/>
  <c r="E357" i="3"/>
  <c r="E535" i="3"/>
  <c r="E278" i="3"/>
  <c r="E335" i="3"/>
  <c r="E570" i="3"/>
  <c r="E247" i="3"/>
  <c r="AJ6" i="3"/>
  <c r="E217" i="3"/>
  <c r="E273" i="3"/>
  <c r="E28" i="3"/>
  <c r="E345" i="3"/>
  <c r="Z6" i="3"/>
  <c r="E368" i="3"/>
  <c r="E315" i="3"/>
  <c r="E106" i="3"/>
  <c r="E587" i="3"/>
  <c r="E560" i="3"/>
  <c r="E228" i="3"/>
  <c r="E568" i="3"/>
  <c r="E124" i="3"/>
  <c r="E91" i="3"/>
  <c r="E216" i="3"/>
  <c r="E270" i="3"/>
  <c r="E343" i="3"/>
  <c r="E162" i="3"/>
  <c r="E567" i="3"/>
  <c r="E519" i="3"/>
  <c r="E61" i="3"/>
  <c r="E358" i="3"/>
  <c r="E295" i="3"/>
  <c r="E203" i="3"/>
  <c r="E71" i="3"/>
  <c r="E301" i="3"/>
  <c r="E503" i="3"/>
  <c r="E261" i="3"/>
  <c r="E380" i="3"/>
  <c r="AR6" i="3"/>
  <c r="E337" i="3"/>
  <c r="E508" i="3"/>
  <c r="E175" i="3"/>
  <c r="E331" i="3"/>
  <c r="E476" i="3"/>
  <c r="E107" i="3"/>
  <c r="E279" i="3"/>
  <c r="E457" i="3"/>
  <c r="E511" i="3"/>
  <c r="E518" i="3"/>
  <c r="E260" i="3"/>
  <c r="E407" i="3"/>
  <c r="E569" i="3"/>
  <c r="E480" i="3"/>
  <c r="E404" i="3"/>
  <c r="E252" i="3"/>
  <c r="E481" i="3"/>
  <c r="E237" i="3"/>
  <c r="E436" i="3"/>
  <c r="E134" i="3"/>
  <c r="E361" i="3"/>
  <c r="E185" i="3"/>
  <c r="E439" i="3"/>
  <c r="E533" i="3"/>
  <c r="E410" i="3"/>
  <c r="E305" i="3"/>
  <c r="E441" i="3"/>
  <c r="E186" i="3"/>
  <c r="AS6" i="3"/>
  <c r="E271" i="3"/>
  <c r="E150" i="3"/>
  <c r="E527" i="3"/>
  <c r="E314" i="3"/>
  <c r="E578" i="3"/>
  <c r="E395" i="3"/>
  <c r="V6" i="3"/>
  <c r="E516" i="3"/>
  <c r="E30" i="3"/>
  <c r="E444" i="3"/>
  <c r="E236" i="3"/>
  <c r="E437" i="3"/>
  <c r="E338" i="3"/>
  <c r="E222" i="3"/>
  <c r="E210" i="3"/>
  <c r="E447" i="3"/>
  <c r="E477" i="3"/>
  <c r="E585" i="3"/>
  <c r="E549" i="3"/>
  <c r="E351" i="3"/>
  <c r="E72" i="3"/>
  <c r="E562" i="3"/>
  <c r="E573" i="3"/>
  <c r="E99" i="3"/>
  <c r="E453" i="3"/>
  <c r="E293" i="3"/>
  <c r="E245" i="3"/>
  <c r="E550" i="3"/>
  <c r="E114" i="3"/>
  <c r="E320" i="3"/>
  <c r="E559" i="3"/>
  <c r="E396" i="3"/>
  <c r="N6" i="3"/>
  <c r="E125" i="3"/>
  <c r="E316" i="3"/>
  <c r="E88" i="3"/>
  <c r="E558" i="3"/>
  <c r="E576" i="3"/>
  <c r="E394" i="3"/>
  <c r="AE6" i="3"/>
  <c r="E434" i="3"/>
  <c r="E17" i="3"/>
  <c r="E426" i="3"/>
  <c r="E195" i="3"/>
  <c r="E507" i="3"/>
  <c r="E505" i="3"/>
  <c r="E515" i="3"/>
  <c r="E269" i="3"/>
  <c r="E318" i="3"/>
  <c r="E111" i="3"/>
  <c r="E571" i="3"/>
  <c r="E458" i="3"/>
  <c r="E45" i="3"/>
  <c r="E85" i="3"/>
  <c r="E336" i="3"/>
  <c r="E382" i="3"/>
  <c r="E117" i="3"/>
  <c r="E415" i="3"/>
  <c r="E294" i="3"/>
  <c r="E551" i="3"/>
  <c r="E229" i="3"/>
  <c r="E239" i="3"/>
  <c r="E366" i="3"/>
  <c r="E334" i="3"/>
  <c r="E121" i="3"/>
  <c r="E581" i="3"/>
  <c r="AG6" i="3"/>
  <c r="E580" i="3"/>
  <c r="E429" i="3"/>
  <c r="E120" i="3"/>
  <c r="E159" i="3"/>
  <c r="S6" i="3"/>
  <c r="E157" i="3"/>
  <c r="E36" i="3"/>
  <c r="E177" i="3"/>
  <c r="E280" i="3"/>
  <c r="E302" i="3"/>
  <c r="E321" i="3"/>
  <c r="E285" i="3"/>
  <c r="E319" i="3"/>
  <c r="E367" i="3"/>
  <c r="E54" i="3"/>
  <c r="E461" i="3"/>
  <c r="E179" i="3"/>
  <c r="E323" i="3"/>
  <c r="E348" i="3"/>
  <c r="E194" i="3"/>
  <c r="E80" i="3"/>
  <c r="E494" i="3"/>
  <c r="E286" i="3"/>
  <c r="E359" i="3"/>
  <c r="E53" i="3"/>
  <c r="U6" i="3"/>
  <c r="W6" i="3"/>
  <c r="E307" i="3"/>
  <c r="E462" i="3"/>
  <c r="E110" i="3"/>
  <c r="E165" i="3"/>
  <c r="E540" i="3"/>
  <c r="E41" i="3"/>
  <c r="E84" i="3"/>
  <c r="E303" i="3"/>
  <c r="E304" i="3"/>
  <c r="E523" i="3"/>
  <c r="E328" i="3"/>
  <c r="E291" i="3"/>
  <c r="E196" i="3"/>
  <c r="E529" i="3"/>
  <c r="E413" i="3"/>
  <c r="E266" i="3"/>
  <c r="E416" i="3"/>
  <c r="E20" i="3"/>
  <c r="E226" i="3"/>
  <c r="T6" i="3"/>
  <c r="E59" i="3"/>
  <c r="E3" i="6"/>
  <c r="E566" i="3"/>
  <c r="E289" i="3"/>
  <c r="E79" i="3"/>
  <c r="E25" i="3"/>
  <c r="E564" i="3"/>
  <c r="E35" i="3"/>
  <c r="E470" i="3"/>
  <c r="E197" i="3"/>
  <c r="E174" i="3"/>
  <c r="E283" i="3"/>
  <c r="E371" i="3"/>
  <c r="E349" i="3"/>
  <c r="AP6" i="3"/>
  <c r="E539" i="3"/>
  <c r="E419" i="3"/>
  <c r="E116" i="3"/>
  <c r="E190" i="3"/>
  <c r="E556" i="3"/>
  <c r="E308" i="3"/>
  <c r="E482" i="3"/>
  <c r="E68" i="3"/>
  <c r="E160" i="3"/>
  <c r="E258" i="3"/>
  <c r="E430" i="3"/>
  <c r="E542" i="3"/>
  <c r="E354" i="3"/>
  <c r="E386" i="3"/>
  <c r="E265" i="3"/>
  <c r="E325" i="3"/>
  <c r="E372" i="3"/>
  <c r="E376" i="3"/>
  <c r="E329" i="3"/>
  <c r="E356" i="3"/>
  <c r="E512" i="3"/>
  <c r="AF6" i="3"/>
  <c r="E391" i="3"/>
  <c r="E184" i="3"/>
  <c r="E467" i="3"/>
  <c r="E37" i="3"/>
  <c r="E502" i="3"/>
  <c r="J5" i="15"/>
  <c r="J24" i="15" s="1"/>
  <c r="D36" i="71"/>
  <c r="T36" i="71"/>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52" i="71"/>
  <c r="D52" i="71"/>
  <c r="T40" i="71"/>
  <c r="D40" i="71"/>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K25" i="6"/>
  <c r="K20" i="6"/>
  <c r="K23" i="6"/>
  <c r="K22" i="6"/>
  <c r="E31" i="6"/>
  <c r="K24" i="6"/>
  <c r="K19" i="6"/>
  <c r="S6" i="1" s="1"/>
  <c r="O14" i="1"/>
  <c r="O16" i="1" s="1"/>
  <c r="M16" i="1"/>
  <c r="AY155" i="3"/>
  <c r="AY124" i="3"/>
  <c r="AY276" i="3"/>
  <c r="AY58" i="3"/>
  <c r="AY366" i="3"/>
  <c r="AY335" i="3"/>
  <c r="AY183" i="3"/>
  <c r="AY123" i="3"/>
  <c r="AY473" i="3"/>
  <c r="AY460" i="3"/>
  <c r="AY245" i="3"/>
  <c r="AY260" i="3"/>
  <c r="AY463" i="3"/>
  <c r="AY452" i="3"/>
  <c r="AY533" i="3"/>
  <c r="BE6" i="3"/>
  <c r="AY60" i="3"/>
  <c r="AY44" i="3"/>
  <c r="AY165" i="3"/>
  <c r="AY149" i="3"/>
  <c r="AY247" i="3"/>
  <c r="AY262" i="3"/>
  <c r="AY357" i="3"/>
  <c r="AY360" i="3"/>
  <c r="AY202" i="3"/>
  <c r="AY197" i="3"/>
  <c r="AY242" i="3"/>
  <c r="AY388" i="3"/>
  <c r="AY491" i="3"/>
  <c r="AY475" i="3"/>
  <c r="AY411" i="3"/>
  <c r="AY581" i="3"/>
  <c r="AY495" i="3"/>
  <c r="BG6" i="3"/>
  <c r="AY237" i="3"/>
  <c r="AY387" i="3"/>
  <c r="AY355" i="3"/>
  <c r="AY311" i="3"/>
  <c r="AY89" i="3"/>
  <c r="AY53" i="3"/>
  <c r="AY117" i="3"/>
  <c r="AY302" i="3"/>
  <c r="AY93" i="3"/>
  <c r="AY57" i="3"/>
  <c r="AY356" i="3"/>
  <c r="AY340" i="3"/>
  <c r="AY516" i="3"/>
  <c r="BN6" i="3"/>
  <c r="AY112" i="3"/>
  <c r="AY81" i="3"/>
  <c r="AY350" i="3"/>
  <c r="AY455" i="3"/>
  <c r="AY326" i="3"/>
  <c r="AY478" i="3"/>
  <c r="AY84" i="3"/>
  <c r="AY52" i="3"/>
  <c r="AY286" i="3"/>
  <c r="AY270" i="3"/>
  <c r="AY72" i="3"/>
  <c r="AY29" i="3"/>
  <c r="AY324" i="3"/>
  <c r="AY483" i="3"/>
  <c r="AY536" i="3"/>
  <c r="AY520" i="3"/>
  <c r="AY519" i="3"/>
  <c r="AY101" i="3"/>
  <c r="AY189" i="3"/>
  <c r="AY158" i="3"/>
  <c r="AY266" i="3"/>
  <c r="AY234" i="3"/>
  <c r="AY313" i="3"/>
  <c r="AY344" i="3"/>
  <c r="AY453" i="3"/>
  <c r="AY458" i="3"/>
  <c r="AY579" i="3"/>
  <c r="AY506" i="3"/>
  <c r="AY509" i="3"/>
  <c r="AY542" i="3"/>
  <c r="AY94" i="3"/>
  <c r="AY63" i="3"/>
  <c r="AY167" i="3"/>
  <c r="AY135" i="3"/>
  <c r="AY221" i="3"/>
  <c r="AY378" i="3"/>
  <c r="AY469" i="3"/>
  <c r="AY466" i="3"/>
  <c r="AY558" i="3"/>
  <c r="AY560" i="3"/>
  <c r="AY91" i="3"/>
  <c r="AY86" i="3"/>
  <c r="AY27" i="3"/>
  <c r="AY184" i="3"/>
  <c r="AY128" i="3"/>
  <c r="AY277" i="3"/>
  <c r="AY224" i="3"/>
  <c r="AY213" i="3"/>
  <c r="AY323" i="3"/>
  <c r="AY338" i="3"/>
  <c r="AY448" i="3"/>
  <c r="AY429" i="3"/>
  <c r="AY511" i="3"/>
  <c r="AY504" i="3"/>
  <c r="AY205" i="3"/>
  <c r="AY142" i="3"/>
  <c r="AY218" i="3"/>
  <c r="AY352" i="3"/>
  <c r="AY492" i="3"/>
  <c r="AY461" i="3"/>
  <c r="AY399" i="3"/>
  <c r="AY17" i="3"/>
  <c r="AY530" i="3"/>
  <c r="AY563" i="3"/>
  <c r="AY203" i="3"/>
  <c r="AY140" i="3"/>
  <c r="AY216" i="3"/>
  <c r="AY383" i="3"/>
  <c r="AY440" i="3"/>
  <c r="AY13" i="3"/>
  <c r="AY39" i="3"/>
  <c r="AY22" i="3"/>
  <c r="AY288" i="3"/>
  <c r="AY272" i="3"/>
  <c r="AY322" i="3"/>
  <c r="AY432" i="3"/>
  <c r="AY567" i="3"/>
  <c r="AY64" i="3"/>
  <c r="AY113" i="3"/>
  <c r="AY267" i="3"/>
  <c r="AY337" i="3"/>
  <c r="AY320" i="3"/>
  <c r="AY434" i="3"/>
  <c r="AY402" i="3"/>
  <c r="AY522" i="3"/>
  <c r="AY515" i="3"/>
  <c r="AY493" i="3"/>
  <c r="AY62" i="3"/>
  <c r="AY301" i="3"/>
  <c r="AY265" i="3"/>
  <c r="AY315" i="3"/>
  <c r="AY485" i="3"/>
  <c r="AY547" i="3"/>
  <c r="AY107" i="3"/>
  <c r="AY164" i="3"/>
  <c r="AY143" i="3"/>
  <c r="AY386" i="3"/>
  <c r="AY351" i="3"/>
  <c r="AY400" i="3"/>
  <c r="AY566" i="3"/>
  <c r="D37" i="11"/>
  <c r="D14" i="12"/>
  <c r="M18" i="9"/>
  <c r="B118" i="9" s="1"/>
  <c r="B1" i="74" s="1"/>
  <c r="C17" i="4"/>
  <c r="B4" i="52" s="1"/>
  <c r="B43" i="72" s="1"/>
  <c r="D3" i="33"/>
  <c r="C39" i="43"/>
  <c r="C42" i="43"/>
  <c r="E42" i="43" s="1"/>
  <c r="C38" i="43"/>
  <c r="AA10" i="40"/>
  <c r="W10" i="40"/>
  <c r="AC10" i="39"/>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M27" i="67"/>
  <c r="F41" i="15"/>
  <c r="M27" i="15"/>
  <c r="C29" i="68" l="1"/>
  <c r="D27" i="68"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59"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37" i="3"/>
  <c r="AY47" i="3"/>
  <c r="E6" i="6"/>
  <c r="D3" i="34"/>
  <c r="D3" i="37"/>
  <c r="U10" i="39"/>
  <c r="AB10" i="39"/>
  <c r="D19" i="11"/>
  <c r="C19" i="11" s="1"/>
  <c r="D3" i="21"/>
  <c r="AY443" i="3"/>
  <c r="AY240" i="3"/>
  <c r="AY54" i="3"/>
  <c r="AY500" i="3"/>
  <c r="AY359" i="3"/>
  <c r="AY172" i="3"/>
  <c r="BP6" i="3"/>
  <c r="AY538" i="3"/>
  <c r="AY476" i="3"/>
  <c r="AY361" i="3"/>
  <c r="AY153" i="3"/>
  <c r="AY15" i="3"/>
  <c r="AY339" i="3"/>
  <c r="AY136" i="3"/>
  <c r="AY576" i="3"/>
  <c r="AY482" i="3"/>
  <c r="AY233" i="3"/>
  <c r="AY537" i="3"/>
  <c r="AY431" i="3"/>
  <c r="AY336" i="3"/>
  <c r="AY235" i="3"/>
  <c r="AY32" i="3"/>
  <c r="BD6" i="3"/>
  <c r="AY459" i="3"/>
  <c r="AY354" i="3"/>
  <c r="AY241" i="3"/>
  <c r="AY159" i="3"/>
  <c r="AY38" i="3"/>
  <c r="BL6" i="3"/>
  <c r="AY405"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534" i="3"/>
  <c r="AY430" i="3"/>
  <c r="AY317" i="3"/>
  <c r="AY295" i="3"/>
  <c r="AY73" i="3"/>
  <c r="AY392" i="3"/>
  <c r="AY283" i="3"/>
  <c r="AY185" i="3"/>
  <c r="AY77" i="3"/>
  <c r="AY549" i="3"/>
  <c r="AY327" i="3"/>
  <c r="AY106" i="3"/>
  <c r="AY209" i="3"/>
  <c r="AY160" i="3"/>
  <c r="AY236" i="3"/>
  <c r="AY188" i="3"/>
  <c r="AY23"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AY18" i="3"/>
  <c r="AY561" i="3"/>
  <c r="AY462" i="3"/>
  <c r="AY333" i="3"/>
  <c r="AY114" i="3"/>
  <c r="AY109" i="3"/>
  <c r="AY219" i="3"/>
  <c r="AY299" i="3"/>
  <c r="AY190" i="3"/>
  <c r="AY92" i="3"/>
  <c r="AY513" i="3"/>
  <c r="AY372" i="3"/>
  <c r="AY529" i="3"/>
  <c r="AY252" i="3"/>
  <c r="AY50" i="3"/>
  <c r="AY268" i="3"/>
  <c r="AY42" i="3"/>
  <c r="AY66" i="3"/>
  <c r="AB33" i="33"/>
  <c r="T48" i="33" s="1"/>
  <c r="U33" i="33"/>
  <c r="AC33" i="33"/>
  <c r="V48" i="33" s="1"/>
  <c r="I48" i="33" s="1"/>
  <c r="I52" i="33" s="1"/>
  <c r="J52" i="33" s="1"/>
  <c r="W33" i="33"/>
  <c r="R48" i="33"/>
  <c r="E48" i="33" s="1"/>
  <c r="AA33" i="33"/>
  <c r="S33" i="33"/>
  <c r="U10" i="40"/>
  <c r="C48" i="15"/>
  <c r="C66" i="15" s="1"/>
  <c r="C48" i="67"/>
  <c r="C66" i="67" s="1"/>
  <c r="F25" i="12"/>
  <c r="C26" i="12" s="1"/>
  <c r="D25" i="12" s="1"/>
  <c r="H6" i="3"/>
  <c r="E6" i="3" s="1"/>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8"/>
  <c r="C17" i="15"/>
  <c r="C17" i="67"/>
  <c r="D10" i="69"/>
  <c r="C14" i="67"/>
  <c r="C34" i="69"/>
  <c r="H22" i="6" l="1"/>
  <c r="I53" i="33"/>
  <c r="J53" i="33" s="1"/>
  <c r="H25" i="6"/>
  <c r="G48" i="33"/>
  <c r="E53" i="33" s="1"/>
  <c r="F53" i="33" s="1"/>
  <c r="R49" i="33"/>
  <c r="C49" i="33" s="1"/>
  <c r="M19" i="9"/>
  <c r="C118" i="9" s="1"/>
  <c r="B2" i="74" s="1"/>
  <c r="F41" i="68"/>
  <c r="C26" i="68"/>
  <c r="D22" i="68" s="1"/>
  <c r="C23" i="68"/>
  <c r="C44" i="11"/>
  <c r="D41" i="11"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H58" i="21"/>
  <c r="E47" i="37"/>
  <c r="F47" i="37" s="1"/>
  <c r="E46" i="37"/>
  <c r="F46" i="37" s="1"/>
  <c r="I47" i="37"/>
  <c r="J47" i="37" s="1"/>
  <c r="E52" i="33"/>
  <c r="F52" i="33" s="1"/>
  <c r="C33" i="15"/>
  <c r="C33" i="67"/>
  <c r="J19" i="67"/>
  <c r="C34" i="68"/>
  <c r="E6" i="76"/>
  <c r="C14" i="15"/>
  <c r="B6" i="76"/>
  <c r="G52" i="33" l="1"/>
  <c r="H52" i="33" s="1"/>
  <c r="G53" i="33"/>
  <c r="H53" i="3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4"/>
  <c r="L51" i="15"/>
  <c r="D2" i="36"/>
  <c r="C19" i="9"/>
  <c r="D2" i="37"/>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C20" i="9"/>
  <c r="AO11" i="1"/>
  <c r="AO12" i="1"/>
  <c r="D20" i="9"/>
  <c r="AO7" i="1"/>
  <c r="AO9" i="1"/>
  <c r="AO8" i="1"/>
  <c r="AO10" i="1"/>
  <c r="C103"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35" i="9" s="1"/>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M49" i="9" l="1"/>
  <c r="L64" i="9" s="1"/>
  <c r="M64" i="9" s="1"/>
  <c r="L63" i="9" l="1"/>
  <c r="M63" i="9" s="1"/>
  <c r="M69" i="9" s="1"/>
  <c r="N69" i="9" s="1"/>
  <c r="L66" i="9"/>
  <c r="M66" i="9" s="1"/>
  <c r="L68" i="9"/>
  <c r="M68" i="9" s="1"/>
  <c r="L65" i="9"/>
  <c r="M65" i="9" s="1"/>
  <c r="L67" i="9"/>
  <c r="M67" i="9" s="1"/>
  <c r="G118" i="9" l="1"/>
  <c r="I118" i="9"/>
  <c r="H118" i="9" s="1"/>
  <c r="H101" i="9" s="1"/>
  <c r="D5" i="53" s="1"/>
  <c r="H107" i="9" l="1"/>
  <c r="D122" i="9" s="1"/>
  <c r="G4" i="52"/>
  <c r="B52" i="72" s="1"/>
  <c r="F118" i="9"/>
  <c r="C104" i="9"/>
  <c r="H4" i="52"/>
  <c r="M48" i="9"/>
  <c r="D45" i="9"/>
  <c r="C78" i="9" s="1"/>
  <c r="C73" i="9" s="1"/>
  <c r="H119" i="9"/>
  <c r="H5" i="52" s="1"/>
  <c r="I4" i="52"/>
  <c r="E118" i="9"/>
  <c r="H102" i="9"/>
  <c r="R24" i="31" s="1"/>
  <c r="C105" i="9"/>
  <c r="D6" i="53"/>
  <c r="B22" i="72" s="1"/>
  <c r="B20" i="72"/>
  <c r="D13" i="53" l="1"/>
  <c r="S24" i="31"/>
  <c r="R25" i="31"/>
  <c r="S25" i="31" s="1"/>
  <c r="H108" i="9"/>
  <c r="C6" i="74" s="1"/>
  <c r="C85" i="9"/>
  <c r="C64" i="9"/>
  <c r="C63" i="9" s="1"/>
  <c r="C67" i="9" s="1"/>
  <c r="C68" i="9" s="1"/>
  <c r="D54" i="9" s="1"/>
  <c r="D55" i="9"/>
  <c r="M53" i="9" s="1"/>
  <c r="D53" i="9"/>
  <c r="D52" i="9"/>
  <c r="C93" i="9"/>
  <c r="C86" i="9" s="1"/>
  <c r="C72" i="9"/>
  <c r="C79" i="9" s="1"/>
  <c r="F4" i="52"/>
  <c r="B51" i="72" s="1"/>
  <c r="F119" i="9"/>
  <c r="F5" i="52" s="1"/>
  <c r="B53" i="72" s="1"/>
  <c r="E4" i="52"/>
  <c r="B48" i="72" s="1"/>
  <c r="D118" i="9"/>
  <c r="D14" i="53"/>
  <c r="B32" i="72" s="1"/>
  <c r="B30" i="72"/>
  <c r="D8" i="52"/>
  <c r="D123" i="9"/>
  <c r="D9" i="52" s="1"/>
  <c r="D7" i="53"/>
  <c r="B21" i="72" s="1"/>
  <c r="D15" i="53" l="1"/>
  <c r="B31" i="72" s="1"/>
  <c r="C95" i="9"/>
  <c r="C96" i="9" s="1"/>
  <c r="E96" i="9" s="1"/>
  <c r="E97" i="9" s="1"/>
  <c r="S22" i="31"/>
  <c r="R22" i="31" s="1"/>
  <c r="D59" i="9"/>
  <c r="M55" i="9" s="1"/>
  <c r="D119" i="9"/>
  <c r="D5" i="52" s="1"/>
  <c r="B49" i="72" s="1"/>
  <c r="D4" i="52"/>
  <c r="B47" i="72" s="1"/>
  <c r="C80" i="9"/>
  <c r="E80" i="9" s="1"/>
  <c r="E81" i="9" s="1"/>
  <c r="C97" i="9" l="1"/>
  <c r="D58" i="9" s="1"/>
  <c r="D56" i="9" s="1"/>
  <c r="M54" i="9" s="1"/>
  <c r="N57" i="9" s="1"/>
  <c r="P57" i="9" s="1"/>
  <c r="B20" i="31"/>
  <c r="B21" i="31" s="1"/>
  <c r="C81" i="9"/>
  <c r="N59" i="9" l="1"/>
  <c r="N61" i="9" s="1"/>
  <c r="N58" i="9"/>
  <c r="D14" i="74"/>
  <c r="B5" i="74" s="1"/>
  <c r="N60" i="9" l="1"/>
  <c r="F14" i="74"/>
  <c r="E14"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<sst xmlns="http://schemas.openxmlformats.org/spreadsheetml/2006/main" count="8022" uniqueCount="3532">
  <si>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</si>
  <si>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</si>
  <si>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</si>
  <si>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</si>
  <si>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</si>
  <si>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</si>
  <si>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</si>
  <si>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</si>
  <si>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</si>
  <si>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</si>
  <si>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</si>
  <si>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</si>
  <si>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</si>
  <si>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</si>
  <si>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</si>
  <si>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</si>
  <si>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</si>
  <si>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</si>
  <si>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</si>
  <si>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</si>
  <si>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</si>
  <si>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</si>
  <si>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</si>
  <si>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</si>
  <si>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</si>
  <si>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</si>
  <si>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</si>
  <si>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</si>
  <si>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</si>
  <si>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</si>
  <si>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</si>
  <si>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</si>
  <si>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</si>
  <si>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</si>
  <si>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</si>
  <si>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</si>
  <si>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</si>
  <si>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</si>
  <si>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</si>
  <si>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</si>
  <si>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</si>
  <si>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</si>
  <si>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</si>
  <si>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</si>
  <si>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</si>
  <si>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</si>
  <si>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</si>
  <si>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</si>
  <si>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</si>
  <si>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</si>
  <si>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</si>
  <si>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</si>
  <si>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</si>
  <si>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</si>
  <si>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</si>
  <si>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</si>
  <si>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</si>
  <si>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</si>
  <si>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</si>
  <si>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</si>
  <si>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</si>
  <si>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</si>
  <si>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</si>
  <si>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</si>
  <si>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</si>
  <si>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</si>
  <si>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</si>
  <si>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</si>
  <si>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</si>
  <si>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</si>
  <si>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</si>
  <si>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</si>
  <si>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</si>
  <si>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</si>
  <si>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</si>
  <si>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</si>
  <si>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</si>
  <si>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</si>
  <si>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</si>
  <si>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</si>
  <si>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</si>
  <si>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</si>
  <si>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</si>
  <si>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</si>
  <si>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</si>
  <si>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</si>
  <si>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</si>
  <si>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</si>
  <si>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</si>
  <si>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</si>
  <si>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</si>
  <si>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</si>
  <si>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</si>
  <si>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</si>
  <si>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</si>
  <si>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</si>
  <si>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</si>
  <si>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</si>
  <si>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</si>
  <si>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</si>
  <si>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</si>
  <si>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</si>
  <si>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</si>
  <si>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</si>
  <si>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</si>
  <si>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</si>
  <si>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</si>
  <si>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</si>
  <si>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</si>
  <si>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</si>
  <si>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</si>
  <si>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</si>
  <si>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</si>
  <si>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</si>
  <si>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</si>
  <si>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</si>
  <si>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</si>
  <si>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</si>
  <si>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</si>
  <si>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</si>
  <si>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</si>
  <si>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</si>
  <si>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</si>
  <si>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</si>
  <si>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</si>
  <si>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</si>
  <si>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</si>
  <si>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</si>
  <si>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</si>
  <si>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</si>
  <si>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</si>
  <si>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</si>
  <si>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</si>
  <si>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</si>
  <si>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</si>
  <si>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</si>
  <si>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</si>
  <si>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</si>
  <si>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</si>
  <si>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</si>
  <si>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</si>
  <si>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</si>
  <si>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</si>
  <si>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</si>
  <si>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</si>
  <si>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</si>
  <si>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</si>
  <si>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</si>
  <si>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</si>
  <si>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</si>
  <si>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</si>
  <si>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</si>
  <si>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</si>
  <si>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</si>
  <si>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</si>
  <si>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</si>
  <si>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</si>
  <si>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</si>
  <si>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</si>
  <si>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</si>
  <si>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</si>
  <si>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</si>
  <si>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</si>
  <si>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</si>
  <si>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</si>
  <si>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</si>
  <si>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</si>
  <si>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</si>
  <si>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</si>
  <si>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</si>
  <si>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</si>
  <si>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</si>
  <si>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</si>
  <si>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</si>
  <si>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</si>
  <si>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</si>
  <si>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</si>
  <si>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</si>
  <si>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</si>
  <si>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</si>
  <si>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</si>
  <si>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</si>
  <si>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</si>
  <si>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</si>
  <si>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</si>
  <si>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</si>
  <si>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</si>
  <si>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</si>
  <si>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</si>
  <si>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</si>
  <si>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</si>
  <si>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</si>
  <si>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</si>
  <si>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</si>
  <si>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</si>
  <si>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</si>
  <si>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</si>
  <si>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</si>
  <si>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</si>
  <si>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</si>
  <si>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</si>
  <si>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</si>
  <si>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</si>
  <si>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</si>
  <si>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</si>
  <si>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</si>
  <si>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</si>
  <si>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</si>
  <si>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</si>
  <si>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</si>
  <si>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</si>
  <si>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</si>
  <si>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</si>
  <si>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</si>
  <si>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</si>
  <si>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</si>
  <si>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</si>
  <si>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</si>
  <si>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</si>
  <si>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</si>
  <si>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</si>
  <si>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</si>
  <si>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</si>
  <si>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</si>
  <si>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</si>
  <si>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</si>
  <si>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</si>
  <si>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</si>
  <si>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</si>
  <si>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</si>
  <si>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</si>
  <si>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</si>
  <si>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</si>
  <si>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</si>
  <si>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</si>
  <si>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</si>
  <si>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</si>
  <si>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</si>
  <si>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</si>
  <si>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</si>
  <si>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</si>
  <si>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</si>
  <si>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</si>
  <si>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</si>
  <si>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</si>
  <si>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</si>
  <si>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</si>
  <si>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</si>
  <si>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</si>
  <si>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</si>
  <si>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</si>
  <si>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</si>
  <si>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</si>
  <si>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</si>
  <si>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</si>
  <si>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</si>
  <si>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</si>
  <si>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</si>
  <si>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</si>
  <si>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</si>
  <si>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</si>
  <si>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</si>
  <si>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</si>
  <si>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</si>
  <si>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</si>
  <si>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</si>
  <si>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</si>
  <si>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</si>
  <si>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</si>
  <si>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</si>
  <si>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</si>
  <si>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</si>
  <si>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</si>
  <si>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</si>
  <si>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</si>
  <si>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</si>
  <si>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</si>
  <si>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</si>
  <si>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</si>
  <si>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</si>
  <si>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</si>
  <si>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</si>
  <si>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</si>
  <si>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</si>
  <si>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</si>
  <si>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</si>
  <si>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</si>
  <si>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</si>
  <si>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</si>
  <si>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</si>
  <si>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</si>
  <si>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</si>
  <si>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</si>
  <si>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</si>
  <si>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</si>
  <si>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</si>
  <si>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</si>
  <si>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</si>
  <si>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</si>
  <si>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</si>
  <si>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</si>
  <si>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</si>
  <si>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</si>
  <si>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</si>
  <si>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</si>
  <si>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</si>
  <si>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</si>
  <si>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</si>
  <si>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</si>
  <si>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</si>
  <si>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</si>
  <si>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</si>
  <si>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</si>
  <si>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</si>
  <si>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</si>
  <si>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</si>
  <si>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</si>
  <si>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</si>
  <si>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</si>
  <si>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</si>
  <si>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</si>
  <si>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</si>
  <si>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</si>
  <si>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</si>
  <si>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</si>
  <si>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</si>
  <si>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</si>
  <si>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</si>
  <si>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</si>
  <si>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</si>
  <si>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</si>
  <si>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</si>
  <si>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</si>
  <si>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</si>
  <si>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</si>
  <si>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</si>
  <si>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</si>
  <si>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</si>
  <si>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</si>
  <si>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</si>
  <si>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</si>
  <si>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</si>
  <si>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</si>
  <si>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</si>
  <si>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</si>
  <si>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</si>
  <si>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</si>
  <si>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</si>
  <si>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</si>
  <si>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</si>
  <si>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</si>
  <si>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</si>
  <si>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</si>
  <si>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</si>
  <si>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</si>
  <si>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</si>
  <si>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</si>
  <si>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</si>
  <si>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</si>
  <si>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</si>
  <si>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</si>
  <si>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</si>
  <si>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</si>
  <si>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</si>
  <si>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</si>
  <si>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</si>
  <si>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</si>
  <si>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</si>
  <si>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</si>
  <si>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</si>
  <si>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</si>
  <si>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</si>
  <si>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</si>
  <si>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</si>
  <si>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</si>
  <si>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</si>
  <si>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</si>
  <si>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</si>
  <si>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</si>
  <si>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</si>
  <si>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</si>
  <si>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</si>
  <si>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</si>
  <si>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</si>
  <si>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</si>
  <si>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</si>
  <si>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</si>
  <si>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</si>
  <si>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</si>
  <si>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</si>
  <si>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</si>
  <si>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</si>
  <si>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</si>
  <si>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</si>
  <si>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</si>
  <si>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</si>
  <si>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</si>
  <si>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</si>
  <si>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</si>
  <si>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</si>
  <si>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</si>
  <si>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</si>
  <si>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</si>
  <si>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</si>
  <si>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</si>
  <si>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</si>
  <si>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</si>
  <si>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</si>
  <si>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</si>
  <si>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</si>
  <si>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</si>
  <si>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</si>
  <si>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</si>
  <si>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</si>
  <si>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</si>
  <si>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</si>
  <si>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</si>
  <si>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</si>
  <si>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</si>
  <si>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</si>
  <si>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</si>
  <si>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</si>
  <si>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</si>
  <si>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</si>
  <si>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</si>
  <si>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</si>
  <si>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</si>
  <si>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</si>
  <si>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</si>
  <si>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</si>
  <si>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</si>
  <si>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</si>
  <si>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</si>
  <si>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</si>
  <si>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</si>
  <si>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</si>
  <si>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</si>
  <si>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</si>
  <si>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</si>
  <si>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</si>
  <si>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</si>
  <si>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</si>
  <si>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</si>
  <si>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</si>
  <si>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</si>
  <si>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</si>
  <si>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</si>
  <si>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</si>
  <si>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</si>
  <si>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</si>
  <si>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</si>
  <si>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</si>
  <si>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</si>
  <si>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</si>
  <si>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</si>
  <si>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</si>
  <si>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</si>
  <si>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</si>
  <si>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</si>
  <si>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</si>
  <si>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</si>
  <si>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</si>
  <si>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</si>
  <si>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</si>
  <si>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</si>
  <si>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</si>
  <si>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</si>
  <si>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</si>
  <si>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</si>
  <si>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</si>
  <si>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</si>
  <si>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</si>
  <si>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</si>
  <si>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</si>
  <si>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</si>
  <si>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</si>
  <si>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</si>
  <si>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</si>
  <si>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</si>
  <si>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</si>
  <si>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</si>
  <si>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</si>
  <si>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</si>
  <si>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</si>
  <si>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</si>
  <si>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</si>
  <si>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</si>
  <si>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</si>
  <si>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</si>
  <si>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</si>
  <si>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</si>
  <si>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</si>
  <si>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</si>
  <si>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</si>
  <si>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</si>
  <si>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</si>
  <si>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</si>
  <si>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</si>
  <si>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</si>
  <si>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</si>
  <si>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</si>
  <si>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</si>
  <si>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</si>
  <si>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</si>
  <si>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</si>
  <si>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</si>
  <si>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</si>
  <si>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</si>
  <si>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</si>
  <si>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</si>
  <si>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</si>
  <si>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</si>
  <si>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</si>
  <si>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</si>
  <si>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</si>
  <si>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</si>
  <si>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</si>
  <si>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</si>
  <si>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</si>
  <si>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</si>
  <si>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</si>
  <si>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</si>
  <si>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</si>
  <si>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</si>
  <si>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</si>
  <si>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</si>
  <si>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</si>
  <si>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</si>
  <si>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</si>
  <si>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</si>
  <si>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</si>
  <si>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</si>
  <si>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</si>
  <si>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</si>
  <si>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</si>
  <si>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</si>
  <si>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</si>
  <si>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</si>
  <si>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</si>
  <si>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</si>
  <si>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</si>
  <si>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</si>
  <si>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</si>
  <si>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</si>
  <si>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</si>
  <si>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</si>
  <si>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</si>
  <si>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</si>
  <si>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</si>
  <si>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</si>
  <si>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</si>
  <si>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</si>
  <si>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</si>
  <si>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</si>
  <si>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</si>
  <si>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</si>
  <si>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</si>
  <si>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</si>
  <si>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</si>
  <si>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</si>
  <si>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</si>
  <si>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</si>
  <si>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</si>
  <si>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</si>
  <si>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</si>
  <si>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</si>
  <si>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</si>
  <si>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</si>
  <si>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</si>
  <si>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</si>
  <si>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</si>
  <si>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</si>
  <si>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</si>
  <si>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</si>
  <si>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</si>
  <si>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</si>
  <si>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</si>
  <si>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</si>
  <si>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</si>
  <si>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</si>
  <si>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</si>
  <si>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</si>
  <si>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</si>
  <si>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</si>
  <si>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</si>
  <si>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</si>
  <si>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</si>
  <si>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</si>
  <si>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</si>
  <si>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</si>
  <si>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</si>
  <si>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</si>
  <si>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</si>
  <si>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</si>
  <si>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</si>
  <si>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</si>
  <si>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</si>
  <si>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</si>
  <si>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</si>
  <si>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</si>
  <si>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</si>
  <si>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</si>
  <si>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</si>
  <si>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</si>
  <si>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</si>
  <si>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</si>
  <si>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</si>
  <si>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</si>
  <si>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</si>
  <si>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</si>
  <si>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</si>
  <si>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</si>
  <si>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</si>
  <si>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</si>
  <si>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</si>
  <si>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</si>
  <si>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</si>
  <si>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</si>
  <si>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</si>
  <si>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</si>
  <si>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</si>
  <si>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</si>
  <si>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</si>
  <si>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</si>
  <si>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</si>
  <si>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</si>
  <si>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</si>
  <si>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</si>
  <si>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</si>
  <si>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</si>
  <si>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</si>
  <si>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</si>
  <si>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</si>
  <si>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</si>
  <si>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</si>
  <si>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</si>
  <si>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</si>
  <si>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</si>
  <si>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</si>
  <si>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</si>
  <si>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</si>
  <si>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</si>
  <si>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</si>
  <si>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</si>
  <si>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</si>
  <si>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</si>
  <si>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</si>
  <si>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</si>
  <si>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</si>
  <si>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</si>
  <si>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</si>
  <si>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</si>
  <si>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</si>
  <si>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</si>
  <si>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</si>
  <si>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</si>
  <si>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</si>
  <si>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</si>
  <si>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</si>
  <si>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</si>
  <si>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</si>
  <si>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</si>
  <si>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</si>
  <si>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</si>
  <si>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</si>
  <si>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</si>
  <si>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</si>
  <si>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</si>
  <si>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</si>
  <si>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</si>
  <si>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</si>
  <si>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</si>
  <si>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</si>
  <si>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</si>
  <si>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</si>
  <si>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</si>
  <si>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</si>
  <si>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</si>
  <si>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</si>
  <si>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</si>
  <si>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</si>
  <si>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</si>
  <si>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</si>
  <si>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</si>
  <si>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</si>
  <si>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</si>
  <si>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</si>
  <si>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</si>
  <si>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</si>
  <si>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</si>
  <si>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</si>
  <si>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</si>
  <si>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</si>
  <si>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</si>
  <si>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</si>
  <si>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</si>
  <si>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</si>
  <si>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</si>
  <si>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</si>
  <si>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</si>
  <si>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</si>
  <si>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</si>
  <si>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</si>
  <si>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</si>
  <si>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</si>
  <si>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</si>
  <si>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</si>
  <si>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</si>
  <si>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</si>
  <si>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</si>
  <si>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</si>
  <si>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</si>
  <si>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</si>
  <si>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</si>
  <si>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</si>
  <si>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</si>
  <si>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</si>
  <si>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</si>
  <si>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</si>
  <si>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</si>
  <si>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</si>
  <si>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</si>
  <si>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</si>
  <si>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</si>
  <si>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</si>
  <si>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</si>
  <si>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</si>
  <si>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</si>
  <si>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</si>
  <si>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</si>
  <si>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</si>
  <si>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</si>
  <si>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</si>
  <si>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</si>
  <si>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</si>
  <si>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</si>
  <si>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</si>
  <si>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</si>
  <si>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</si>
  <si>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</si>
  <si>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</si>
  <si>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</si>
  <si>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</si>
  <si>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</si>
  <si>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</si>
  <si>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</si>
  <si>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</si>
  <si>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</si>
  <si>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</si>
  <si>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</si>
  <si>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</si>
  <si>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</si>
  <si>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</si>
  <si>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</si>
  <si>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</si>
  <si>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</si>
  <si>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</si>
  <si>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</si>
  <si>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</si>
  <si>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</si>
  <si>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</si>
  <si>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</si>
  <si>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</si>
  <si>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</si>
  <si>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</si>
  <si>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</si>
  <si>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</si>
  <si>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</si>
  <si>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</si>
  <si>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</si>
  <si>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</si>
  <si>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</si>
  <si>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</si>
  <si>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</si>
  <si>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</si>
  <si>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</si>
  <si>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</si>
  <si>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</si>
  <si>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</si>
  <si>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</si>
  <si>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</si>
  <si>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</si>
  <si>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</si>
  <si>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</si>
  <si>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</si>
  <si>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</si>
  <si>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</si>
  <si>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</si>
  <si>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</si>
  <si>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</si>
  <si>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</si>
  <si>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</si>
  <si>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</si>
  <si>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</si>
  <si>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</si>
  <si>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</si>
  <si>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</si>
  <si>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</si>
  <si>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</si>
  <si>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</si>
  <si>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</si>
  <si>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</si>
  <si>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</si>
  <si>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</si>
  <si>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</si>
  <si>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</si>
  <si>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</si>
  <si>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</si>
  <si>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</si>
  <si>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</si>
  <si>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</si>
  <si>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</si>
  <si>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</si>
  <si>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</si>
  <si>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</si>
  <si>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</si>
  <si>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</si>
  <si>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</si>
  <si>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</si>
  <si>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</si>
  <si>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</si>
  <si>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</si>
  <si>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</si>
  <si>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</si>
  <si>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</si>
  <si>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</si>
  <si>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</si>
  <si>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</si>
  <si>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</si>
  <si>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</si>
  <si>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</si>
  <si>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</si>
  <si>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</si>
  <si>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</si>
  <si>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</si>
  <si>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</si>
  <si>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</si>
  <si>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</si>
  <si>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</si>
  <si>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</si>
  <si>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</si>
  <si>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</si>
  <si>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</si>
  <si>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</si>
  <si>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</si>
  <si>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</si>
  <si>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</si>
  <si>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</si>
  <si>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</si>
  <si>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</si>
  <si>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</si>
  <si>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</si>
  <si>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</si>
  <si>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</si>
  <si>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</si>
  <si>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</si>
  <si>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</si>
  <si>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</si>
  <si>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</si>
  <si>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</si>
  <si>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</si>
  <si>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</si>
  <si>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</si>
  <si>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</si>
  <si>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</si>
  <si>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</si>
  <si>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</si>
  <si>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</si>
  <si>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</si>
  <si>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</si>
  <si>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</si>
  <si>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</si>
  <si>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</si>
  <si>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</si>
  <si>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</si>
  <si>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</si>
  <si>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</si>
  <si>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</si>
  <si>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</si>
  <si>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</si>
  <si>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</si>
  <si>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</si>
  <si>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</si>
  <si>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</si>
  <si>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</si>
  <si>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</si>
  <si>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</si>
  <si>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</si>
  <si>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</si>
  <si>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</si>
  <si>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</si>
  <si>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</si>
  <si>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</si>
  <si>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</si>
  <si>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</si>
  <si>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</si>
  <si>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</si>
  <si>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</si>
  <si>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</si>
  <si>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</si>
  <si>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</si>
  <si>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</si>
  <si>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</si>
  <si>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</si>
  <si>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</si>
  <si>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</si>
  <si>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</si>
  <si>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</si>
  <si>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</si>
  <si>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</si>
  <si>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</si>
  <si>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</si>
  <si>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</si>
  <si>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</si>
  <si>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</si>
  <si>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</si>
  <si>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</si>
  <si>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</si>
  <si>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</si>
  <si>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</si>
  <si>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</si>
  <si>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</si>
  <si>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</si>
  <si>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</si>
  <si>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</si>
  <si>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</si>
  <si>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</si>
  <si>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</si>
  <si>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</si>
  <si>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</si>
  <si>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</si>
  <si>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</si>
  <si>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</si>
  <si>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</si>
  <si>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</si>
  <si>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</si>
  <si>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</si>
  <si>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</si>
  <si>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</si>
  <si>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</si>
  <si>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</si>
  <si>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</si>
  <si>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</si>
  <si>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</si>
  <si>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</si>
  <si>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</si>
  <si>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</si>
  <si>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</si>
  <si>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</si>
  <si>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</si>
  <si>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</si>
  <si>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</si>
  <si>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</si>
  <si>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</si>
  <si>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</si>
  <si>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</si>
  <si>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</si>
  <si>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</si>
  <si>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</si>
  <si>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</si>
  <si>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</si>
  <si>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</si>
  <si>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</si>
  <si>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</si>
  <si>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</si>
  <si>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</si>
  <si>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</si>
  <si>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</si>
  <si>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</si>
  <si>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</si>
  <si>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</si>
  <si>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</si>
  <si>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</si>
  <si>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</si>
  <si>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</si>
  <si>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</si>
  <si>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</si>
  <si>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</si>
  <si>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</si>
  <si>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</si>
  <si>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</si>
  <si>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</si>
  <si>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</si>
  <si>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</si>
  <si>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</si>
  <si>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</si>
  <si>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</si>
  <si>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</si>
  <si>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</si>
  <si>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</si>
  <si>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</si>
  <si>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</si>
  <si>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</si>
  <si>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</si>
  <si>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</si>
  <si>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</si>
  <si>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</si>
  <si>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</si>
  <si>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</si>
  <si>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</si>
  <si>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</si>
  <si>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</si>
  <si>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</si>
  <si>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</si>
  <si>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</si>
  <si>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</si>
  <si>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</si>
  <si>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</si>
  <si>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</si>
  <si>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</si>
  <si>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</si>
  <si>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</si>
  <si>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</si>
  <si>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</si>
  <si>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</si>
  <si>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</si>
  <si>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</si>
  <si>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</si>
  <si>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</si>
  <si>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</si>
  <si>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</si>
  <si>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</si>
  <si>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</si>
  <si>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</si>
  <si>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</si>
  <si>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</si>
  <si>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</si>
  <si>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</si>
  <si>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</si>
  <si>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</si>
  <si>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</si>
  <si>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</si>
  <si>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</si>
  <si>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</si>
  <si>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</si>
  <si>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</si>
  <si>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</si>
  <si>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</si>
  <si>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</si>
  <si>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</si>
  <si>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</si>
  <si>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</si>
  <si>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</si>
  <si>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</si>
  <si>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</si>
  <si>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</si>
  <si>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</si>
  <si>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</si>
  <si>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</si>
  <si>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</si>
  <si>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</si>
  <si>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</si>
  <si>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</si>
  <si>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</si>
  <si>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</si>
  <si>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</si>
  <si>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</si>
  <si>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</si>
  <si>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</si>
  <si>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</si>
  <si>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</si>
  <si>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</si>
  <si>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</si>
  <si>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</si>
  <si>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</si>
  <si>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</si>
  <si>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</si>
  <si>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</si>
  <si>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</si>
  <si>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</si>
  <si>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</si>
  <si>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</si>
  <si>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</si>
  <si>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</si>
  <si>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</si>
  <si>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</si>
  <si>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</si>
  <si>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</si>
  <si>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</si>
  <si>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</si>
  <si>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</si>
  <si>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</si>
  <si>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</si>
  <si>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</si>
  <si>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</si>
  <si>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</si>
  <si>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</si>
  <si>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</si>
  <si>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</si>
  <si>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</si>
  <si>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</si>
  <si>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</si>
  <si>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</si>
  <si>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</si>
  <si>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</si>
  <si>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</si>
  <si>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</si>
  <si>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</si>
  <si>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</si>
  <si>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</si>
  <si>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</si>
  <si>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</si>
  <si>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</si>
  <si>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</si>
  <si>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</si>
  <si>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</si>
  <si>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</si>
  <si>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</si>
  <si>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</si>
  <si>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</si>
  <si>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</si>
  <si>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</si>
  <si>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</si>
  <si>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</si>
  <si>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</si>
  <si>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</si>
  <si>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</si>
  <si>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</si>
  <si>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</si>
  <si>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</si>
  <si>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</si>
  <si>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</si>
  <si>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</si>
  <si>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</si>
  <si>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</si>
  <si>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</si>
  <si>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</si>
  <si>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</si>
  <si>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</si>
  <si>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</si>
  <si>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</si>
  <si>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</si>
  <si>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</si>
  <si>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</si>
  <si>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</si>
  <si>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</si>
  <si>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</si>
  <si>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</si>
  <si>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</si>
  <si>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</si>
  <si>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</si>
  <si>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</si>
  <si>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</si>
  <si>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</si>
  <si>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</si>
  <si>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</si>
  <si>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</si>
  <si>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</si>
  <si>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</si>
  <si>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</si>
  <si>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</si>
  <si>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</si>
  <si>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</si>
  <si>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</si>
  <si>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</si>
  <si>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</si>
  <si>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</si>
  <si>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</si>
  <si>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</si>
  <si>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</si>
  <si>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</si>
  <si>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</si>
  <si>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</si>
  <si>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</si>
  <si>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</si>
  <si>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</si>
  <si>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</si>
  <si>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</si>
  <si>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</si>
  <si>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</si>
  <si>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</si>
  <si>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</si>
  <si>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</si>
  <si>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</si>
  <si>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</si>
  <si>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</si>
  <si>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</si>
  <si>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</si>
  <si>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</si>
  <si>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</si>
  <si>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</si>
  <si>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</si>
  <si>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</si>
  <si>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</si>
  <si>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</si>
  <si>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</si>
  <si>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</si>
  <si>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</si>
  <si>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</si>
  <si>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</si>
  <si>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</si>
  <si>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</si>
  <si>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</si>
  <si>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</si>
  <si>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</si>
  <si>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</si>
  <si>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</si>
  <si>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</si>
  <si>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</si>
  <si>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</si>
  <si>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</si>
  <si>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</si>
  <si>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</si>
  <si>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</si>
  <si>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</si>
  <si>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</si>
  <si>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</si>
  <si>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</si>
  <si>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</si>
  <si>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</si>
  <si>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</si>
  <si>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</si>
  <si>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</si>
  <si>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</si>
  <si>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</si>
  <si>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</si>
  <si>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</si>
  <si>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</si>
  <si>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</si>
  <si>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</si>
  <si>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</si>
  <si>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</si>
  <si>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</si>
  <si>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</si>
  <si>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</si>
  <si>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</si>
  <si>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</si>
  <si>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</si>
  <si>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</si>
  <si>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</si>
  <si>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</si>
  <si>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</si>
  <si>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</si>
  <si>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</si>
  <si>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</si>
  <si>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</si>
  <si>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</si>
  <si>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</si>
  <si>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</si>
  <si>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</si>
  <si>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</si>
  <si>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</si>
  <si>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</si>
  <si>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</si>
  <si>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</si>
  <si>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</si>
  <si>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</si>
  <si>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</si>
  <si>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</si>
  <si>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</si>
  <si>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</si>
  <si>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</si>
  <si>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</si>
  <si>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</si>
  <si>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</si>
  <si>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</si>
  <si>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</si>
  <si>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</si>
  <si>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</si>
  <si>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</si>
  <si>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</si>
  <si>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</si>
  <si>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</si>
  <si>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</si>
  <si>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</si>
  <si>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</si>
  <si>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</si>
  <si>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</si>
  <si>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</si>
  <si>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</si>
  <si>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</si>
  <si>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</si>
  <si>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</si>
  <si>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</si>
  <si>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</si>
  <si>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</si>
  <si>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</si>
  <si>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</si>
  <si>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</si>
  <si>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</si>
  <si>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</si>
  <si>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</si>
  <si>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</si>
  <si>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</si>
  <si>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</si>
  <si>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</si>
  <si>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</si>
  <si>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</si>
  <si>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</si>
  <si>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</si>
  <si>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</si>
  <si>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</si>
  <si>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</si>
  <si>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</si>
  <si>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</si>
  <si>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</si>
  <si>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</si>
  <si>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</si>
  <si>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</si>
  <si>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</si>
  <si>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</si>
  <si>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</si>
  <si>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</si>
  <si>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</si>
  <si>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</si>
  <si>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</si>
  <si>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</si>
  <si>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</si>
  <si>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</si>
  <si>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</si>
  <si>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</si>
  <si>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</si>
  <si>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</si>
  <si>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</si>
  <si>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</si>
  <si>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</si>
  <si>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</si>
  <si>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</si>
  <si>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</si>
  <si>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</si>
  <si>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</si>
  <si>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</si>
  <si>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</si>
  <si>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</si>
  <si>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</si>
  <si>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</si>
  <si>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</si>
  <si>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</si>
  <si>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</si>
  <si>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</si>
  <si>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</si>
  <si>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</si>
  <si>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</si>
  <si>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</si>
  <si>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</si>
  <si>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</si>
  <si>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</si>
  <si>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</si>
  <si>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</si>
  <si>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</si>
  <si>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</si>
  <si>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</si>
  <si>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</si>
  <si>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</si>
  <si>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</si>
  <si>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</si>
  <si>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</si>
  <si>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</si>
  <si>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</si>
  <si>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</si>
  <si>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</si>
  <si>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</si>
  <si>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</si>
  <si>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</si>
  <si>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</si>
  <si>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</si>
  <si>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</si>
  <si>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</si>
  <si>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</si>
  <si>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</si>
  <si>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</si>
  <si>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</si>
  <si>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</si>
  <si>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</si>
  <si>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</si>
  <si>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</si>
  <si>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</si>
  <si>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</si>
  <si>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</si>
  <si>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</si>
  <si>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</si>
  <si>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</si>
  <si>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</si>
  <si>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</si>
  <si>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</si>
  <si>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</si>
  <si>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</si>
  <si>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</si>
  <si>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</si>
  <si>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</si>
  <si>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</si>
  <si>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</si>
  <si>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</si>
  <si>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</si>
  <si>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</si>
  <si>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</si>
  <si>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</si>
  <si>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</si>
  <si>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</si>
  <si>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</si>
  <si>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</si>
  <si>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</si>
  <si>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</si>
  <si>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</si>
  <si>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</si>
  <si>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</si>
  <si>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</si>
  <si>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</si>
  <si>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</si>
  <si>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</si>
  <si>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</si>
  <si>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</si>
  <si>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</si>
  <si>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</si>
  <si>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</si>
  <si>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</si>
  <si>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</si>
  <si>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</si>
  <si>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</si>
  <si>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</si>
  <si>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</si>
  <si>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</si>
  <si>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</si>
  <si>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</si>
  <si>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</si>
  <si>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</si>
  <si>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</si>
  <si>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</si>
  <si>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</si>
  <si>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</si>
  <si>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</si>
  <si>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</si>
  <si>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</si>
  <si>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</si>
  <si>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</si>
  <si>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</si>
  <si>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</si>
  <si>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</si>
  <si>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</si>
  <si>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</si>
  <si>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</si>
  <si>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</si>
  <si>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</si>
  <si>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</si>
  <si>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</si>
  <si>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</si>
  <si>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</si>
  <si>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</si>
  <si>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</si>
  <si>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</si>
  <si>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</si>
  <si>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</si>
  <si>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</si>
  <si>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</si>
  <si>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</si>
  <si>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</si>
  <si>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</si>
  <si>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</si>
  <si>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</si>
  <si>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</si>
  <si>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</si>
  <si>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</si>
  <si>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</si>
  <si>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</si>
  <si>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</si>
  <si>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</si>
  <si>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</si>
  <si>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</si>
  <si>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</si>
  <si>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</si>
  <si>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</si>
  <si>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</si>
  <si>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</si>
  <si>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</si>
  <si>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</si>
  <si>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</si>
  <si>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</si>
  <si>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</si>
  <si>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</si>
  <si>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</si>
  <si>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</si>
  <si>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</si>
  <si>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</si>
  <si>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</si>
  <si>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</si>
  <si>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</si>
  <si>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</si>
  <si>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</si>
  <si>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</si>
  <si>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</si>
  <si>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</si>
  <si>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</si>
  <si>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</si>
  <si>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</si>
  <si>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</si>
  <si>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</si>
  <si>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</si>
  <si>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</si>
  <si>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</si>
  <si>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</si>
  <si>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</si>
  <si>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</si>
  <si>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</si>
  <si>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</si>
  <si>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</si>
  <si>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</si>
  <si>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</si>
  <si>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</si>
  <si>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</si>
  <si>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</si>
  <si>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</si>
  <si>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</si>
  <si>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</si>
  <si>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</si>
  <si>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</si>
  <si>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</si>
  <si>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</si>
  <si>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</si>
  <si>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</si>
  <si>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</si>
  <si>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</si>
  <si>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</si>
  <si>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</si>
  <si>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</si>
  <si>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</si>
  <si>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</si>
  <si>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</si>
  <si>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</si>
  <si>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</si>
  <si>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</si>
  <si>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</si>
  <si>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</si>
  <si>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</si>
  <si>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</si>
  <si>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</si>
  <si>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</si>
  <si>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</si>
  <si>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</si>
  <si>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</si>
  <si>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</si>
  <si>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</si>
  <si>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</si>
  <si>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</si>
  <si>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</si>
  <si>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</si>
  <si>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</si>
  <si>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</si>
  <si>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</si>
  <si>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</si>
  <si>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</si>
  <si>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</si>
  <si>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</si>
  <si>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</si>
  <si>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</si>
  <si>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</si>
  <si>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</si>
  <si>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</si>
  <si>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</si>
  <si>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</si>
  <si>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</si>
  <si>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</si>
  <si>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</si>
  <si>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</si>
  <si>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</si>
  <si>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</si>
  <si>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</si>
  <si>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</si>
  <si>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</si>
  <si>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</si>
  <si>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</si>
  <si>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</si>
  <si>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</si>
  <si>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</si>
  <si>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</si>
  <si>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</si>
  <si>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</si>
  <si>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</si>
  <si>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</si>
  <si>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</si>
  <si>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</si>
  <si>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</si>
  <si>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</si>
  <si>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</si>
  <si>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</si>
  <si>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</si>
  <si>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</si>
  <si>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</si>
  <si>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</si>
  <si>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</si>
  <si>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</si>
  <si>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</si>
  <si>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</si>
  <si>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</si>
  <si>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</si>
  <si>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</si>
  <si>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</si>
  <si>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</si>
  <si>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</si>
  <si>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</si>
  <si>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</si>
  <si>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</si>
  <si>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</si>
  <si>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</si>
  <si>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</si>
  <si>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</si>
  <si>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</si>
  <si>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</si>
  <si>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</si>
  <si>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</si>
  <si>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</si>
  <si>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</si>
  <si>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</si>
  <si>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</si>
  <si>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</si>
  <si>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</si>
  <si>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</si>
  <si>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</si>
  <si>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</si>
  <si>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</si>
  <si>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</si>
  <si>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</si>
  <si>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</si>
  <si>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</si>
  <si>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</si>
  <si>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</si>
  <si>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</si>
  <si>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</si>
  <si>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</si>
  <si>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</si>
  <si>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</si>
  <si>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</si>
  <si>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</si>
  <si>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</si>
  <si>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</si>
  <si>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</si>
  <si>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</si>
  <si>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</si>
  <si>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</si>
  <si>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</si>
  <si>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</si>
  <si>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</si>
  <si>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</si>
  <si>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</si>
  <si>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</si>
  <si>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</si>
  <si>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</si>
  <si>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</si>
  <si>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</si>
  <si>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</si>
  <si>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</si>
  <si>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</si>
  <si>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</si>
  <si>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</si>
  <si>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</si>
  <si>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</si>
  <si>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</si>
  <si>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</si>
  <si>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</si>
  <si>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</si>
  <si>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</si>
  <si>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</si>
  <si>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</si>
  <si>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</si>
  <si>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</si>
  <si>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</si>
  <si>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</si>
  <si>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</si>
  <si>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</si>
  <si>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</si>
  <si>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</si>
  <si>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</si>
  <si>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</si>
  <si>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</si>
  <si>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</si>
  <si>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</si>
  <si>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</si>
  <si>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</si>
  <si>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</si>
  <si>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</si>
  <si>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</si>
  <si>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</si>
  <si>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</si>
  <si>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</si>
  <si>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</si>
  <si>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</si>
  <si>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</si>
  <si>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</si>
  <si>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</si>
  <si>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</si>
  <si>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</si>
  <si>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</si>
  <si>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</si>
  <si>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</si>
  <si>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</si>
  <si>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</si>
  <si>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</si>
  <si>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</si>
  <si>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</si>
  <si>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</si>
  <si>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</si>
  <si>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</si>
  <si>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</si>
  <si>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</si>
  <si>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</si>
  <si>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</si>
  <si>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</si>
  <si>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</si>
  <si>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</si>
  <si>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</si>
  <si>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</si>
  <si>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</si>
  <si>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</si>
  <si>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</si>
  <si>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</si>
  <si>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</si>
  <si>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</si>
  <si>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</si>
  <si>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</si>
  <si>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</si>
  <si>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</si>
  <si>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</si>
  <si>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</si>
  <si>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</si>
  <si>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</si>
  <si>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</si>
  <si>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</si>
  <si>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</si>
  <si>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</si>
  <si>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</si>
  <si>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</si>
  <si>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</si>
  <si>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</si>
  <si>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</si>
  <si>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</si>
  <si>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</si>
  <si>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</si>
  <si>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</si>
  <si>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</si>
  <si>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</si>
  <si>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</si>
  <si>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</si>
  <si>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</si>
  <si>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</si>
  <si>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</si>
  <si>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</si>
  <si>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</si>
  <si>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</si>
  <si>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</si>
  <si>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</si>
  <si>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</si>
  <si>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</si>
  <si>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</si>
  <si>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</si>
  <si>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</si>
  <si>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</si>
  <si>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</si>
  <si>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</si>
  <si>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</si>
  <si>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</si>
  <si>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</si>
  <si>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</si>
  <si>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</si>
  <si>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</si>
  <si>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</si>
  <si>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</si>
  <si>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</si>
  <si>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</si>
  <si>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</si>
  <si>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</si>
  <si>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</si>
  <si>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</si>
  <si>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</si>
  <si>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</si>
  <si>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</si>
  <si>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</si>
  <si>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</si>
  <si>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</si>
  <si>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</si>
  <si>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</si>
  <si>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</si>
  <si>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</si>
  <si>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</si>
  <si>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</si>
  <si>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</si>
  <si>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</si>
  <si>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</si>
  <si>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</si>
  <si>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</si>
  <si>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</si>
  <si>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</si>
  <si>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</si>
  <si>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</si>
  <si>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</si>
  <si>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</si>
  <si>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</si>
  <si>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</si>
  <si>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</si>
  <si>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</si>
  <si>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</si>
  <si>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</si>
  <si>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</si>
  <si>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</si>
  <si>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</si>
  <si>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</si>
  <si>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</si>
  <si>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</si>
  <si>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</si>
  <si>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</si>
  <si>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</si>
  <si>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</si>
  <si>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</si>
  <si>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</si>
  <si>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</si>
  <si>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</si>
  <si>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</si>
  <si>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</si>
  <si>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</si>
  <si>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</si>
  <si>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</si>
  <si>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</si>
  <si>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</si>
  <si>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</si>
  <si>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</si>
  <si>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</si>
  <si>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</si>
  <si>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</si>
  <si>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</si>
  <si>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</si>
  <si>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</si>
  <si>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</si>
  <si>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</si>
  <si>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</si>
  <si>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</si>
  <si>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</si>
  <si>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</si>
  <si>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</si>
  <si>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</si>
  <si>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</si>
  <si>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</si>
  <si>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</si>
  <si>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</si>
  <si>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</si>
  <si>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</si>
  <si>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</si>
  <si>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</si>
  <si>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</si>
  <si>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</si>
  <si>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</si>
  <si>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</si>
  <si>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</si>
  <si>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</si>
  <si>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</si>
  <si>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</si>
  <si>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</si>
  <si>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</si>
  <si>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</si>
  <si>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</si>
  <si>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</si>
  <si>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</si>
  <si>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</si>
  <si>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</si>
  <si>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</si>
  <si>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</si>
  <si>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</si>
  <si>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</si>
  <si>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</si>
  <si>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</si>
  <si>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</si>
  <si>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</si>
  <si>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</si>
  <si>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</si>
  <si>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</si>
  <si>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</si>
  <si>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</si>
  <si>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</si>
  <si>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</si>
  <si>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</si>
  <si>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</si>
  <si>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</si>
  <si>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</si>
  <si>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</si>
  <si>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</si>
  <si>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</si>
  <si>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</si>
  <si>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</si>
  <si>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</si>
  <si>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</si>
  <si>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</si>
  <si>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</si>
  <si>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</si>
  <si>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</si>
  <si>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</si>
  <si>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</si>
  <si>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</si>
  <si>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</si>
  <si>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</si>
  <si>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</si>
  <si>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</si>
  <si>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</si>
  <si>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</si>
  <si>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</si>
  <si>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</si>
  <si>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</si>
  <si>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</si>
  <si>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</si>
  <si>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</si>
  <si>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</si>
  <si>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</si>
  <si>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</si>
  <si>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</si>
  <si>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</si>
  <si>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</si>
  <si>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</si>
  <si>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</si>
  <si>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</si>
  <si>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</si>
  <si>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</si>
  <si>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</si>
  <si>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</si>
  <si>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</si>
  <si>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</si>
  <si>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</si>
  <si>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</si>
  <si>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</si>
  <si>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</si>
  <si>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</si>
  <si>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</si>
  <si>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</si>
  <si>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</si>
  <si>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</si>
  <si>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</si>
  <si>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</si>
  <si>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</si>
  <si>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</si>
  <si>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</si>
  <si>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</si>
  <si>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</si>
  <si>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</si>
  <si>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</si>
  <si>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</si>
  <si>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</si>
  <si>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</si>
  <si>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</si>
  <si>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</si>
  <si>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</si>
  <si>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</si>
  <si>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</si>
  <si>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</si>
  <si>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</si>
  <si>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</si>
  <si>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</si>
  <si>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</si>
  <si>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</si>
  <si>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</si>
  <si>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</si>
  <si>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</si>
  <si>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</si>
  <si>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</si>
  <si>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</si>
  <si>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</si>
  <si>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</si>
  <si>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</si>
  <si>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</si>
  <si>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</si>
  <si>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</si>
  <si>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</si>
  <si>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</si>
  <si>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</si>
  <si>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</si>
  <si>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</si>
  <si>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</si>
  <si>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</si>
  <si>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</si>
  <si>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</si>
  <si>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</si>
  <si>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</si>
  <si>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</si>
  <si>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</si>
  <si>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</si>
  <si>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</si>
  <si>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</si>
  <si>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</si>
  <si>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</si>
  <si>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</si>
  <si>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</si>
  <si>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</si>
  <si>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</si>
  <si>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</si>
  <si>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</si>
  <si>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</si>
  <si>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</si>
  <si>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</si>
  <si>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</si>
  <si>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</si>
  <si>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</si>
  <si>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</si>
  <si>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</si>
  <si>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</si>
  <si>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</si>
  <si>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</si>
  <si>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</si>
  <si>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</si>
  <si>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</si>
  <si>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</si>
  <si>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</si>
  <si>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</si>
  <si>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</si>
  <si>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</si>
  <si>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</si>
  <si>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</si>
  <si>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</si>
  <si>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</si>
  <si>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</si>
  <si>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</si>
  <si>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</si>
  <si>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</si>
  <si>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</si>
  <si>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</si>
  <si>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</si>
  <si>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</si>
  <si>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</si>
  <si>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</si>
  <si>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</si>
  <si>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</si>
  <si>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</si>
  <si>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</si>
  <si>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</si>
  <si>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</si>
  <si>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</si>
  <si>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</si>
  <si>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</si>
  <si>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</si>
  <si>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</si>
  <si>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</si>
  <si>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</si>
  <si>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</si>
  <si>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</si>
  <si>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</si>
  <si>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</si>
  <si>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</si>
  <si>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</si>
  <si>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</si>
  <si>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</si>
  <si>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</si>
  <si>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</si>
  <si>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</si>
  <si>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</si>
  <si>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</si>
  <si>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</si>
  <si>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</si>
  <si>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</si>
  <si>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</si>
  <si>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</si>
  <si>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</si>
  <si>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</si>
  <si>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</si>
  <si>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</si>
  <si>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</si>
  <si>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</si>
  <si>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</si>
  <si>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</si>
  <si>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</si>
  <si>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</si>
  <si>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</si>
  <si>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</si>
  <si>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</si>
  <si>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</si>
  <si>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</si>
  <si>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</si>
  <si>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</si>
  <si>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</si>
  <si>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</si>
  <si>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</si>
  <si>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</si>
  <si>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</si>
  <si>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</si>
  <si>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</si>
  <si>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</si>
  <si>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</si>
  <si>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</si>
  <si>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</si>
  <si>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</si>
  <si>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</si>
  <si>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</si>
  <si>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</si>
  <si>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</si>
  <si>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</si>
  <si>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</si>
  <si>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</si>
  <si>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</si>
  <si>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</si>
  <si>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</si>
  <si>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</si>
  <si>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</si>
  <si>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</si>
  <si>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</si>
  <si>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</si>
  <si>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</si>
  <si>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</si>
  <si>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</si>
  <si>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</si>
  <si>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</si>
  <si>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</si>
  <si>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</si>
  <si>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</si>
  <si>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</si>
  <si>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</si>
  <si>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</si>
  <si>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</si>
  <si>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</si>
  <si>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</si>
  <si>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</si>
  <si>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</si>
  <si>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</si>
  <si>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</si>
  <si>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</si>
  <si>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</si>
  <si>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</si>
  <si>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</si>
  <si>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</si>
  <si>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</si>
  <si>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</si>
  <si>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</si>
  <si>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</si>
  <si>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</si>
  <si>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</si>
  <si>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</si>
  <si>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</si>
  <si>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</si>
  <si>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</si>
  <si>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</si>
  <si>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</si>
  <si>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</si>
  <si>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</si>
  <si>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</si>
  <si>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</si>
  <si>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</si>
  <si>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</si>
  <si>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</si>
  <si>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</si>
  <si>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</si>
  <si>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</si>
  <si>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</si>
  <si>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</si>
  <si>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</si>
  <si>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</si>
  <si>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</si>
  <si>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</si>
  <si>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</si>
  <si>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</si>
  <si>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</si>
  <si>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</si>
  <si>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</si>
  <si>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</si>
  <si>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</si>
  <si>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</si>
  <si>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</si>
  <si>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</si>
  <si>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</si>
  <si>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</si>
  <si>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</si>
  <si>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</si>
  <si>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</si>
  <si>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</si>
  <si>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</si>
  <si>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</si>
  <si>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</si>
  <si>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</si>
  <si>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</si>
  <si>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</si>
  <si>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</si>
  <si>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</si>
  <si>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</si>
  <si>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</si>
  <si>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</si>
  <si>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</si>
  <si>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</si>
  <si>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</si>
  <si>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</si>
  <si>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</si>
  <si>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</si>
  <si>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</si>
  <si>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</si>
  <si>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</si>
  <si>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</si>
  <si>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</si>
  <si>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</si>
  <si>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</si>
  <si>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</si>
  <si>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</si>
  <si>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</si>
  <si>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</si>
  <si>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</si>
  <si>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</si>
  <si>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</si>
  <si>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</si>
  <si>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</si>
  <si>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</si>
  <si>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</si>
  <si>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</si>
  <si>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</si>
  <si>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</si>
  <si>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</si>
  <si>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</si>
  <si>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</si>
  <si>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</si>
  <si>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</si>
  <si>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</si>
  <si>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</si>
  <si>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</si>
  <si>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</si>
  <si>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</si>
  <si>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</si>
  <si>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</si>
  <si>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</si>
  <si>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</si>
  <si>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</si>
  <si>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</si>
  <si>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</si>
  <si>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</si>
  <si>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</si>
  <si>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</si>
  <si>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</si>
  <si>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</si>
  <si>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</si>
  <si>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</si>
  <si>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</si>
  <si>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</si>
  <si>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</si>
  <si>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</si>
  <si>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</si>
  <si>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</si>
  <si>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</si>
  <si>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</si>
  <si>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</si>
  <si>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</si>
  <si>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</si>
  <si>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</si>
  <si>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</si>
  <si>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</si>
  <si>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</si>
  <si>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</si>
  <si>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</si>
  <si>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</si>
  <si>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</si>
  <si>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</si>
  <si>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</si>
  <si>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</si>
  <si>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</si>
  <si>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</si>
  <si>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</si>
  <si>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</si>
  <si>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</si>
  <si>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</si>
  <si>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</si>
  <si>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</si>
  <si>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</si>
  <si>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</si>
  <si>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</si>
  <si>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</si>
  <si>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</si>
  <si>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</si>
  <si>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</si>
  <si>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</si>
  <si>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</si>
  <si>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</si>
  <si>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</si>
  <si>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</si>
  <si>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</si>
  <si>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</si>
  <si>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</si>
  <si>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</si>
  <si>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</si>
  <si>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</si>
  <si>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</si>
  <si>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</si>
  <si>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</si>
  <si>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</si>
  <si>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</si>
  <si>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</si>
  <si>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</si>
  <si>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</si>
  <si>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</si>
  <si>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</si>
  <si>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</si>
  <si>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</si>
  <si>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</si>
  <si>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</si>
  <si>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</si>
  <si>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</si>
  <si>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</si>
  <si>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</si>
  <si>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</si>
  <si>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</si>
  <si>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</si>
  <si>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</si>
  <si>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</si>
  <si>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</si>
  <si>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</si>
  <si>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</si>
  <si>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</si>
  <si>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</si>
  <si>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</si>
  <si>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</si>
  <si>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</si>
  <si>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</si>
  <si>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</si>
  <si>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</si>
  <si>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</si>
  <si>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</si>
  <si>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</si>
  <si>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</si>
  <si>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</si>
  <si>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</si>
  <si>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</si>
  <si>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</si>
  <si>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</si>
  <si>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</si>
  <si>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</si>
  <si>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</si>
  <si>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</si>
  <si>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</si>
  <si>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</si>
  <si>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</si>
  <si>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</si>
  <si>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</si>
  <si>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</si>
  <si>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</si>
  <si>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</si>
  <si>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</si>
  <si>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</si>
  <si>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</si>
  <si>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</si>
  <si>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</si>
  <si>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</si>
  <si>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</si>
  <si>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</si>
  <si>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</si>
  <si>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</si>
  <si>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</si>
  <si>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</si>
  <si>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</si>
  <si>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</si>
  <si>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</si>
  <si>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</si>
  <si>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</si>
  <si>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</si>
  <si>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</si>
  <si>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</si>
  <si>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</si>
  <si>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</si>
  <si>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</si>
  <si>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</si>
  <si>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</si>
  <si>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</si>
  <si>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</si>
  <si>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</si>
  <si>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</si>
  <si>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</si>
  <si>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</si>
  <si>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</si>
  <si>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</si>
  <si>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</si>
  <si>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</si>
  <si>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</si>
  <si>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</si>
  <si>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</si>
  <si>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</si>
  <si>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</si>
  <si>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</si>
  <si>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</si>
  <si>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</si>
  <si>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</si>
  <si>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</si>
  <si>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</si>
  <si>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</si>
  <si>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</si>
  <si>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</si>
  <si>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</si>
  <si>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</si>
  <si>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</si>
  <si>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</si>
  <si>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</si>
  <si>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</si>
  <si>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</si>
  <si>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</si>
  <si>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</si>
  <si>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</si>
  <si>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</si>
  <si>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</si>
  <si>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</si>
  <si>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</si>
  <si>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</si>
  <si>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</si>
  <si>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</si>
  <si>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</si>
  <si>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</si>
  <si>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</si>
  <si>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</si>
  <si>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</si>
  <si>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</si>
  <si>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</si>
  <si>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</si>
  <si>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</si>
  <si>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</si>
  <si>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</si>
  <si>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</si>
  <si>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</si>
  <si>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</si>
  <si>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</si>
  <si>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</si>
  <si>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</si>
  <si>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</si>
  <si>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</si>
  <si>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</si>
  <si>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</si>
  <si>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</si>
  <si>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</si>
  <si>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</si>
  <si>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</si>
  <si>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</si>
  <si>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</si>
  <si>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</si>
  <si>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</si>
  <si>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</si>
  <si>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</si>
  <si>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</si>
  <si>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</si>
  <si>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</si>
  <si>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</si>
  <si>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</si>
  <si>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</si>
  <si>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</si>
  <si>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</si>
  <si>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</si>
  <si>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</si>
  <si>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</si>
  <si>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</si>
  <si>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</si>
  <si>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</si>
  <si>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</si>
  <si>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</si>
  <si>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</si>
  <si>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</si>
  <si>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</si>
  <si>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</si>
  <si>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</si>
  <si>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</si>
  <si>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</si>
  <si>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</si>
  <si>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</si>
  <si>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</si>
  <si>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</si>
  <si>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</si>
  <si>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</si>
  <si>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</si>
  <si>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</si>
  <si>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</si>
  <si>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</si>
  <si>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</si>
  <si>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</si>
  <si>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</si>
  <si>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</si>
  <si>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</si>
  <si>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</si>
  <si>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</si>
  <si>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</si>
  <si>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</si>
  <si>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</si>
  <si>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</si>
  <si>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</si>
  <si>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</si>
  <si>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</si>
  <si>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</si>
  <si>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</si>
  <si>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</si>
  <si>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</si>
  <si>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</si>
  <si>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</si>
  <si>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</si>
  <si>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</si>
  <si>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</si>
  <si>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</si>
  <si>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</si>
  <si>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</si>
  <si>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</si>
  <si>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</si>
  <si>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</si>
  <si>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</si>
  <si>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</si>
  <si>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</si>
  <si>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</si>
  <si>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</si>
  <si>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</si>
  <si>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</si>
  <si>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</si>
  <si>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</si>
  <si>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</si>
  <si>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</si>
  <si>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</si>
  <si>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</si>
  <si>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</si>
  <si>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</si>
  <si>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</si>
  <si>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</si>
  <si>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</si>
  <si>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</si>
  <si>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</si>
  <si>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</si>
  <si>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</si>
  <si>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</si>
  <si>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</si>
  <si>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</si>
  <si>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</si>
  <si>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</si>
  <si>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</si>
  <si>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</si>
  <si>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</si>
  <si>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</si>
  <si>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</si>
  <si>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</si>
  <si>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</si>
  <si>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</si>
  <si>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</si>
  <si>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</si>
  <si>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</si>
  <si>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</si>
  <si>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</si>
  <si>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</si>
  <si>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</si>
  <si>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</si>
  <si>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</si>
  <si>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</si>
  <si>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</si>
  <si>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</si>
  <si>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</si>
  <si>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</si>
  <si>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</si>
  <si>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</si>
  <si>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</si>
  <si>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</si>
  <si>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</si>
  <si>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</si>
  <si>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</si>
  <si>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</si>
  <si>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</si>
  <si>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</si>
  <si>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</si>
  <si>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</si>
  <si>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</si>
  <si>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</si>
  <si>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</si>
  <si>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</si>
  <si>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</si>
  <si>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</si>
  <si>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</si>
  <si>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</si>
  <si>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</si>
  <si>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</si>
  <si>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</si>
  <si>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</si>
  <si>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</si>
  <si>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</si>
  <si>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</si>
  <si>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</si>
  <si>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</si>
  <si>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</si>
  <si>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</si>
  <si>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</si>
  <si>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</si>
  <si>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</si>
  <si>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</si>
  <si>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</si>
  <si>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</si>
  <si>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</si>
  <si>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</si>
  <si>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</si>
  <si>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</si>
  <si>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</si>
  <si>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</si>
  <si>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</si>
  <si>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</si>
  <si>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</si>
  <si>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</si>
  <si>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</si>
  <si>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</si>
  <si>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</si>
  <si>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</si>
  <si>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</si>
  <si>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</si>
  <si>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</si>
  <si>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</si>
  <si>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</si>
  <si>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</si>
  <si>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</si>
  <si>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</si>
  <si>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</si>
  <si>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</si>
  <si>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</si>
  <si>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</si>
  <si>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</si>
  <si>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</si>
  <si>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</si>
  <si>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</si>
  <si>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</si>
  <si>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</si>
  <si>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</si>
  <si>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</si>
  <si>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</si>
  <si>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</si>
  <si>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</si>
  <si>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</si>
  <si>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</si>
  <si>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</si>
  <si>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</si>
  <si>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</si>
  <si>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</si>
  <si>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</si>
  <si>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</si>
  <si>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</si>
  <si>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</si>
  <si>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</si>
  <si>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</si>
  <si>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</si>
  <si>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</si>
  <si>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</si>
  <si>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</si>
  <si>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</si>
  <si>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</si>
  <si>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</si>
  <si>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</si>
  <si>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</si>
  <si>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</si>
  <si>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</si>
  <si>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</si>
  <si>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</si>
  <si>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</si>
  <si>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</si>
  <si>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</si>
  <si>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</si>
  <si>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</si>
  <si>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</si>
  <si>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</si>
  <si>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</si>
  <si>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</si>
  <si>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</si>
  <si>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</si>
  <si>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</si>
  <si>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</si>
  <si>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</si>
  <si>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</si>
  <si>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</si>
  <si>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</si>
  <si>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</si>
  <si>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</si>
  <si>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</si>
  <si>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</si>
  <si>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</si>
  <si>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</si>
  <si>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</si>
  <si>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</si>
  <si>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</si>
  <si>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</si>
  <si>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</si>
  <si>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</si>
  <si>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</si>
  <si>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</si>
  <si>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</si>
  <si>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</si>
  <si>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</si>
  <si>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</si>
  <si>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</si>
  <si>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</si>
  <si>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</si>
  <si>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</si>
  <si>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</si>
  <si>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</si>
  <si>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</si>
  <si>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</si>
  <si>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</si>
  <si>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</si>
  <si>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</si>
  <si>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</si>
  <si>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</si>
  <si>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</si>
  <si>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</si>
  <si>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</si>
  <si>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</si>
  <si>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</si>
  <si>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</si>
  <si>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</si>
  <si>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</si>
  <si>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</si>
  <si>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</si>
  <si>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</si>
  <si>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</si>
  <si>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</si>
  <si>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</si>
  <si>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</si>
  <si>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</si>
  <si>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</si>
  <si>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</si>
  <si>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</si>
  <si>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</si>
  <si>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</si>
  <si>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</si>
  <si>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</si>
  <si>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</si>
  <si>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</si>
  <si>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</si>
  <si>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</si>
  <si>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</si>
  <si>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</si>
  <si>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</si>
  <si>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</si>
  <si>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</si>
  <si>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</si>
  <si>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</si>
  <si>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</si>
  <si>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</si>
  <si>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</si>
  <si>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</si>
  <si>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</si>
  <si>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</si>
  <si>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</si>
  <si>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</si>
  <si>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</si>
  <si>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</si>
  <si>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</si>
  <si>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</si>
  <si>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</si>
  <si>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</si>
  <si>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</si>
  <si>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</si>
  <si>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</si>
  <si>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</si>
  <si>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</si>
  <si>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</si>
  <si>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</si>
  <si>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</si>
  <si>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</si>
  <si>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</si>
  <si>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</si>
  <si>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</si>
  <si>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</si>
  <si>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</si>
  <si>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</si>
  <si>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</si>
  <si>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</si>
  <si>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</si>
  <si>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</si>
  <si>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</si>
  <si>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</si>
  <si>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</si>
  <si>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</si>
  <si>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</si>
  <si>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</si>
  <si>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</si>
  <si>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</si>
  <si>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</si>
  <si>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</si>
  <si>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</si>
  <si>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</si>
  <si>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</si>
  <si>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</si>
  <si>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</si>
  <si>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</si>
  <si>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</si>
  <si>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</si>
  <si>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</si>
  <si>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</si>
  <si>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</si>
  <si>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</si>
  <si>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</si>
  <si>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</si>
  <si>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</si>
  <si>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</si>
  <si>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</si>
  <si>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</si>
  <si>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</si>
  <si>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</si>
  <si>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</si>
  <si>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</si>
  <si>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</si>
  <si>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</si>
  <si>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</si>
  <si>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</si>
  <si>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</si>
  <si>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</si>
  <si>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</si>
  <si>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</si>
  <si>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</si>
  <si>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</si>
  <si>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</si>
  <si>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</si>
  <si>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</si>
  <si>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</si>
  <si>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</si>
  <si>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</si>
  <si>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</si>
  <si>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</si>
  <si>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</si>
  <si>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</si>
  <si>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</si>
  <si>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</si>
  <si>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</si>
  <si>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</si>
  <si>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</si>
  <si>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</si>
  <si>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</si>
  <si>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</si>
  <si>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</si>
  <si>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</si>
  <si>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</si>
  <si>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</si>
  <si>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</si>
  <si>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</si>
  <si>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</si>
  <si>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</si>
  <si>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</si>
  <si>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</si>
  <si>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</si>
  <si>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</si>
  <si>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</si>
  <si>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</si>
  <si>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</si>
  <si>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</si>
  <si>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</si>
  <si>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</si>
  <si>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</si>
  <si>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</si>
  <si>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</si>
  <si>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</si>
  <si>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</si>
  <si>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</si>
  <si>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</si>
  <si>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</si>
  <si>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</si>
  <si>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</si>
  <si>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</si>
  <si>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</si>
  <si>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</si>
  <si>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</si>
  <si>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</si>
  <si>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</si>
  <si>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</si>
  <si>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</si>
  <si>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</si>
  <si>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</si>
  <si>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</si>
  <si>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</si>
  <si>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</si>
  <si>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</si>
  <si>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</si>
  <si>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</si>
  <si>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</si>
  <si>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</si>
  <si>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</si>
  <si>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</si>
  <si>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</si>
  <si>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</si>
  <si>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</si>
  <si>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</si>
  <si>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</si>
  <si>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</si>
  <si>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</si>
  <si>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</si>
  <si>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</si>
  <si>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</si>
  <si>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</si>
  <si>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</si>
  <si>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</si>
  <si>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</si>
  <si>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</si>
  <si>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</si>
  <si>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</si>
  <si>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</si>
  <si>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</si>
  <si>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</si>
  <si>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</si>
  <si>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</si>
  <si>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</si>
  <si>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</si>
  <si>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</si>
  <si>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</si>
  <si>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</si>
  <si>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</si>
  <si>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</si>
  <si>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</si>
  <si>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</si>
  <si>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</si>
  <si>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</si>
  <si>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</si>
  <si>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</si>
  <si>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</si>
  <si>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</si>
  <si>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</si>
  <si>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</si>
  <si>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</si>
  <si>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</si>
  <si>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</si>
  <si>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</si>
  <si>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</si>
  <si>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</si>
  <si>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</si>
  <si>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</si>
  <si>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</si>
  <si>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</si>
  <si>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</si>
  <si>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</si>
  <si>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</si>
  <si>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</si>
  <si>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</si>
  <si>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</si>
  <si>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</si>
  <si>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</si>
  <si>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</si>
  <si>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</si>
  <si>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</si>
  <si>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</si>
  <si>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</si>
  <si>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</si>
  <si>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</si>
  <si>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</si>
  <si>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</si>
  <si>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</si>
  <si>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</si>
  <si>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</si>
  <si>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</si>
  <si>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</si>
  <si>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</si>
  <si>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</si>
  <si>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</si>
  <si>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</si>
  <si>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</si>
  <si>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</si>
  <si>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</si>
  <si>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</si>
  <si>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</si>
  <si>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</si>
  <si>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</si>
  <si>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</si>
  <si>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</si>
  <si>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</si>
  <si>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</si>
  <si>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</si>
  <si>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</si>
  <si>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</si>
  <si>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</si>
  <si>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</si>
  <si>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</si>
  <si>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</si>
  <si>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</si>
  <si>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</si>
  <si>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</si>
  <si>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</si>
  <si>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</si>
  <si>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</si>
  <si>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</si>
  <si>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</si>
  <si>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</si>
  <si>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</si>
  <si>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</si>
  <si>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</si>
  <si>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</si>
  <si>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</si>
  <si>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</si>
  <si>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</si>
  <si>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</si>
  <si>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</si>
  <si>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</si>
  <si>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</si>
  <si>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</si>
  <si>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</si>
  <si>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</si>
  <si>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</si>
  <si>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</si>
  <si>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</si>
  <si>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</si>
  <si>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</si>
  <si>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</si>
  <si>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</si>
  <si>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</si>
  <si>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</si>
  <si>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</si>
  <si>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</si>
  <si>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</si>
  <si>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</si>
  <si>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</si>
  <si>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</si>
  <si>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</si>
  <si>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</si>
  <si>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</si>
  <si>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</si>
  <si>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</si>
  <si>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</si>
  <si>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</si>
  <si>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</si>
  <si>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</si>
  <si>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</si>
  <si>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</si>
  <si>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</si>
  <si>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</si>
  <si>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</si>
  <si>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</si>
  <si>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</si>
  <si>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</si>
  <si>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</si>
  <si>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</si>
  <si>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</si>
  <si>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</si>
  <si>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</si>
  <si>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</si>
  <si>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</si>
  <si>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</si>
  <si>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</si>
  <si>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</si>
  <si>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</si>
  <si>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</si>
  <si>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</si>
  <si>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</si>
  <si>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</si>
  <si>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</si>
  <si>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</si>
  <si>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</si>
  <si>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</si>
  <si>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</si>
  <si>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</si>
  <si>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</si>
  <si>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</si>
  <si>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</si>
  <si>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</si>
  <si>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</si>
  <si>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</si>
  <si>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</si>
  <si>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</si>
  <si>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</si>
  <si>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</si>
  <si>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</si>
  <si>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</si>
  <si>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</si>
  <si>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</si>
  <si>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</si>
  <si>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</si>
  <si>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</si>
  <si>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</si>
  <si>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</si>
  <si>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</si>
  <si>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</si>
  <si>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</si>
  <si>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</si>
  <si>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</si>
  <si>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</si>
  <si>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</si>
  <si>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</si>
  <si>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</si>
  <si>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</si>
  <si>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</si>
  <si>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</si>
  <si>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</si>
  <si>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</si>
  <si>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</si>
  <si>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</si>
  <si>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</si>
  <si>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</si>
  <si>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</si>
  <si>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</si>
  <si>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</si>
  <si>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</si>
  <si>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</si>
  <si>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</si>
  <si>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</si>
  <si>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</si>
  <si>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</si>
  <si>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</si>
  <si>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</si>
  <si>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</si>
  <si>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</si>
  <si>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</si>
  <si>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</si>
  <si>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</si>
  <si>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</si>
  <si>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</si>
  <si>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</si>
  <si>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</si>
  <si>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</si>
  <si>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</si>
  <si>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</si>
  <si>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</si>
  <si>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</si>
  <si>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</si>
  <si>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</si>
  <si>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</si>
  <si>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</si>
  <si>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</si>
  <si>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</si>
  <si>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</si>
  <si>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</si>
  <si>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</si>
  <si>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</si>
  <si>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</si>
  <si>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</si>
  <si>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</si>
  <si>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</si>
  <si>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</si>
  <si>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</si>
  <si>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</si>
  <si>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</si>
  <si>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</si>
  <si>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</si>
  <si>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</si>
  <si>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</si>
  <si>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</si>
  <si>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</si>
  <si>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</si>
  <si>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</si>
  <si>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</si>
  <si>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</si>
  <si>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</si>
  <si>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</si>
  <si>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</si>
  <si>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</si>
  <si>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</si>
  <si>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</si>
  <si>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</si>
  <si>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</si>
  <si>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</si>
  <si>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</si>
  <si>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</si>
  <si>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</si>
  <si>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</si>
  <si>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</si>
  <si>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</si>
  <si>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</si>
  <si>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</si>
  <si>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</si>
  <si>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</si>
  <si>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</si>
  <si>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</si>
  <si>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</si>
  <si>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</si>
  <si>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</si>
  <si>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</si>
  <si>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</si>
  <si>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</si>
  <si>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</si>
  <si>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</si>
  <si>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</si>
  <si>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</si>
  <si>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</si>
  <si>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</si>
  <si>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</si>
  <si>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</si>
  <si>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</si>
  <si>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</si>
  <si>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</si>
  <si>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</si>
  <si>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</si>
  <si>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</si>
  <si>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</si>
  <si>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</si>
  <si>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</si>
  <si>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</si>
  <si>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</si>
  <si>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</si>
  <si>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</si>
  <si>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</si>
  <si>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</si>
  <si>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</si>
  <si>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</si>
  <si>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</si>
  <si>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</si>
  <si>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</si>
  <si>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</si>
  <si>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</si>
  <si>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</si>
  <si>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</si>
  <si>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</si>
  <si>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</si>
  <si>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</si>
  <si>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</si>
  <si>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</si>
  <si>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</si>
  <si>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</si>
  <si>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</si>
  <si>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</si>
  <si>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</si>
  <si>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</si>
  <si>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</si>
  <si>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</si>
  <si>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</si>
  <si>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</si>
  <si>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</si>
  <si>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</si>
  <si>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</si>
  <si>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</si>
  <si>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</si>
  <si>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</si>
  <si>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</si>
  <si>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</si>
  <si>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</si>
  <si>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</si>
  <si>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</si>
  <si>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</si>
  <si>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</si>
  <si>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</si>
  <si>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</si>
  <si>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</si>
  <si>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</si>
  <si>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</si>
  <si>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</si>
  <si>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</si>
  <si>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</si>
  <si>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</si>
  <si>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</si>
  <si>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</si>
  <si>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</si>
  <si>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</si>
  <si>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</si>
  <si>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</si>
  <si>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</si>
  <si>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</si>
  <si>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</si>
  <si>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</si>
  <si>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</si>
  <si>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</si>
  <si>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</si>
  <si>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</si>
  <si>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</si>
  <si>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</si>
  <si>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</si>
  <si>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</si>
  <si>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</si>
  <si>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</si>
  <si>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</si>
  <si>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</si>
  <si>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</si>
  <si>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</si>
  <si>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</si>
  <si>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</si>
  <si>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</si>
  <si>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</si>
  <si>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</si>
  <si>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</si>
  <si>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</si>
  <si>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</si>
  <si>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</si>
  <si>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</si>
  <si>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</si>
  <si>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</si>
  <si>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</si>
  <si>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</si>
  <si>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</si>
  <si>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</si>
  <si>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</si>
  <si>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</si>
  <si>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</si>
  <si>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</si>
  <si>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</si>
  <si>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</si>
  <si>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</si>
  <si>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</si>
  <si>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</si>
  <si>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</si>
  <si>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</si>
  <si>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</si>
  <si>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</si>
  <si>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</si>
  <si>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</si>
  <si>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</si>
  <si>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</si>
  <si>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</si>
  <si>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</si>
  <si>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</si>
  <si>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</si>
  <si>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</si>
  <si>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</si>
  <si>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</si>
  <si>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</si>
  <si>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</si>
  <si>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</si>
  <si>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</si>
  <si>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</si>
  <si>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</si>
  <si>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</si>
  <si>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</si>
  <si>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</si>
  <si>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</si>
  <si>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</si>
  <si>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</si>
  <si>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</si>
  <si>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</si>
  <si>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</si>
  <si>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</si>
  <si>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</si>
  <si>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</si>
  <si>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</si>
  <si>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</si>
  <si>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</si>
  <si>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</si>
  <si>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</si>
  <si>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</si>
  <si>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</si>
  <si>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</si>
  <si>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</si>
  <si>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</si>
  <si>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</si>
  <si>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</si>
  <si>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</si>
  <si>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</si>
  <si>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</si>
  <si>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</si>
  <si>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</si>
  <si>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</si>
  <si>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</si>
  <si>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</si>
  <si>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</si>
  <si>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</si>
  <si>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</si>
  <si>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</si>
  <si>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</si>
  <si>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</si>
  <si>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</si>
  <si>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</si>
  <si>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</si>
  <si>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</si>
  <si>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</si>
  <si>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</si>
  <si>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</si>
  <si>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</si>
  <si>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</si>
  <si>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</si>
  <si>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</si>
  <si>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</si>
  <si>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</si>
  <si>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</si>
  <si>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</si>
  <si>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</si>
  <si>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</si>
  <si>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</si>
  <si>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</si>
  <si>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</si>
  <si>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</si>
  <si>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</si>
  <si>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</si>
  <si>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</si>
  <si>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</si>
  <si>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</si>
  <si>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</si>
  <si>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</si>
  <si>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</si>
  <si>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</si>
  <si>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</si>
  <si>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</si>
  <si>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</si>
  <si>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</si>
  <si>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</si>
  <si>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</si>
  <si>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</si>
  <si>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</si>
  <si>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</si>
  <si>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</si>
  <si>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</si>
  <si>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</si>
  <si>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</si>
  <si>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</si>
  <si>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</si>
  <si>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</si>
  <si>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</si>
  <si>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</si>
  <si>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</si>
  <si>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</si>
  <si>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</si>
  <si>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</si>
  <si>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</si>
  <si>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</si>
  <si>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</si>
  <si>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</si>
  <si>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</si>
  <si>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</si>
  <si>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</si>
  <si>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</si>
  <si>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</si>
  <si>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</si>
  <si>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</si>
  <si>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</si>
  <si>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</si>
  <si>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</si>
  <si>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</si>
  <si>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</si>
  <si>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</si>
  <si>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</si>
  <si>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</si>
  <si>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</si>
  <si>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</si>
  <si>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</si>
  <si>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</si>
  <si>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</si>
  <si>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</si>
  <si>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</si>
  <si>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</si>
  <si>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</si>
  <si>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</si>
  <si>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</si>
  <si>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</si>
  <si>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</si>
  <si>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</si>
  <si>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</si>
  <si>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</si>
  <si>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</si>
  <si>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</si>
  <si>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</si>
  <si>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</si>
  <si>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</si>
  <si>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</si>
  <si>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</si>
  <si>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</si>
  <si>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</si>
  <si>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</si>
  <si>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</si>
  <si>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t>林丽枝</t>
    <phoneticPr fontId="6" type="noConversion"/>
  </si>
  <si>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6" type="noConversion"/>
  </si>
  <si>
    <t>部位及房号</t>
    <phoneticPr fontId="134" type="noConversion"/>
  </si>
  <si>
    <t>序号</t>
    <phoneticPr fontId="134" type="noConversion"/>
  </si>
  <si>
    <t>是</t>
  </si>
  <si>
    <t>否</t>
  </si>
  <si>
    <t>配套商业</t>
  </si>
  <si>
    <t>配套商业</t>
    <phoneticPr fontId="6" type="noConversion"/>
  </si>
  <si>
    <t>现房</t>
  </si>
  <si>
    <t>商业项目</t>
  </si>
  <si>
    <t>地上</t>
  </si>
  <si>
    <r>
      <t>X京房权证顺字第</t>
    </r>
    <r>
      <rPr>
        <sz val="11"/>
        <color theme="1"/>
        <rFont val="宋体"/>
        <family val="3"/>
        <charset val="134"/>
        <scheme val="minor"/>
      </rPr>
      <t>245116号</t>
    </r>
    <phoneticPr fontId="134" type="noConversion"/>
  </si>
  <si>
    <r>
      <t>X京房权证顺字第24</t>
    </r>
    <r>
      <rPr>
        <sz val="11"/>
        <color theme="1"/>
        <rFont val="宋体"/>
        <family val="3"/>
        <charset val="134"/>
        <scheme val="minor"/>
      </rPr>
      <t>2127</t>
    </r>
    <r>
      <rPr>
        <sz val="11"/>
        <color theme="1"/>
        <rFont val="宋体"/>
        <family val="3"/>
        <charset val="134"/>
        <scheme val="minor"/>
      </rPr>
      <t>号</t>
    </r>
    <phoneticPr fontId="134" type="noConversion"/>
  </si>
  <si>
    <t>P01</t>
  </si>
  <si>
    <t>P01</t>
    <phoneticPr fontId="7" type="noConversion"/>
  </si>
  <si>
    <t>P02</t>
    <phoneticPr fontId="7"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</si>
  <si>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3" type="noConversion"/>
  </si>
  <si>
    <t>成新度</t>
  </si>
  <si>
    <t>建成年代</t>
    <phoneticPr fontId="3"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</si>
  <si>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3" type="noConversion"/>
  </si>
  <si>
    <t>直线</t>
    <phoneticPr fontId="3" type="noConversion"/>
  </si>
  <si>
    <r>
      <t>华英园隶属于北京市顺义区‌</t>
    </r>
    <r>
      <rPr>
        <sz val="10"/>
        <color rgb="FF333333"/>
        <rFont val="Arial"/>
        <family val="2"/>
      </rPr>
      <t>南法信街道</t>
    </r>
    <r>
      <rPr>
        <sz val="10"/>
        <color rgb="FF333333"/>
        <rFont val="Arial"/>
        <family val="2"/>
      </rPr>
      <t>‌‌</t>
    </r>
  </si>
  <si>
    <t>南法信属于建制镇</t>
    <phoneticPr fontId="3" type="noConversion"/>
  </si>
  <si>
    <t>收益法 (元)</t>
  </si>
  <si>
    <t>未包含在土地购买价格中</t>
  </si>
  <si>
    <t>已包含在土地取得成本中</t>
  </si>
  <si>
    <t>自定义容积率</t>
  </si>
  <si>
    <t>不临65条商业街</t>
  </si>
  <si>
    <t>与级别开发程度一致</t>
  </si>
  <si>
    <t>中心城区以外</t>
  </si>
  <si>
    <t>一般</t>
  </si>
  <si>
    <t>较好</t>
  </si>
  <si>
    <t>好</t>
  </si>
  <si>
    <t>楼层修正</t>
  </si>
  <si>
    <t>押一</t>
  </si>
  <si>
    <t>钢混</t>
  </si>
  <si>
    <t>非生产用房</t>
  </si>
  <si>
    <t>案例1</t>
    <phoneticPr fontId="134" type="noConversion"/>
  </si>
  <si>
    <t>航城广场</t>
    <phoneticPr fontId="134" type="noConversion"/>
  </si>
  <si>
    <t>1层临街</t>
    <phoneticPr fontId="134" type="noConversion"/>
  </si>
  <si>
    <t>租给绝味鸭脖，年租金9万左右</t>
    <phoneticPr fontId="134" type="noConversion"/>
  </si>
  <si>
    <t>日租金</t>
    <phoneticPr fontId="134" type="noConversion"/>
  </si>
  <si>
    <t>系数</t>
    <phoneticPr fontId="134" type="noConversion"/>
  </si>
  <si>
    <t>1层</t>
    <phoneticPr fontId="134" type="noConversion"/>
  </si>
  <si>
    <t>2层</t>
    <phoneticPr fontId="134" type="noConversion"/>
  </si>
  <si>
    <t>航城广场建成年代</t>
    <phoneticPr fontId="134" type="noConversion"/>
  </si>
  <si>
    <t>直线</t>
    <phoneticPr fontId="134" type="noConversion"/>
  </si>
  <si>
    <t>案例2</t>
    <phoneticPr fontId="134" type="noConversion"/>
  </si>
  <si>
    <t>纯一层</t>
    <phoneticPr fontId="134" type="noConversion"/>
  </si>
  <si>
    <t>案例三</t>
    <phoneticPr fontId="134" type="noConversion"/>
  </si>
  <si>
    <t>金汉绿港一区</t>
    <phoneticPr fontId="134" type="noConversion"/>
  </si>
  <si>
    <t>金汉绿港一区建成年代</t>
    <phoneticPr fontId="134" type="noConversion"/>
  </si>
  <si>
    <t>观察</t>
    <phoneticPr fontId="134" type="noConversion"/>
  </si>
  <si>
    <t>链家18612571222</t>
    <phoneticPr fontId="134" type="noConversion"/>
  </si>
  <si>
    <t>月租金</t>
  </si>
  <si>
    <t>年租金</t>
  </si>
  <si>
    <t>南法信镇府前西街</t>
    <phoneticPr fontId="134" type="noConversion"/>
  </si>
  <si>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</si>
  <si>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</si>
  <si>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</si>
  <si>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</si>
  <si>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</si>
  <si>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r>
      <t>链家1</t>
    </r>
    <r>
      <rPr>
        <sz val="11"/>
        <color theme="1"/>
        <rFont val="宋体"/>
        <family val="3"/>
        <charset val="134"/>
        <scheme val="minor"/>
      </rPr>
      <t>8611053301</t>
    </r>
  </si>
  <si>
    <t>1层商业</t>
  </si>
  <si>
    <r>
      <t>3</t>
    </r>
    <r>
      <rPr>
        <sz val="11"/>
        <color theme="1"/>
        <rFont val="宋体"/>
        <family val="3"/>
        <charset val="134"/>
        <scheme val="minor"/>
      </rPr>
      <t>.5左右</t>
    </r>
  </si>
  <si>
    <t>3层</t>
  </si>
  <si>
    <t>3层</t>
    <phoneticPr fontId="134" type="noConversion"/>
  </si>
  <si>
    <t>单套模式</t>
  </si>
  <si>
    <t>售价</t>
  </si>
  <si>
    <t>航城广场</t>
    <phoneticPr fontId="3" type="noConversion"/>
  </si>
  <si>
    <t>金汉绿港一区</t>
    <phoneticPr fontId="3" type="noConversion"/>
  </si>
  <si>
    <t>华英园</t>
    <phoneticPr fontId="3" type="noConversion"/>
  </si>
  <si>
    <t>正常</t>
  </si>
  <si>
    <t>挂牌价</t>
  </si>
  <si>
    <t>挂牌价</t>
    <phoneticPr fontId="30"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</si>
  <si>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</si>
  <si>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</si>
  <si>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临主街</t>
    <phoneticPr fontId="3" type="noConversion"/>
  </si>
  <si>
    <r>
      <t>3</t>
    </r>
    <r>
      <rPr>
        <sz val="11"/>
        <color indexed="8"/>
        <rFont val="宋体"/>
        <family val="3"/>
        <charset val="134"/>
      </rPr>
      <t>层</t>
    </r>
    <phoneticPr fontId="30" type="noConversion"/>
  </si>
  <si>
    <t>配套商业</t>
    <phoneticPr fontId="30" type="noConversion"/>
  </si>
  <si>
    <t>钢混</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</si>
  <si>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</si>
  <si>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</si>
  <si>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</si>
  <si>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</si>
  <si>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</si>
  <si>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</si>
  <si>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</si>
  <si>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精装修</t>
    <phoneticPr fontId="3" type="noConversion"/>
  </si>
  <si>
    <t>普通装修</t>
    <phoneticPr fontId="3" type="noConversion"/>
  </si>
  <si>
    <t>简单装修</t>
    <phoneticPr fontId="3" type="noConversion"/>
  </si>
  <si>
    <t>毛坯</t>
    <phoneticPr fontId="3" type="noConversion"/>
  </si>
  <si>
    <t>商业</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</si>
  <si>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</si>
  <si>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</si>
  <si>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</si>
  <si>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</si>
  <si>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剩余使用年限</t>
    <phoneticPr fontId="134" type="noConversion"/>
  </si>
  <si>
    <r>
      <t>20-30</t>
    </r>
    <r>
      <rPr>
        <sz val="11"/>
        <color indexed="8"/>
        <rFont val="宋体"/>
        <family val="3"/>
        <charset val="134"/>
      </rPr>
      <t>（含）</t>
    </r>
    <phoneticPr fontId="30" type="noConversion"/>
  </si>
  <si>
    <t>较差</t>
  </si>
  <si>
    <t>七通</t>
  </si>
  <si>
    <t>临街状况</t>
    <phoneticPr fontId="30" type="noConversion"/>
  </si>
  <si>
    <t>不可餐饮</t>
  </si>
  <si>
    <t>毛坯</t>
  </si>
  <si>
    <t>设定毛坯</t>
    <phoneticPr fontId="30" type="noConversion"/>
  </si>
  <si>
    <t>简单装修</t>
  </si>
  <si>
    <t>修正系数</t>
    <phoneticPr fontId="134" type="noConversion"/>
  </si>
  <si>
    <t>比较法-商业</t>
  </si>
  <si>
    <t>P02</t>
    <phoneticPr fontId="24" type="noConversion"/>
  </si>
  <si>
    <t>P01</t>
    <phoneticPr fontId="24" type="noConversion"/>
  </si>
  <si>
    <t>装修状况</t>
    <phoneticPr fontId="3" type="noConversion"/>
  </si>
  <si>
    <t>楼面单价</t>
  </si>
  <si>
    <t>自定义</t>
  </si>
  <si>
    <t>结构</t>
    <phoneticPr fontId="134" type="noConversion"/>
  </si>
  <si>
    <t>钢混</t>
    <phoneticPr fontId="134" type="noConversion"/>
  </si>
  <si>
    <t>楼号或幢号</t>
    <phoneticPr fontId="134" type="noConversion"/>
  </si>
  <si>
    <t>房屋总层数</t>
    <phoneticPr fontId="134" type="noConversion"/>
  </si>
  <si>
    <t>所在层数</t>
    <phoneticPr fontId="134" type="noConversion"/>
  </si>
  <si>
    <t>建筑面积</t>
    <phoneticPr fontId="134" type="noConversion"/>
  </si>
  <si>
    <t>5（-01）</t>
    <phoneticPr fontId="134" type="noConversion"/>
  </si>
  <si>
    <t>9号</t>
    <phoneticPr fontId="134" type="noConversion"/>
  </si>
  <si>
    <t>修正到3层单价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</si>
</sst>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0"/>
      <color rgb="FF333333"/>
      <name val="Arial"/>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83" fontId="273" fillId="0" borderId="1" xfId="0" applyNumberFormat="1" applyFont="1" applyBorder="1" applyAlignment="1" applyProtection="1">
      <alignment horizontal="center" vertical="center" shrinkToFit="1"/>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0" fontId="274" fillId="0" borderId="0" xfId="0" applyFont="1">
      <alignment vertical="center"/>
    </xf>
    <xf numFmtId="0" fontId="128" fillId="12" borderId="0" xfId="0" applyFont="1" applyFill="1" applyProtection="1">
      <alignment vertical="center"/>
      <protection locked="0"/>
    </xf>
    <xf numFmtId="0" fontId="95" fillId="5" borderId="0" xfId="0" applyFon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5" fillId="12" borderId="0" xfId="0" applyFont="1" applyFill="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14"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5" fillId="0" borderId="0" xfId="0" applyFont="1" applyAlignment="1">
      <alignment horizontal="center" vertical="center"/>
    </xf>
    <xf numFmtId="0" fontId="0" fillId="0" borderId="0" xfId="0"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60960</xdr:colOff>
      <xdr:row>1</xdr:row>
      <xdr:rowOff>53340</xdr:rowOff>
    </xdr:from>
    <xdr:to>
      <xdr:col>36</xdr:col>
      <xdr:colOff>430865</xdr:colOff>
      <xdr:row>40</xdr:row>
      <xdr:rowOff>63877</xdr:rowOff>
    </xdr:to>
    <xdr:pic>
      <xdr:nvPicPr>
        <xdr:cNvPr id="2" name="图片 1">
          <a:extLst>
            <a:ext uri="{FF2B5EF4-FFF2-40B4-BE49-F238E27FC236}">
              <a16:creationId xmlns:a16="http://schemas.microsoft.com/office/drawing/2014/main" id="{E57FC442-DA01-66E0-98CE-D548451693FA}"/>
            </a:ext>
          </a:extLst>
        </xdr:cNvPr>
        <xdr:cNvPicPr>
          <a:picLocks noChangeAspect="1"/>
        </xdr:cNvPicPr>
      </xdr:nvPicPr>
      <xdr:blipFill>
        <a:blip xmlns:r="http://schemas.openxmlformats.org/officeDocument/2006/relationships" r:embed="rId1"/>
        <a:stretch>
          <a:fillRect/>
        </a:stretch>
      </xdr:blipFill>
      <xdr:spPr>
        <a:xfrm>
          <a:off x="9037320" y="236220"/>
          <a:ext cx="12561905" cy="7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432F839B-817E-4197-B7DB-BB438E657BDC}"/>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3" name="图片 2">
          <a:extLst>
            <a:ext uri="{FF2B5EF4-FFF2-40B4-BE49-F238E27FC236}">
              <a16:creationId xmlns:a16="http://schemas.microsoft.com/office/drawing/2014/main" id="{BBCBCA62-2EF5-45E5-A39B-77DFD75507EA}"/>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4" name="图片 3">
          <a:extLst>
            <a:ext uri="{FF2B5EF4-FFF2-40B4-BE49-F238E27FC236}">
              <a16:creationId xmlns:a16="http://schemas.microsoft.com/office/drawing/2014/main" id="{8EF870C0-2B67-4924-A18E-C4317FD7A5C7}"/>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12</xdr:col>
      <xdr:colOff>350520</xdr:colOff>
      <xdr:row>75</xdr:row>
      <xdr:rowOff>68580</xdr:rowOff>
    </xdr:from>
    <xdr:to>
      <xdr:col>22</xdr:col>
      <xdr:colOff>233507</xdr:colOff>
      <xdr:row>102</xdr:row>
      <xdr:rowOff>7010</xdr:rowOff>
    </xdr:to>
    <xdr:pic>
      <xdr:nvPicPr>
        <xdr:cNvPr id="5" name="图片 4">
          <a:extLst>
            <a:ext uri="{FF2B5EF4-FFF2-40B4-BE49-F238E27FC236}">
              <a16:creationId xmlns:a16="http://schemas.microsoft.com/office/drawing/2014/main" id="{E6B520A5-7213-47D8-9998-B23EBD2B8DD2}"/>
            </a:ext>
          </a:extLst>
        </xdr:cNvPr>
        <xdr:cNvPicPr>
          <a:picLocks noChangeAspect="1"/>
        </xdr:cNvPicPr>
      </xdr:nvPicPr>
      <xdr:blipFill>
        <a:blip xmlns:r="http://schemas.openxmlformats.org/officeDocument/2006/relationships" r:embed="rId4"/>
        <a:stretch>
          <a:fillRect/>
        </a:stretch>
      </xdr:blipFill>
      <xdr:spPr>
        <a:xfrm>
          <a:off x="7665720" y="13784580"/>
          <a:ext cx="6466667" cy="4876190"/>
        </a:xfrm>
        <a:prstGeom prst="rect">
          <a:avLst/>
        </a:prstGeom>
      </xdr:spPr>
    </xdr:pic>
    <xdr:clientData/>
  </xdr:twoCellAnchor>
  <xdr:twoCellAnchor editAs="oneCell">
    <xdr:from>
      <xdr:col>15</xdr:col>
      <xdr:colOff>525780</xdr:colOff>
      <xdr:row>39</xdr:row>
      <xdr:rowOff>0</xdr:rowOff>
    </xdr:from>
    <xdr:to>
      <xdr:col>24</xdr:col>
      <xdr:colOff>303986</xdr:colOff>
      <xdr:row>62</xdr:row>
      <xdr:rowOff>8809</xdr:rowOff>
    </xdr:to>
    <xdr:pic>
      <xdr:nvPicPr>
        <xdr:cNvPr id="6" name="图片 5">
          <a:extLst>
            <a:ext uri="{FF2B5EF4-FFF2-40B4-BE49-F238E27FC236}">
              <a16:creationId xmlns:a16="http://schemas.microsoft.com/office/drawing/2014/main" id="{6D29875A-63EE-473F-A1C6-BB0D1897046F}"/>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twoCellAnchor editAs="oneCell">
    <xdr:from>
      <xdr:col>21</xdr:col>
      <xdr:colOff>7620</xdr:colOff>
      <xdr:row>0</xdr:row>
      <xdr:rowOff>0</xdr:rowOff>
    </xdr:from>
    <xdr:to>
      <xdr:col>37</xdr:col>
      <xdr:colOff>339734</xdr:colOff>
      <xdr:row>43</xdr:row>
      <xdr:rowOff>155208</xdr:rowOff>
    </xdr:to>
    <xdr:pic>
      <xdr:nvPicPr>
        <xdr:cNvPr id="7" name="图片 6">
          <a:extLst>
            <a:ext uri="{FF2B5EF4-FFF2-40B4-BE49-F238E27FC236}">
              <a16:creationId xmlns:a16="http://schemas.microsoft.com/office/drawing/2014/main" id="{D67AE21C-3D8E-39D0-15FD-3F9A14BB9651}"/>
            </a:ext>
          </a:extLst>
        </xdr:cNvPr>
        <xdr:cNvPicPr>
          <a:picLocks noChangeAspect="1"/>
        </xdr:cNvPicPr>
      </xdr:nvPicPr>
      <xdr:blipFill>
        <a:blip xmlns:r="http://schemas.openxmlformats.org/officeDocument/2006/relationships" r:embed="rId6"/>
        <a:stretch>
          <a:fillRect/>
        </a:stretch>
      </xdr:blipFill>
      <xdr:spPr>
        <a:xfrm>
          <a:off x="12923520" y="0"/>
          <a:ext cx="10085714" cy="8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估价对象为北京市顺义区华英园9号房地产，为林丽枝所有。根据《国有土地使用证》[]，估价对象（分摊）出让国有建设用地使用权面积为0平方米，建筑面积为812.22平方米。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812.22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2025年4月14日</v>
      </c>
    </row>
    <row r="13" spans="1:2">
      <c r="A13" s="1119" t="s">
        <v>529</v>
      </c>
      <c r="B13" s="1120" t="str">
        <f>'预评函-1'!A18</f>
        <v>本次估价的“房地产价值”是指在正常市场情况下，在价值时点2025年4月14日，估价对象规划用途为配套商业，土地取得方式为出让，出让国有建设用地使用权剩余土地使用年限为16.46，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16.46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573</v>
      </c>
    </row>
    <row r="21" spans="1:2">
      <c r="A21" s="1119" t="s">
        <v>537</v>
      </c>
      <c r="B21" s="1120">
        <f ca="1">'预评函-2'!D7</f>
        <v>13001</v>
      </c>
    </row>
    <row r="22" spans="1:2">
      <c r="A22" s="1119" t="s">
        <v>538</v>
      </c>
      <c r="B22" s="1120" t="str">
        <f ca="1">'预评函-2'!D6</f>
        <v>伍佰柒拾叁万元整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573</v>
      </c>
    </row>
    <row r="31" spans="1:2">
      <c r="A31" s="1119" t="s">
        <v>576</v>
      </c>
      <c r="B31" s="1120">
        <f ca="1">'预评函-2'!D15</f>
        <v>13001</v>
      </c>
    </row>
    <row r="32" spans="1:2">
      <c r="A32" s="1119" t="s">
        <v>543</v>
      </c>
      <c r="B32" s="1120" t="str">
        <f ca="1">'预评函-2'!D14</f>
        <v>伍佰柒拾叁万元整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812.22000000000014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23" t="s">
        <v>2578</v>
      </c>
      <c r="J2" s="3223"/>
      <c r="K2" s="3223"/>
      <c r="L2" s="3223"/>
      <c r="M2" s="3223"/>
      <c r="N2" s="3223"/>
      <c r="O2" s="3223"/>
      <c r="P2" s="3223"/>
      <c r="Q2" s="3223"/>
      <c r="R2" s="3223"/>
    </row>
    <row r="3" spans="1:18">
      <c r="A3" s="2761" t="s">
        <v>2499</v>
      </c>
      <c r="B3" s="2762">
        <f>项目基本情况!D3</f>
        <v>45761</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1.68</v>
      </c>
      <c r="D5" s="2766">
        <f>IF(ISERROR(ROUND(POWER(1+E5,A5-C5)*(POWER(1+E5,C5)-1)/(POWER(1+E5,A5)-1),3)),0,ROUND(POWER(1+E5,A5-C5)*(POWER(1+E5,C5)-1)/(POWER(1+E5,A5)-1),4))</f>
        <v>8.0500000000000002E-2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11.69</v>
      </c>
      <c r="D6" s="2766">
        <f>IF(ISERROR(ROUND(POWER(1+E6,A6-C6)*(POWER(1+E6,C6)-1)/(POWER(1+E6,A6)-1),3)),0,ROUND(POWER(1+E6,A6-C6)*(POWER(1+E6,C6)-1)/(POWER(1+E6,A6)-1),4))</f>
        <v>0.42799999999999999</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31.7</v>
      </c>
      <c r="D7" s="2766">
        <f>IF(ISERROR(ROUND(POWER(1+E7,A7-C7)*(POWER(1+E7,C7)-1)/(POWER(1+E7,A7)-1),3)),0,ROUND(POWER(1+E7,A7-C7)*(POWER(1+E7,C7)-1)/(POWER(1+E7,A7)-1),4))</f>
        <v>0.76039999999999996</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5" thickBot="1">
      <c r="A18" s="2771" t="s">
        <v>2514</v>
      </c>
      <c r="B18" s="2772">
        <f>ROUND(B17*F11/F12,2)</f>
        <v>5541.87</v>
      </c>
      <c r="C18" s="2772">
        <f>ROUND(F11/F12,4)</f>
        <v>1.1521999999999999</v>
      </c>
      <c r="D18" s="2773"/>
      <c r="E18" s="2773"/>
      <c r="F18" s="2774"/>
    </row>
    <row r="19" spans="1:14" ht="15" thickBot="1"/>
    <row r="20" spans="1:14" s="2807" customFormat="1" ht="1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Normal="100" zoomScaleSheetLayoutView="100" workbookViewId="0">
      <selection activeCell="E17" sqref="E17:I1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24" t="str">
        <f>IF(B10="北京市","北京市",C10)&amp;F10&amp;IF(结果表!G1="在建","出让国有建设用地使用权及在建建筑物",IF(结果表!G1="土地","出让国有建设用地使用权",))&amp;B9&amp;"预评估"</f>
        <v>北京市顺义区华英园9号预评估</v>
      </c>
      <c r="C1" s="3225"/>
      <c r="D1" s="3225"/>
      <c r="E1" s="3225"/>
      <c r="F1" s="3225"/>
      <c r="G1" s="3225"/>
      <c r="H1" s="3225"/>
      <c r="I1" s="322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北京市顺义区华英园9号</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北京市顺义区华英园9号房地产</v>
      </c>
      <c r="T2" s="1618"/>
      <c r="U2" s="1618"/>
      <c r="V2" s="1618"/>
      <c r="W2" s="1618"/>
      <c r="X2" s="1618"/>
      <c r="Y2" s="1618"/>
      <c r="Z2" s="1618"/>
      <c r="AA2" s="1618"/>
      <c r="AB2" s="1618"/>
    </row>
    <row r="3" spans="1:30">
      <c r="A3" s="294" t="s">
        <v>2168</v>
      </c>
      <c r="B3" s="2185"/>
      <c r="C3" s="2186" t="s">
        <v>2169</v>
      </c>
      <c r="D3" s="2185">
        <v>45761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c r="C8" s="2201"/>
      <c r="D8" s="3227" t="s">
        <v>2175</v>
      </c>
      <c r="E8" s="2202"/>
      <c r="F8" s="2203"/>
      <c r="G8" s="2441"/>
      <c r="H8" s="2441"/>
      <c r="I8" s="2441"/>
      <c r="J8" s="2244"/>
      <c r="K8" s="2399"/>
      <c r="L8" s="2398"/>
      <c r="M8" s="2398"/>
      <c r="N8" s="2244"/>
      <c r="O8" s="1670"/>
      <c r="P8" s="2244"/>
      <c r="Q8" s="2244"/>
      <c r="R8" s="2244"/>
    </row>
    <row r="9" spans="1:30" ht="13.8" thickBot="1">
      <c r="A9" s="2204" t="s">
        <v>2176</v>
      </c>
      <c r="B9" s="2205"/>
      <c r="C9" s="2206"/>
      <c r="D9" s="3228"/>
      <c r="E9" s="2205"/>
      <c r="F9" s="2207"/>
      <c r="G9" s="2442"/>
      <c r="H9" s="2442"/>
      <c r="I9" s="2442"/>
      <c r="J9" s="2244"/>
      <c r="K9" s="2401"/>
      <c r="L9" s="2398"/>
      <c r="M9" s="2398"/>
      <c r="N9" s="2244"/>
      <c r="O9" s="1670"/>
      <c r="P9" s="2244"/>
      <c r="Q9" s="2244"/>
      <c r="R9" s="2244"/>
    </row>
    <row r="10" spans="1:30" ht="13.8" thickTop="1">
      <c r="A10" s="2208" t="s">
        <v>2177</v>
      </c>
      <c r="B10" s="2209" t="s">
        <v>3408</v>
      </c>
      <c r="C10" s="2210"/>
      <c r="D10" s="2193"/>
      <c r="E10" s="2211" t="s">
        <v>2178</v>
      </c>
      <c r="F10" s="3162" t="s">
        <v>3411</v>
      </c>
      <c r="G10" s="2443"/>
      <c r="H10" s="2444"/>
      <c r="I10" s="2445"/>
      <c r="J10" s="2244"/>
      <c r="K10" s="2401"/>
      <c r="L10" s="2398"/>
      <c r="M10" s="2398"/>
      <c r="N10" s="2244"/>
      <c r="O10" s="1670"/>
      <c r="P10" s="2244"/>
      <c r="Q10" s="2244"/>
      <c r="R10" s="2244"/>
    </row>
    <row r="11" spans="1:30">
      <c r="A11" s="2212" t="s">
        <v>2179</v>
      </c>
      <c r="B11" s="2213" t="s">
        <v>3409</v>
      </c>
      <c r="C11" s="3161" t="s">
        <v>3410</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70"/>
      <c r="O12" s="2244"/>
      <c r="P12" s="2244"/>
      <c r="Q12" s="2244"/>
      <c r="AD12" s="1618"/>
    </row>
    <row r="13" spans="1:30">
      <c r="A13" s="3120" t="s">
        <v>3329</v>
      </c>
      <c r="B13" s="2217" t="s">
        <v>2188</v>
      </c>
      <c r="C13" s="803"/>
      <c r="D13" s="803">
        <v>51770</v>
      </c>
      <c r="E13" s="3163" t="s">
        <v>3426</v>
      </c>
      <c r="F13" s="803"/>
      <c r="G13" s="803"/>
      <c r="H13" s="803"/>
      <c r="I13" s="803"/>
      <c r="J13" s="2801"/>
      <c r="K13" s="2398"/>
      <c r="L13" s="2398"/>
      <c r="M13" s="2244"/>
      <c r="N13" s="1670"/>
      <c r="O13" s="2244"/>
      <c r="P13" s="2244"/>
      <c r="Q13" s="2244"/>
      <c r="AD13" s="1618"/>
    </row>
    <row r="14" spans="1:30">
      <c r="A14" s="1018"/>
      <c r="B14" s="2217" t="s">
        <v>2189</v>
      </c>
      <c r="C14" s="2218"/>
      <c r="D14" s="2218">
        <v>40</v>
      </c>
      <c r="E14" s="2218"/>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f>IF(A13="出让",IF(D13="","",ROUNDDOWN(MIN((D13-$D$3)/365,D14),2)),D14)</f>
        <v>16.46</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34" t="s">
        <v>3417</v>
      </c>
      <c r="C16" s="3235"/>
      <c r="D16" s="3236"/>
      <c r="E16" s="2221" t="s">
        <v>2192</v>
      </c>
      <c r="F16" s="3237">
        <f>D15</f>
        <v>16.46</v>
      </c>
      <c r="G16" s="3238"/>
      <c r="H16" s="3238"/>
      <c r="I16" s="3239"/>
      <c r="J16" s="2244"/>
      <c r="K16" s="2402"/>
      <c r="L16" s="1670"/>
      <c r="M16" s="1670"/>
      <c r="N16" s="2244"/>
      <c r="O16" s="1670"/>
      <c r="P16" s="2244"/>
      <c r="Q16" s="2244"/>
      <c r="R16" s="2244"/>
    </row>
    <row r="17" spans="1:28">
      <c r="A17" s="305" t="s">
        <v>2193</v>
      </c>
      <c r="B17" s="294" t="s">
        <v>2194</v>
      </c>
      <c r="C17" s="8">
        <f>'数据-汇总表'!E3</f>
        <v>812.22000000000014</v>
      </c>
      <c r="D17" s="1256" t="s">
        <v>2195</v>
      </c>
      <c r="E17" s="3240" t="s">
        <v>2196</v>
      </c>
      <c r="F17" s="3241"/>
      <c r="G17" s="3241"/>
      <c r="H17" s="3241"/>
      <c r="I17" s="3242"/>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43" t="s">
        <v>2200</v>
      </c>
      <c r="F18" s="3244"/>
      <c r="G18" s="3244"/>
      <c r="H18" s="3244"/>
      <c r="I18" s="3245"/>
      <c r="J18" s="2244"/>
      <c r="K18" s="2403"/>
      <c r="L18" s="1670"/>
      <c r="M18" s="1670"/>
      <c r="N18" s="2244"/>
      <c r="O18" s="1670"/>
      <c r="P18" s="2244"/>
      <c r="Q18" s="2244"/>
      <c r="R18" s="2244"/>
      <c r="S18" s="2244"/>
      <c r="T18" s="2244"/>
      <c r="U18" s="2244"/>
      <c r="V18" s="2244"/>
    </row>
    <row r="19" spans="1:28" ht="54" thickTop="1" thickBot="1">
      <c r="A19" s="319" t="s">
        <v>1055</v>
      </c>
      <c r="B19" s="299" t="s">
        <v>2201</v>
      </c>
      <c r="C19" s="1455" t="s">
        <v>3414</v>
      </c>
      <c r="D19" s="1456" t="s">
        <v>2202</v>
      </c>
      <c r="E19" s="1457" t="s">
        <v>3415</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2203</v>
      </c>
      <c r="B20" s="3230" t="s">
        <v>2204</v>
      </c>
      <c r="C20" s="3231"/>
      <c r="D20" s="3232" t="s">
        <v>2205</v>
      </c>
      <c r="E20" s="3233"/>
      <c r="F20" s="2429" t="s">
        <v>1056</v>
      </c>
      <c r="G20" s="2441"/>
      <c r="H20" s="2441"/>
      <c r="I20" s="2441"/>
      <c r="J20" s="2244"/>
      <c r="K20" s="32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1057</v>
      </c>
      <c r="D21" s="1460" t="s">
        <v>2208</v>
      </c>
      <c r="E21" s="2418" t="s">
        <v>1057</v>
      </c>
      <c r="F21" s="2430"/>
      <c r="G21" s="2441"/>
      <c r="H21" s="2441"/>
      <c r="I21" s="2441"/>
      <c r="J21" s="2244"/>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1058</v>
      </c>
      <c r="D22" s="2441"/>
      <c r="E22" s="2441"/>
      <c r="F22" s="2441"/>
      <c r="G22" s="2441"/>
      <c r="H22" s="2441"/>
      <c r="I22" s="2441"/>
      <c r="J22" s="2244"/>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7" t="s">
        <v>2212</v>
      </c>
      <c r="B27" s="312" t="s">
        <v>2213</v>
      </c>
      <c r="C27" s="2224" t="s">
        <v>3419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7"/>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7"/>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8"/>
      <c r="B30" s="294" t="s">
        <v>2216</v>
      </c>
      <c r="C30" s="3249"/>
      <c r="D30" s="3250"/>
      <c r="E30" s="2441"/>
      <c r="F30" s="2441"/>
      <c r="G30" s="2441"/>
      <c r="H30" s="2441"/>
      <c r="I30" s="2441"/>
      <c r="J30" s="2244"/>
      <c r="K30" s="2401"/>
      <c r="L30" s="2398"/>
      <c r="M30" s="2398"/>
      <c r="N30" s="2244"/>
      <c r="O30" s="1670"/>
      <c r="P30" s="2244"/>
      <c r="Q30" s="2244"/>
      <c r="R30" s="2244"/>
      <c r="S30" s="2244"/>
      <c r="T30" s="2244"/>
      <c r="U30" s="2244"/>
      <c r="V30" s="2244"/>
    </row>
    <row r="31" spans="1:28">
      <c r="A31" s="3251" t="s">
        <v>2217</v>
      </c>
      <c r="B31" s="2230" t="s">
        <v>3418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46" t="s">
        <v>2226</v>
      </c>
      <c r="T34" s="315" t="str">
        <f>NUMBERSTRING(7-K34,1)&amp;"通"</f>
        <v>七通</v>
      </c>
      <c r="U34" s="2244"/>
      <c r="V34" s="2244"/>
    </row>
    <row r="35" spans="1:30">
      <c r="A35" s="2235"/>
      <c r="B35" s="3246" t="s">
        <v>2227</v>
      </c>
      <c r="C35" s="3246"/>
      <c r="D35" s="3246"/>
      <c r="E35" s="324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2577</v>
      </c>
      <c r="G36" s="2441"/>
      <c r="H36" s="2441"/>
      <c r="I36" s="2441"/>
      <c r="J36" s="2244"/>
      <c r="K36" s="2401"/>
      <c r="L36" s="2398"/>
      <c r="M36" s="2398"/>
      <c r="N36" s="2244"/>
      <c r="O36" s="1670"/>
      <c r="P36" s="2244"/>
      <c r="Q36" s="2244"/>
      <c r="R36" s="2244"/>
      <c r="S36" s="2244"/>
      <c r="T36" s="2244"/>
      <c r="U36" s="2244"/>
      <c r="V36" s="2244"/>
    </row>
    <row r="37" spans="1:30">
      <c r="A37" s="2414" t="s">
        <v>2228</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812.22000000000014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812.22000000000014</v>
      </c>
      <c r="H5" s="13">
        <f t="shared" ref="H5:AT5" si="0">SUM(H13:H656)</f>
        <v>812.22000000000014</v>
      </c>
      <c r="I5" s="13">
        <f t="shared" si="0"/>
        <v>812.22000000000014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812.22000000000014</v>
      </c>
      <c r="BA5" s="15">
        <f t="shared" si="1"/>
        <v>812.22000000000014</v>
      </c>
      <c r="BB5" s="15">
        <f t="shared" si="1"/>
        <v>812.22000000000014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面积信息!A2</f>
        <v>X京房权证顺字第245116号</v>
      </c>
      <c r="D13" s="1513" t="s">
        <v>3414</v>
      </c>
      <c r="E13" s="13">
        <f>IF($C$3="是",ROUND($A$3*G13/$B$3,2),ROUND($A$3*(G13-AT13)/$B$3,2))</f>
        <v>0</v>
      </c>
      <c r="F13" s="29"/>
      <c r="G13" s="30">
        <f>H13+AC13+AT13</f>
        <v>440.62000000000018</v>
      </c>
      <c r="H13" s="17">
        <f>SUMIF(I$12:AB$12,"总值",I13:AB13)</f>
        <v>440.62000000000018</v>
      </c>
      <c r="I13" s="1514">
        <f>面积信息!H16</f>
        <v>440.62000000000018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X京房权证顺字第245116号</v>
      </c>
      <c r="AY13" s="1260">
        <f>ROUND($AY$6*AZ13/$AZ$5,2)</f>
        <v>0</v>
      </c>
      <c r="AZ13" s="13">
        <f>BA13+BL13</f>
        <v>440.62000000000018</v>
      </c>
      <c r="BA13" s="13">
        <f>SUM(BB13:BK13)</f>
        <v>440.62000000000018</v>
      </c>
      <c r="BB13" s="13">
        <f>IF($D13="是",I13-J13,0)</f>
        <v>440.62000000000018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1462" t="str">
        <f>面积信息!A21</f>
        <v>X京房权证顺字第242127号</v>
      </c>
      <c r="D14" s="1513" t="s">
        <v>3414</v>
      </c>
      <c r="E14" s="13">
        <f>IF($C$3="是",ROUND($A$3*G14/$B$3,2),ROUND($A$3*(G14-AT14)/$B$3,2))</f>
        <v>0</v>
      </c>
      <c r="F14" s="29"/>
      <c r="G14" s="30">
        <f>H14+AC14+AT14</f>
        <v>371.59999999999997</v>
      </c>
      <c r="H14" s="17">
        <f>SUMIF(I$12:AB$12,"总值",I14:AB14)</f>
        <v>371.59999999999997</v>
      </c>
      <c r="I14" s="1514">
        <f>面积信息!H34</f>
        <v>371.59999999999997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X京房权证顺字第242127号</v>
      </c>
      <c r="AY14" s="1260">
        <f>ROUND($AY$6*AZ14/$AZ$5,2)</f>
        <v>0</v>
      </c>
      <c r="AZ14" s="13">
        <f>BA14+BL14</f>
        <v>371.59999999999997</v>
      </c>
      <c r="BA14" s="13">
        <f>SUM(BB14:BK14)</f>
        <v>371.59999999999997</v>
      </c>
      <c r="BB14" s="13">
        <f>IF($D14="是",I14-J14,0)</f>
        <v>371.59999999999997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2" t="s">
        <v>1131</v>
      </c>
      <c r="B2" s="3262"/>
      <c r="C2" s="3262"/>
      <c r="D2" s="748" t="s">
        <v>1107</v>
      </c>
      <c r="E2" s="1523" t="s">
        <v>1108</v>
      </c>
      <c r="F2" s="2438"/>
      <c r="G2" s="2431"/>
      <c r="H2" s="2432"/>
      <c r="I2" s="2146" t="s">
        <v>1132</v>
      </c>
      <c r="J2" s="2438"/>
      <c r="K2" s="2438"/>
      <c r="L2" s="2438"/>
      <c r="M2" s="2438"/>
      <c r="N2" s="2439"/>
      <c r="O2" s="2438"/>
      <c r="P2" s="2438"/>
    </row>
    <row r="3" spans="1:16" ht="15" thickBot="1">
      <c r="A3" s="3263" t="s">
        <v>1105</v>
      </c>
      <c r="B3" s="3263"/>
      <c r="C3" s="3263"/>
      <c r="D3" s="41">
        <f>'数据-基础表'!AY6</f>
        <v>0</v>
      </c>
      <c r="E3" s="41">
        <f>'数据-基础表'!AZ5</f>
        <v>812.22000000000014</v>
      </c>
      <c r="F3" s="2438"/>
      <c r="G3" s="42"/>
      <c r="H3" s="43" t="s">
        <v>1106</v>
      </c>
      <c r="I3" s="802" t="e">
        <f>ROUND('数据-基础表'!B3/'数据-基础表'!A3,2)</f>
        <v>#DIV/0!</v>
      </c>
      <c r="J3" s="2438"/>
      <c r="K3" s="2438"/>
      <c r="L3" s="2438"/>
      <c r="M3" s="2438"/>
      <c r="N3" s="2439"/>
      <c r="O3" s="2438"/>
      <c r="P3" s="2438"/>
    </row>
    <row r="4" spans="1:16" ht="14.4">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7" t="s">
        <v>1111</v>
      </c>
      <c r="C6" s="3267"/>
      <c r="D6" s="43">
        <f>ROUND($D$3*E6/$E$3,2)</f>
        <v>0</v>
      </c>
      <c r="E6" s="44">
        <f>E3-E5</f>
        <v>812.22000000000014</v>
      </c>
      <c r="F6" s="2438"/>
      <c r="G6" s="1529" t="s">
        <v>1112</v>
      </c>
      <c r="H6" s="45" t="s">
        <v>1113</v>
      </c>
      <c r="I6" s="2434" t="e">
        <f>ROUND(F31/D31,2)</f>
        <v>#DIV/0!</v>
      </c>
      <c r="J6" s="2438"/>
      <c r="K6" s="2438"/>
      <c r="L6" s="2438"/>
      <c r="M6" s="2438"/>
      <c r="N6" s="2438"/>
      <c r="O6" s="2438"/>
      <c r="P6" s="2438"/>
    </row>
    <row r="7" spans="1:16" ht="15" thickBot="1">
      <c r="A7" s="3259"/>
      <c r="B7" s="3260"/>
      <c r="C7" s="326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812.22000000000014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812.22000000000014</v>
      </c>
      <c r="F16" s="2438"/>
      <c r="G16" s="2438"/>
      <c r="H16" s="1531" t="s">
        <v>1135</v>
      </c>
      <c r="I16" s="1532"/>
      <c r="J16" s="1071"/>
      <c r="K16" s="3256" t="s">
        <v>1135</v>
      </c>
      <c r="L16" s="3257"/>
      <c r="M16" s="3257"/>
      <c r="N16" s="3257"/>
      <c r="O16" s="3257"/>
      <c r="P16" s="3258"/>
    </row>
    <row r="17" spans="1:19" ht="14.4">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3424</v>
      </c>
      <c r="D19" s="43">
        <f>ROUND($D$3*E19/$E$3,2)</f>
        <v>0</v>
      </c>
      <c r="E19" s="51">
        <f t="shared" ref="E19:E26" si="1">SUM(F19:G19)</f>
        <v>440.62000000000018</v>
      </c>
      <c r="F19" s="2556">
        <f>'数据-基础表'!G13</f>
        <v>440.62000000000018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440.62000000000018</v>
      </c>
    </row>
    <row r="20" spans="1:19" ht="14.4">
      <c r="A20" s="1549"/>
      <c r="B20" s="45" t="s">
        <v>1153</v>
      </c>
      <c r="C20" s="3114" t="s">
        <v>3425</v>
      </c>
      <c r="D20" s="43">
        <f t="shared" ref="D20:D26" si="6">ROUND($D$3*E20/$E$3,2)</f>
        <v>0</v>
      </c>
      <c r="E20" s="51">
        <f t="shared" si="1"/>
        <v>371.59999999999997</v>
      </c>
      <c r="F20" s="2556">
        <f>'数据-基础表'!H14</f>
        <v>371.59999999999997</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371.59999999999997</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812.22000000000014</v>
      </c>
      <c r="F27" s="1072">
        <f>IF(SUM(F19:F26)=E8,SUM(F19:F26),"地上面积有误")</f>
        <v>812.22000000000014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812.22000000000014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812.22000000000014</v>
      </c>
      <c r="F31" s="644">
        <f>F27+F30</f>
        <v>812.22000000000014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P01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16.46</v>
      </c>
      <c r="G6" s="62">
        <f>IF(ISERROR(ROUND(POWER(1+H6,D6-F6)*(POWER(1+H6,F6)-1)/(POWER(1+H6,D6)-1),3)),0,ROUND(POWER(1+H6,D6-F6)*(POWER(1+H6,F6)-1)/(POWER(1+H6,D6)-1),3))</f>
        <v>0.64300000000000002</v>
      </c>
      <c r="H6" s="691">
        <v>0.05</v>
      </c>
      <c r="I6" s="691">
        <v>5.5E-2</v>
      </c>
      <c r="J6" s="63">
        <v>7.0000000000000007E-2</v>
      </c>
      <c r="K6" s="970">
        <f>SUMIF('数据-汇总表'!C$19:C$33,A6,'数据-汇总表'!E$19:E$33)</f>
        <v>440.62000000000018</v>
      </c>
      <c r="L6" s="692">
        <v>3500</v>
      </c>
      <c r="M6" s="64">
        <f t="shared" ref="M6:M14" si="0">ROUND(K6*L6/10000,0)</f>
        <v>154</v>
      </c>
      <c r="N6" s="690">
        <f>M19</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案例!S17</f>
        <v>2.08</v>
      </c>
      <c r="V6" s="67">
        <v>0.02</v>
      </c>
      <c r="W6" s="67">
        <v>0.1</v>
      </c>
      <c r="X6" s="979"/>
      <c r="Y6" s="68">
        <f>N6</f>
        <v>0.68</v>
      </c>
      <c r="Z6" s="69"/>
      <c r="AA6" s="63"/>
      <c r="AB6" s="63"/>
      <c r="AC6" s="979"/>
      <c r="AD6" s="70"/>
      <c r="AE6" s="980">
        <f ca="1">IF(AN6="",0,SUMIF(INDIRECT("'"&amp;AN6&amp;"'"&amp;"!E:E"),$AE$5,INDIRECT("'"&amp;AN6&amp;"'"&amp;"!F:F")))</f>
        <v>16.46</v>
      </c>
      <c r="AF6" s="74"/>
      <c r="AG6" s="130">
        <f>IF(AF6="",0,AE6-AF6)</f>
        <v>0</v>
      </c>
      <c r="AH6" s="71"/>
      <c r="AI6" s="73">
        <v>365</v>
      </c>
      <c r="AJ6" s="74"/>
      <c r="AK6" s="75">
        <v>4.0000000000000001E-3</v>
      </c>
      <c r="AL6" s="76">
        <v>1E-3</v>
      </c>
      <c r="AM6" s="77">
        <v>5.0000000000000001E-3</v>
      </c>
      <c r="AN6" s="1589" t="s">
        <v>3433</v>
      </c>
      <c r="AO6" s="50">
        <f ca="1">SUMIF(INDIRECT("'"&amp;AN6&amp;"'"&amp;"!A:A"),"总价",INDIRECT("'"&amp;AN6&amp;"'"&amp;"!B:B"))</f>
        <v>355.9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P02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16.46</v>
      </c>
      <c r="G7" s="62">
        <f t="shared" ref="G7:G11" si="2">IF(ISERROR(ROUND(POWER(1+H7,D7-F7)*(POWER(1+H7,F7)-1)/(POWER(1+H7,D7)-1),3)),0,ROUND(POWER(1+H7,D7-F7)*(POWER(1+H7,F7)-1)/(POWER(1+H7,D7)-1),3))</f>
        <v>0.64300000000000002</v>
      </c>
      <c r="H7" s="691">
        <f>H6</f>
        <v>0.05</v>
      </c>
      <c r="I7" s="691">
        <f>I6</f>
        <v>5.5E-2</v>
      </c>
      <c r="J7" s="63">
        <f>J6</f>
        <v>7.0000000000000007E-2</v>
      </c>
      <c r="K7" s="970">
        <f>SUMIF('数据-汇总表'!C$19:C$33,A7,'数据-汇总表'!E$19:E$33)</f>
        <v>371.59999999999997</v>
      </c>
      <c r="L7" s="692">
        <f>L6</f>
        <v>3500</v>
      </c>
      <c r="M7" s="64">
        <f t="shared" si="0"/>
        <v>130</v>
      </c>
      <c r="N7" s="690">
        <f>N6</f>
        <v>0.68</v>
      </c>
      <c r="O7" s="64" t="str">
        <f t="shared" ref="O7:O14" si="3">IF($N$5="成新度","——",ROUND(M7*N7,0))</f>
        <v>——</v>
      </c>
      <c r="P7" s="65" t="str">
        <f t="shared" ref="P7:P14" si="4">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f>
        <v>2.08</v>
      </c>
      <c r="V7" s="67">
        <f>V6</f>
        <v>0.02</v>
      </c>
      <c r="W7" s="67">
        <f>W6</f>
        <v>0.1</v>
      </c>
      <c r="X7" s="979"/>
      <c r="Y7" s="68">
        <f>Y6</f>
        <v>0.68</v>
      </c>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f>AK6</f>
        <v>4.0000000000000001E-3</v>
      </c>
      <c r="AL7" s="76">
        <f>AL6</f>
        <v>1E-3</v>
      </c>
      <c r="AM7" s="77">
        <f>AM6</f>
        <v>5.0000000000000001E-3</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0.64300000000000002</v>
      </c>
      <c r="H16" s="84">
        <f>ROUND(SUMPRODUCT(H6:H13,K6:K13)/SUMPRODUCT((H6:H13&gt;0)*(K6:K13)),3)</f>
        <v>0.05</v>
      </c>
      <c r="I16" s="85"/>
      <c r="J16" s="85"/>
      <c r="K16" s="86">
        <f>SUM(K6:K15)</f>
        <v>812.22000000000014</v>
      </c>
      <c r="L16" s="87">
        <f>ROUND(M16*10000/SUM(K6:K14),0)</f>
        <v>3497</v>
      </c>
      <c r="M16" s="87">
        <f>SUM(M6:M14)</f>
        <v>284</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164" t="s">
        <v>3428</v>
      </c>
      <c r="M18" s="2447">
        <v>2006</v>
      </c>
      <c r="N18" s="3165" t="s">
        <v>3429</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3164" t="s">
        <v>3430</v>
      </c>
      <c r="M19" s="2447">
        <f>ROUND(1-(1-0)*(2025-M18)/60,2)</f>
        <v>0.68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3379</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3380</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3381</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2308</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3166" t="s">
        <v>3431</v>
      </c>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3167" t="s">
        <v>3432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3382</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8" t="s">
        <v>2284</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812.22000000000014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45761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1061</v>
      </c>
      <c r="C5" s="2299">
        <f ca="1">IF(B5=D14,结果表!H102,ROUND(B5*10000/$B$1,0))</f>
        <v>13001</v>
      </c>
      <c r="D5" s="2299" t="e">
        <f ca="1">ROUND(B5*10000/$B$2,0)</f>
        <v>#DIV/0!</v>
      </c>
      <c r="E5" s="2460"/>
      <c r="F5" s="2461"/>
      <c r="G5" s="2461"/>
      <c r="H5" s="2461"/>
      <c r="I5" s="2461"/>
      <c r="J5" s="2461"/>
      <c r="K5" s="2461"/>
    </row>
    <row r="6" spans="1:11" ht="15.6">
      <c r="A6" s="2299" t="s">
        <v>656</v>
      </c>
      <c r="B6" s="2299">
        <f>SUM(G14:G23)</f>
        <v>0</v>
      </c>
      <c r="C6" s="2299">
        <f ca="1">IF(B6=G14,结果表!H108,ROUND(B6*10000/$B$1,0))</f>
        <v>13001</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3352</v>
      </c>
      <c r="D10" s="2299" t="s">
        <v>3353</v>
      </c>
      <c r="E10" s="3135"/>
      <c r="F10" s="3139" t="s">
        <v>3354</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812.22000000000014</v>
      </c>
      <c r="C14" s="2305"/>
      <c r="D14" s="2305">
        <f ca="1">典型户型修正!B20</f>
        <v>1061</v>
      </c>
      <c r="E14" s="2305">
        <f ca="1">ROUND(D14*10000/B14,0)</f>
        <v>13063</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70" zoomScaleNormal="100" zoomScaleSheetLayoutView="70" zoomScalePageLayoutView="80" workbookViewId="0">
      <selection activeCell="D14" sqref="D14:D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3423</v>
      </c>
      <c r="D1" s="646"/>
      <c r="E1" s="646"/>
      <c r="F1" s="1621" t="s">
        <v>1263</v>
      </c>
      <c r="G1" s="1453" t="s">
        <v>3418</v>
      </c>
      <c r="H1" s="1621" t="str">
        <f>IF(G1="现房","——","估价对象范围")</f>
        <v>——</v>
      </c>
      <c r="I1" s="1622"/>
    </row>
    <row r="2" spans="1:12" ht="21.75" customHeight="1" thickBot="1">
      <c r="A2" s="3337" t="str">
        <f>项目基本情况!S2</f>
        <v>北京市顺义区华英园9号房地产</v>
      </c>
      <c r="B2" s="3338"/>
      <c r="C2" s="3338"/>
      <c r="D2" s="3338"/>
      <c r="E2" s="3338"/>
      <c r="F2" s="3338"/>
      <c r="G2" s="3338"/>
      <c r="H2" s="3338"/>
      <c r="I2" s="3339"/>
    </row>
    <row r="3" spans="1:12" ht="13.2">
      <c r="A3" s="3341" t="s">
        <v>1264</v>
      </c>
      <c r="B3" s="3342"/>
      <c r="C3" s="3342"/>
      <c r="D3" s="3342"/>
      <c r="E3" s="3342"/>
      <c r="F3" s="3342"/>
      <c r="G3" s="3342"/>
      <c r="H3" s="3342"/>
      <c r="I3" s="3342"/>
    </row>
    <row r="4" spans="1:12" ht="14.4">
      <c r="A4" s="1624" t="s">
        <v>1265</v>
      </c>
      <c r="B4" s="1625" t="s">
        <v>1266</v>
      </c>
      <c r="C4" s="1626" t="s">
        <v>3517</v>
      </c>
      <c r="D4" s="1626" t="s">
        <v>3433</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340">
        <v>25</v>
      </c>
      <c r="C5" s="3343"/>
      <c r="D5" s="3331"/>
      <c r="E5" s="123" t="s">
        <v>1269</v>
      </c>
      <c r="F5" s="1627"/>
      <c r="G5" s="1627"/>
      <c r="H5" s="1627"/>
      <c r="I5" s="1281"/>
    </row>
    <row r="6" spans="1:12" ht="13.2">
      <c r="A6" s="3285"/>
      <c r="B6" s="3340"/>
      <c r="C6" s="3345"/>
      <c r="D6" s="3331"/>
      <c r="E6" s="123" t="s">
        <v>1270</v>
      </c>
      <c r="F6" s="1627"/>
      <c r="G6" s="1627"/>
      <c r="H6" s="1627"/>
      <c r="I6" s="1281"/>
    </row>
    <row r="7" spans="1:12" ht="13.2">
      <c r="A7" s="3285"/>
      <c r="B7" s="3340"/>
      <c r="C7" s="3344"/>
      <c r="D7" s="3331"/>
      <c r="E7" s="123" t="s">
        <v>1271</v>
      </c>
      <c r="F7" s="1627"/>
      <c r="G7" s="1627"/>
      <c r="H7" s="1627"/>
      <c r="I7" s="1281"/>
    </row>
    <row r="8" spans="1:12" ht="13.2">
      <c r="A8" s="3285" t="s">
        <v>1272</v>
      </c>
      <c r="B8" s="3340">
        <v>15</v>
      </c>
      <c r="C8" s="3343"/>
      <c r="D8" s="3331"/>
      <c r="E8" s="123" t="s">
        <v>1273</v>
      </c>
      <c r="F8" s="1627"/>
      <c r="G8" s="1627"/>
      <c r="H8" s="1627"/>
      <c r="I8" s="1281"/>
    </row>
    <row r="9" spans="1:12" ht="13.2">
      <c r="A9" s="3285"/>
      <c r="B9" s="3340"/>
      <c r="C9" s="3344"/>
      <c r="D9" s="3331"/>
      <c r="E9" s="123" t="s">
        <v>1274</v>
      </c>
      <c r="F9" s="1627"/>
      <c r="G9" s="1627"/>
      <c r="H9" s="1627"/>
      <c r="I9" s="1281"/>
    </row>
    <row r="10" spans="1:12" ht="13.2">
      <c r="A10" s="3285" t="s">
        <v>1275</v>
      </c>
      <c r="B10" s="3340">
        <v>15</v>
      </c>
      <c r="C10" s="3343"/>
      <c r="D10" s="3331"/>
      <c r="E10" s="123" t="s">
        <v>1276</v>
      </c>
      <c r="F10" s="1627"/>
      <c r="G10" s="1627"/>
      <c r="H10" s="1627"/>
      <c r="I10" s="1281"/>
    </row>
    <row r="11" spans="1:12" ht="13.2">
      <c r="A11" s="3285"/>
      <c r="B11" s="3340"/>
      <c r="C11" s="3344"/>
      <c r="D11" s="3331"/>
      <c r="E11" s="123" t="s">
        <v>1277</v>
      </c>
      <c r="F11" s="1627"/>
      <c r="G11" s="1627"/>
      <c r="H11" s="1627"/>
      <c r="I11" s="1281"/>
    </row>
    <row r="12" spans="1:12" ht="13.2">
      <c r="A12" s="3285" t="s">
        <v>1278</v>
      </c>
      <c r="B12" s="3340">
        <v>15</v>
      </c>
      <c r="C12" s="3343"/>
      <c r="D12" s="3331"/>
      <c r="E12" s="123" t="s">
        <v>1279</v>
      </c>
      <c r="F12" s="1627"/>
      <c r="G12" s="1627"/>
      <c r="H12" s="1627"/>
      <c r="I12" s="1281"/>
    </row>
    <row r="13" spans="1:12" ht="13.2">
      <c r="A13" s="3285"/>
      <c r="B13" s="3340"/>
      <c r="C13" s="3344"/>
      <c r="D13" s="3331"/>
      <c r="E13" s="123" t="s">
        <v>1280</v>
      </c>
      <c r="F13" s="1627"/>
      <c r="G13" s="1627"/>
      <c r="H13" s="1627"/>
      <c r="I13" s="1281"/>
    </row>
    <row r="14" spans="1:12" ht="13.2">
      <c r="A14" s="3285" t="s">
        <v>1281</v>
      </c>
      <c r="B14" s="3340">
        <v>30</v>
      </c>
      <c r="C14" s="3343">
        <v>6</v>
      </c>
      <c r="D14" s="3331">
        <v>4</v>
      </c>
      <c r="E14" s="123" t="s">
        <v>1282</v>
      </c>
      <c r="F14" s="1627"/>
      <c r="G14" s="1627"/>
      <c r="H14" s="1627"/>
      <c r="I14" s="1281"/>
    </row>
    <row r="15" spans="1:12" ht="13.2">
      <c r="A15" s="3285"/>
      <c r="B15" s="3340"/>
      <c r="C15" s="3345"/>
      <c r="D15" s="3331"/>
      <c r="E15" s="123" t="s">
        <v>1283</v>
      </c>
      <c r="F15" s="1627"/>
      <c r="G15" s="1627"/>
      <c r="H15" s="1627"/>
      <c r="I15" s="1281"/>
    </row>
    <row r="16" spans="1:12" ht="13.2">
      <c r="A16" s="3285"/>
      <c r="B16" s="3340"/>
      <c r="C16" s="3344"/>
      <c r="D16" s="333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2" t="s">
        <v>2129</v>
      </c>
      <c r="F18" s="3363"/>
      <c r="G18" s="3363"/>
      <c r="H18" s="3363"/>
      <c r="I18" s="3363"/>
      <c r="K18" s="294" t="s">
        <v>1289</v>
      </c>
      <c r="L18" s="294">
        <f>IF(C1="",'数据-汇总表'!E3,SUMIF(项目类型,C1,'数据-汇总表'!E17:E26)+SUMIF(项目类型,C1,'数据-汇总表'!I17:I26))</f>
        <v>440.62000000000018</v>
      </c>
      <c r="M18" s="294">
        <f>IF(C1="",'数据-汇总表'!E3,SUMIF(项目类型,C1,'数据-汇总表'!E17:E26))</f>
        <v>440.62000000000018</v>
      </c>
    </row>
    <row r="19" spans="1:36" ht="14.4">
      <c r="A19" s="1630" t="s">
        <v>1290</v>
      </c>
      <c r="B19" s="1631" t="s">
        <v>1291</v>
      </c>
      <c r="C19" s="126">
        <f ca="1">SUMIF(INDIRECT("'"&amp;C4&amp;"'"&amp;"!A:A"),结果表!B19,INDIRECT("'"&amp;C4&amp;"'"&amp;"!B:B"))</f>
        <v>717.50559999999996</v>
      </c>
      <c r="D19" s="127">
        <f ca="1">SUMIF(INDIRECT("'"&amp;D4&amp;"'"&amp;"!A:A"),结果表!B19,INDIRECT("'"&amp;D4&amp;"'"&amp;"!B:B"))</f>
        <v>355.9</v>
      </c>
      <c r="E19" s="1630" t="s">
        <v>1292</v>
      </c>
      <c r="F19" s="1631" t="s">
        <v>1291</v>
      </c>
      <c r="G19" s="128">
        <f ca="1">ROUND(C19*$C$18+D19*$D$18,0)</f>
        <v>573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16284</v>
      </c>
      <c r="D20" s="130">
        <f ca="1">SUMIF(INDIRECT("'"&amp;D4&amp;"'"&amp;"!A:A"),结果表!B20,INDIRECT("'"&amp;D4&amp;"'"&amp;"!B:B"))</f>
        <v>8077</v>
      </c>
      <c r="E20" s="1633"/>
      <c r="F20" s="43" t="s">
        <v>1295</v>
      </c>
      <c r="G20" s="131">
        <f ca="1">ROUND(C20*$C$18+D20*$D$18,0)</f>
        <v>13001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1.0160314695139085</v>
      </c>
      <c r="E22" s="121"/>
      <c r="F22" s="121"/>
      <c r="G22" s="121"/>
      <c r="H22" s="121"/>
      <c r="I22" s="121"/>
    </row>
    <row r="23" spans="1:36" ht="13.8" thickBot="1">
      <c r="A23" s="646"/>
      <c r="B23" s="646"/>
      <c r="C23" s="646"/>
      <c r="D23" s="646"/>
      <c r="E23" s="121"/>
      <c r="F23" s="121"/>
      <c r="G23" s="121"/>
      <c r="H23" s="121"/>
      <c r="I23" s="121"/>
    </row>
    <row r="24" spans="1:36" ht="14.4">
      <c r="A24" s="3355" t="s">
        <v>1299</v>
      </c>
      <c r="B24" s="1631" t="s">
        <v>1291</v>
      </c>
      <c r="C24" s="128">
        <f>IF(B30=0,0,D30)</f>
        <v>0</v>
      </c>
      <c r="D24" s="1637"/>
      <c r="E24" s="121"/>
      <c r="F24" s="121"/>
      <c r="G24" s="121"/>
      <c r="H24" s="121"/>
      <c r="I24" s="121"/>
    </row>
    <row r="25" spans="1:36" ht="14.4">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13001</v>
      </c>
      <c r="D32" s="1641" t="s">
        <v>3521</v>
      </c>
      <c r="E32" s="121"/>
      <c r="F32" s="121"/>
      <c r="G32" s="121"/>
      <c r="H32" s="121"/>
      <c r="I32" s="121"/>
    </row>
    <row r="33" spans="1:15" ht="14.4">
      <c r="A33" s="740" t="s">
        <v>1306</v>
      </c>
      <c r="B33" s="123"/>
      <c r="C33" s="1642" t="s">
        <v>3522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2" t="s">
        <v>1312</v>
      </c>
      <c r="B36" s="1652" t="s">
        <v>1313</v>
      </c>
      <c r="C36" s="137"/>
      <c r="D36" s="1653"/>
      <c r="E36" s="1567"/>
      <c r="F36" s="1654"/>
      <c r="G36" s="121"/>
      <c r="H36" s="121"/>
      <c r="I36" s="121"/>
    </row>
    <row r="37" spans="1:15" ht="15" thickBot="1">
      <c r="A37" s="3333"/>
      <c r="B37" s="1555" t="s">
        <v>1314</v>
      </c>
      <c r="C37" s="139"/>
      <c r="D37" s="1071"/>
      <c r="E37" s="1071"/>
      <c r="F37" s="1654"/>
      <c r="G37" s="121"/>
      <c r="H37" s="121"/>
      <c r="I37" s="121"/>
    </row>
    <row r="38" spans="1:15" ht="15" thickBot="1">
      <c r="A38" s="333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f ca="1">ROUND(H101*F45,0)</f>
        <v>573</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9">
        <v>1</v>
      </c>
      <c r="K46" s="3273" t="s">
        <v>1331</v>
      </c>
      <c r="L46" s="3273"/>
      <c r="M46" s="3274"/>
      <c r="N46" s="3274"/>
      <c r="O46" s="3274"/>
    </row>
    <row r="47" spans="1:15" ht="12" customHeight="1">
      <c r="A47" s="152" t="s">
        <v>1332</v>
      </c>
      <c r="B47" s="153"/>
      <c r="C47" s="154"/>
      <c r="D47" s="1024" t="s">
        <v>1333</v>
      </c>
      <c r="E47" s="294" t="s">
        <v>1334</v>
      </c>
      <c r="F47" s="155" t="s">
        <v>1335</v>
      </c>
      <c r="G47" s="2332" t="s">
        <v>1336</v>
      </c>
      <c r="H47" s="2333"/>
      <c r="I47" s="151"/>
      <c r="J47" s="2309">
        <v>2</v>
      </c>
      <c r="K47" s="3273" t="s">
        <v>1337</v>
      </c>
      <c r="L47" s="3273"/>
      <c r="M47" s="3275">
        <f>'数据-取费表'!B2</f>
        <v>45761</v>
      </c>
      <c r="N47" s="3275"/>
      <c r="O47" s="3275"/>
    </row>
    <row r="48" spans="1:15" ht="26.4">
      <c r="A48" s="3335" t="s">
        <v>1338</v>
      </c>
      <c r="B48" s="3336"/>
      <c r="C48" s="333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3" t="s">
        <v>1340</v>
      </c>
      <c r="L48" s="3273"/>
      <c r="M48" s="3276">
        <f ca="1">H101</f>
        <v>573</v>
      </c>
      <c r="N48" s="3276"/>
      <c r="O48" s="3276"/>
    </row>
    <row r="49" spans="1:35" ht="25.5" customHeight="1">
      <c r="A49" s="2152" t="s">
        <v>1341</v>
      </c>
      <c r="B49" s="3321" t="s">
        <v>1342</v>
      </c>
      <c r="C49" s="3321"/>
      <c r="D49" s="1478">
        <v>0</v>
      </c>
      <c r="E49" s="316" t="s">
        <v>1343</v>
      </c>
      <c r="F49" s="2232" t="s">
        <v>28</v>
      </c>
      <c r="G49" s="3304"/>
      <c r="H49" s="2134" t="s">
        <v>2132</v>
      </c>
      <c r="I49" s="2135"/>
      <c r="J49" s="2309">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7"/>
      <c r="B50" s="3321" t="s">
        <v>1344</v>
      </c>
      <c r="C50" s="3321"/>
      <c r="D50" s="2189"/>
      <c r="E50" s="323"/>
      <c r="F50" s="2232"/>
      <c r="G50" s="3305"/>
      <c r="H50" s="2136" t="s">
        <v>2133</v>
      </c>
      <c r="I50" s="2135"/>
      <c r="J50" s="3272" t="s">
        <v>1345</v>
      </c>
      <c r="K50" s="3272"/>
      <c r="L50" s="3272"/>
      <c r="M50" s="3272"/>
      <c r="N50" s="3272"/>
      <c r="O50" s="3272"/>
    </row>
    <row r="51" spans="1:35" ht="20.399999999999999" customHeight="1">
      <c r="A51" s="2338"/>
      <c r="B51" s="3321" t="s">
        <v>1346</v>
      </c>
      <c r="C51" s="3321"/>
      <c r="D51" s="1024"/>
      <c r="E51" s="319"/>
      <c r="F51" s="2232"/>
      <c r="G51" s="3306"/>
      <c r="H51" s="2136" t="s">
        <v>2134</v>
      </c>
      <c r="I51" s="2135"/>
      <c r="J51" s="2310" t="s">
        <v>1347</v>
      </c>
      <c r="K51" s="3273" t="s">
        <v>1348</v>
      </c>
      <c r="L51" s="3273"/>
      <c r="M51" s="2310" t="s">
        <v>1349</v>
      </c>
      <c r="N51" s="2310" t="s">
        <v>1350</v>
      </c>
      <c r="O51" s="2310" t="s">
        <v>1351</v>
      </c>
    </row>
    <row r="52" spans="1:35" ht="24" customHeight="1">
      <c r="A52" s="2153" t="s">
        <v>1352</v>
      </c>
      <c r="B52" s="3321" t="s">
        <v>1353</v>
      </c>
      <c r="C52" s="3321"/>
      <c r="D52" s="1024">
        <f ca="1">ROUND(D45*'数据-取费表'!B41/(1+'数据-取费表'!C42),0)</f>
        <v>30</v>
      </c>
      <c r="E52" s="1256" t="s">
        <v>1354</v>
      </c>
      <c r="F52" s="2339">
        <f>'数据-取费表'!B41</f>
        <v>5.5000000000000007E-2</v>
      </c>
      <c r="G52" s="2340"/>
      <c r="H52" s="2330"/>
      <c r="I52" s="1669"/>
      <c r="J52" s="2309">
        <v>1</v>
      </c>
      <c r="K52" s="3298" t="s">
        <v>1355</v>
      </c>
      <c r="L52" s="3298"/>
      <c r="M52" s="2311" t="b">
        <f>D48</f>
        <v>0</v>
      </c>
      <c r="N52" s="2309" t="str">
        <f>E48</f>
        <v>销售额×税（费）率</v>
      </c>
      <c r="O52" s="2312">
        <f>F48</f>
        <v>5.5000000000000007E-2</v>
      </c>
    </row>
    <row r="53" spans="1:35" ht="12" customHeight="1">
      <c r="A53" s="2153" t="s">
        <v>1356</v>
      </c>
      <c r="B53" s="3322" t="s">
        <v>2289</v>
      </c>
      <c r="C53" s="3323"/>
      <c r="D53" s="1024">
        <f ca="1">ROUND(D45*'数据-取费表'!B41/(1+'数据-取费表'!C42),0)</f>
        <v>30</v>
      </c>
      <c r="E53" s="1256" t="s">
        <v>1354</v>
      </c>
      <c r="F53" s="2339">
        <f>'数据-取费表'!B41</f>
        <v>5.5000000000000007E-2</v>
      </c>
      <c r="G53" s="2340"/>
      <c r="H53" s="2330"/>
      <c r="I53" s="1669"/>
      <c r="J53" s="2309">
        <v>2</v>
      </c>
      <c r="K53" s="3298" t="s">
        <v>1357</v>
      </c>
      <c r="L53" s="3298"/>
      <c r="M53" s="2311">
        <f t="shared" ref="M53:O54" ca="1" si="0">D55</f>
        <v>0</v>
      </c>
      <c r="N53" s="2309" t="str">
        <f t="shared" si="0"/>
        <v>销售额×税（费）率</v>
      </c>
      <c r="O53" s="2312" t="str">
        <f t="shared" si="0"/>
        <v>免征</v>
      </c>
    </row>
    <row r="54" spans="1:35" ht="12" customHeight="1">
      <c r="A54" s="2153" t="s">
        <v>1358</v>
      </c>
      <c r="B54" s="3322" t="s">
        <v>2290</v>
      </c>
      <c r="C54" s="3323"/>
      <c r="D54" s="1024">
        <f ca="1">C68</f>
        <v>30</v>
      </c>
      <c r="E54" s="319" t="s">
        <v>1359</v>
      </c>
      <c r="F54" s="2339">
        <f>'数据-取费表'!B41</f>
        <v>5.5000000000000007E-2</v>
      </c>
      <c r="G54" s="2340"/>
      <c r="H54" s="2341"/>
      <c r="I54" s="1669"/>
      <c r="J54" s="2309">
        <v>3</v>
      </c>
      <c r="K54" s="3298" t="s">
        <v>1360</v>
      </c>
      <c r="L54" s="3298"/>
      <c r="M54" s="2311">
        <f t="shared" ca="1" si="0"/>
        <v>325</v>
      </c>
      <c r="N54" s="2309" t="str">
        <f t="shared" si="0"/>
        <v>增值额×税（费）率</v>
      </c>
      <c r="O54" s="2313" t="str">
        <f t="shared" si="0"/>
        <v>免征</v>
      </c>
    </row>
    <row r="55" spans="1:35" ht="24" customHeight="1">
      <c r="A55" s="3358" t="s">
        <v>1361</v>
      </c>
      <c r="B55" s="3336"/>
      <c r="C55" s="3336"/>
      <c r="D55" s="12">
        <f ca="1">IF(H55="个人住宅",0,ROUND(D45*I55,0))</f>
        <v>0</v>
      </c>
      <c r="E55" s="1256" t="s">
        <v>1362</v>
      </c>
      <c r="F55" s="2339" t="str">
        <f>IF(H55="正常",I55,"免征")</f>
        <v>免征</v>
      </c>
      <c r="G55" s="2340"/>
      <c r="H55" s="2336"/>
      <c r="I55" s="157">
        <f>'数据-取费表'!B49</f>
        <v>5.0000000000000001E-4</v>
      </c>
      <c r="J55" s="2309">
        <f>IF(H59="非个人房产","",4)</f>
        <v>4</v>
      </c>
      <c r="K55" s="3298" t="str">
        <f>IF(H59="非个人房产","——","个人所得税")</f>
        <v>个人所得税</v>
      </c>
      <c r="L55" s="3298"/>
      <c r="M55" s="2314">
        <f ca="1">D59</f>
        <v>5</v>
      </c>
      <c r="N55" s="1883" t="str">
        <f>E59</f>
        <v>差额计税</v>
      </c>
      <c r="O55" s="2315">
        <f>F59</f>
        <v>0.01</v>
      </c>
    </row>
    <row r="56" spans="1:35" ht="25.2">
      <c r="A56" s="3358" t="s">
        <v>1363</v>
      </c>
      <c r="B56" s="3336"/>
      <c r="C56" s="3336"/>
      <c r="D56" s="12">
        <f ca="1">IF(H56="个人住宅",D57,D58)</f>
        <v>325</v>
      </c>
      <c r="E56" s="1256" t="s">
        <v>1364</v>
      </c>
      <c r="F56" s="2339" t="str">
        <f>IF(H56="正常",F58,"免征")</f>
        <v>免征</v>
      </c>
      <c r="G56" s="2342" t="s">
        <v>1365</v>
      </c>
      <c r="H56" s="2343"/>
      <c r="I56" s="1670"/>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3.2">
      <c r="A57" s="2153" t="s">
        <v>1341</v>
      </c>
      <c r="B57" s="3322" t="s">
        <v>1366</v>
      </c>
      <c r="C57" s="3323"/>
      <c r="D57" s="1478">
        <v>0</v>
      </c>
      <c r="E57" s="316" t="s">
        <v>1343</v>
      </c>
      <c r="F57" s="294"/>
      <c r="G57" s="2340"/>
      <c r="H57" s="2344"/>
      <c r="I57" s="1670"/>
      <c r="J57" s="3298">
        <f>IF(AND(J55="",J56=""),4,IF(项目基本情况!K6="上海银行",结果表!J56+1,结果表!J55+1))</f>
        <v>5</v>
      </c>
      <c r="K57" s="3298" t="s">
        <v>1367</v>
      </c>
      <c r="L57" s="2316" t="s">
        <v>1368</v>
      </c>
      <c r="M57" s="2317"/>
      <c r="N57" s="2318">
        <f ca="1">SUMIF(M52:M56,"&lt;9e307")</f>
        <v>330</v>
      </c>
      <c r="O57" s="2319"/>
      <c r="P57" s="2463" t="e">
        <f ca="1">N57/M49</f>
        <v>#VALUE!</v>
      </c>
    </row>
    <row r="58" spans="1:35" ht="25.2">
      <c r="A58" s="2153" t="s">
        <v>1352</v>
      </c>
      <c r="B58" s="3322" t="s">
        <v>1369</v>
      </c>
      <c r="C58" s="3321"/>
      <c r="D58" s="12">
        <f ca="1">IF(H58="转让取得",C81,C97)</f>
        <v>325</v>
      </c>
      <c r="E58" s="1256" t="s">
        <v>1364</v>
      </c>
      <c r="F58" s="294" t="s">
        <v>28</v>
      </c>
      <c r="G58" s="2340"/>
      <c r="H58" s="2343"/>
      <c r="I58" s="1670"/>
      <c r="J58" s="3298"/>
      <c r="K58" s="3298"/>
      <c r="L58" s="2316" t="s">
        <v>1370</v>
      </c>
      <c r="M58" s="2320"/>
      <c r="N58" s="2321" t="str">
        <f ca="1">NUMBERSTRING(INT(N57*10000),2)&amp;"元整"</f>
        <v>叁佰叁拾万元整</v>
      </c>
      <c r="O58" s="2322"/>
    </row>
    <row r="59" spans="1:35" ht="24.6" thickBot="1">
      <c r="A59" s="3302" t="s">
        <v>1371</v>
      </c>
      <c r="B59" s="3303"/>
      <c r="C59" s="3303"/>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00">
        <f>J57+1</f>
        <v>6</v>
      </c>
      <c r="K59" s="3298" t="s">
        <v>1372</v>
      </c>
      <c r="L59" s="2309" t="s">
        <v>1368</v>
      </c>
      <c r="M59" s="2323"/>
      <c r="N59" s="2324" t="e">
        <f ca="1">M49-N57</f>
        <v>#VALUE!</v>
      </c>
      <c r="O59" s="2325"/>
    </row>
    <row r="60" spans="1:35" ht="12" customHeight="1">
      <c r="A60" s="1671"/>
      <c r="B60" s="646"/>
      <c r="C60" s="646"/>
      <c r="D60" s="646"/>
      <c r="E60" s="1466"/>
      <c r="F60" s="1670"/>
      <c r="G60" s="1670"/>
      <c r="H60" s="151"/>
      <c r="I60" s="121"/>
      <c r="J60" s="3301"/>
      <c r="K60" s="3298"/>
      <c r="L60" s="2316" t="s">
        <v>1370</v>
      </c>
      <c r="M60" s="2320"/>
      <c r="N60" s="2321" t="e">
        <f ca="1">NUMBERSTRING(INT(N59*10000),2)&amp;"元整"</f>
        <v>#VALUE!</v>
      </c>
      <c r="O60" s="2322"/>
    </row>
    <row r="61" spans="1:35" ht="13.8" thickBot="1">
      <c r="A61" s="3357" t="s">
        <v>1373</v>
      </c>
      <c r="B61" s="3357"/>
      <c r="C61" s="3357"/>
      <c r="D61" s="3357"/>
      <c r="E61" s="3357"/>
      <c r="F61" s="1670"/>
      <c r="G61" s="1670"/>
      <c r="H61" s="151"/>
      <c r="I61" s="121"/>
      <c r="J61" s="2309">
        <f>J59+1</f>
        <v>7</v>
      </c>
      <c r="K61" s="3298" t="s">
        <v>1374</v>
      </c>
      <c r="L61" s="3298"/>
      <c r="M61" s="2326"/>
      <c r="N61" s="2327" t="e">
        <f ca="1">ROUND(N59*10000/'数据-汇总表'!E3,0)</f>
        <v>#VALUE!</v>
      </c>
      <c r="O61" s="2328"/>
    </row>
    <row r="62" spans="1:35" ht="13.2">
      <c r="A62" s="3317" t="s">
        <v>1375</v>
      </c>
      <c r="B62" s="3318"/>
      <c r="C62" s="1865"/>
      <c r="D62" s="1865" t="s">
        <v>1376</v>
      </c>
      <c r="E62" s="158" t="s">
        <v>1377</v>
      </c>
      <c r="F62" s="1670"/>
      <c r="G62" s="1670"/>
      <c r="H62" s="151"/>
      <c r="I62" s="121"/>
    </row>
    <row r="63" spans="1:35" ht="13.2">
      <c r="A63" s="165" t="s">
        <v>330</v>
      </c>
      <c r="B63" s="159" t="s">
        <v>1378</v>
      </c>
      <c r="C63" s="2349">
        <f ca="1">ROUND((C64+C65)/(1+'数据-取费表'!C42),0)</f>
        <v>546</v>
      </c>
      <c r="D63" s="159"/>
      <c r="E63" s="160"/>
      <c r="F63" s="1670"/>
      <c r="G63" s="1670"/>
      <c r="H63" s="151"/>
      <c r="I63" s="121"/>
      <c r="J63" s="328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573</v>
      </c>
      <c r="D64" s="162" t="s">
        <v>26</v>
      </c>
      <c r="E64" s="164"/>
      <c r="F64" s="1670"/>
      <c r="G64" s="1670"/>
      <c r="H64" s="151"/>
      <c r="I64" s="121"/>
      <c r="J64" s="328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8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81"/>
      <c r="K66" s="1245" t="s">
        <v>1387</v>
      </c>
      <c r="L66" s="1245" t="e">
        <f>M49*0.5%</f>
        <v>#VALUE!</v>
      </c>
      <c r="M66" s="294" t="e">
        <f>IF(L66&gt;0.5,0.5,ROUND(L66,0))</f>
        <v>#VALUE!</v>
      </c>
      <c r="N66" s="2330" t="s">
        <v>1388</v>
      </c>
      <c r="Z66" s="1623"/>
      <c r="AI66" s="1561"/>
    </row>
    <row r="67" spans="1:35" ht="14.25" customHeight="1">
      <c r="A67" s="165" t="s">
        <v>328</v>
      </c>
      <c r="B67" s="166" t="s">
        <v>1389</v>
      </c>
      <c r="C67" s="2353">
        <f ca="1">C63-C66</f>
        <v>546</v>
      </c>
      <c r="D67" s="162" t="s">
        <v>26</v>
      </c>
      <c r="E67" s="164"/>
      <c r="F67" s="1670"/>
      <c r="G67" s="1670"/>
      <c r="H67" s="151"/>
      <c r="I67" s="121"/>
      <c r="J67" s="328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30</v>
      </c>
      <c r="D68" s="2355">
        <f>'数据-取费表'!B41</f>
        <v>5.5000000000000007E-2</v>
      </c>
      <c r="E68" s="170"/>
      <c r="F68" s="1670"/>
      <c r="G68" s="1670"/>
      <c r="H68" s="151"/>
      <c r="I68" s="121"/>
      <c r="J68" s="328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81"/>
      <c r="K69" s="1245" t="s">
        <v>1393</v>
      </c>
      <c r="L69" s="1245"/>
      <c r="M69" s="294" t="e">
        <f>ROUND(SUM(M63:M68),0)</f>
        <v>#VALUE!</v>
      </c>
      <c r="N69" s="2331" t="e">
        <f>M69/M49</f>
        <v>#VALUE!</v>
      </c>
      <c r="Z69" s="1623"/>
      <c r="AI69" s="1561"/>
    </row>
    <row r="70" spans="1:35" s="642" customFormat="1" ht="14.4"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325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83" t="s">
        <v>2127</v>
      </c>
      <c r="H90" s="3284"/>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4" t="s">
        <v>1422</v>
      </c>
      <c r="F92" s="3315"/>
      <c r="G92" s="3315"/>
      <c r="H92" s="3316"/>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325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70" t="str">
        <f>C4</f>
        <v>比较法-商业</v>
      </c>
      <c r="D101" s="2371" t="str">
        <f>D4</f>
        <v>收益法 (元)</v>
      </c>
      <c r="E101" s="3277" t="s">
        <v>1431</v>
      </c>
      <c r="F101" s="3278"/>
      <c r="G101" s="1687" t="s">
        <v>1432</v>
      </c>
      <c r="H101" s="2380">
        <f ca="1">H118</f>
        <v>573</v>
      </c>
      <c r="I101" s="121"/>
    </row>
    <row r="102" spans="1:35" ht="18.75" customHeight="1">
      <c r="A102" s="3309" t="s">
        <v>1433</v>
      </c>
      <c r="B102" s="2369" t="s">
        <v>1432</v>
      </c>
      <c r="C102" s="2370">
        <f ca="1">IF(D32="楼面单价",ROUND(C19,0),C19)</f>
        <v>718</v>
      </c>
      <c r="D102" s="2371">
        <f ca="1">IF(D32="楼面单价",ROUND(D19,0),D19)</f>
        <v>356</v>
      </c>
      <c r="E102" s="3277"/>
      <c r="F102" s="3278"/>
      <c r="G102" s="1687" t="s">
        <v>1434</v>
      </c>
      <c r="H102" s="2340">
        <f ca="1">I118</f>
        <v>13001</v>
      </c>
      <c r="I102" s="121"/>
    </row>
    <row r="103" spans="1:35" ht="42.75" customHeight="1">
      <c r="A103" s="3309"/>
      <c r="B103" s="2369" t="s">
        <v>1434</v>
      </c>
      <c r="C103" s="2372">
        <f ca="1">C20</f>
        <v>16284</v>
      </c>
      <c r="D103" s="2373">
        <f ca="1">D20</f>
        <v>8077</v>
      </c>
      <c r="E103" s="3270" t="s">
        <v>1435</v>
      </c>
      <c r="F103" s="3271"/>
      <c r="G103" s="1688" t="s">
        <v>1436</v>
      </c>
      <c r="H103" s="2380">
        <f>IF(D36="正常操作",H104+H105+H106,H105+H106)</f>
        <v>0</v>
      </c>
      <c r="I103" s="121"/>
    </row>
    <row r="104" spans="1:35" ht="18.75" customHeight="1">
      <c r="A104" s="3309" t="s">
        <v>1437</v>
      </c>
      <c r="B104" s="2374" t="s">
        <v>1432</v>
      </c>
      <c r="C104" s="2375">
        <f ca="1">H118</f>
        <v>573</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13001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278"/>
      <c r="G107" s="1687" t="s">
        <v>1432</v>
      </c>
      <c r="H107" s="2380">
        <f ca="1">IF(E107="——","——",H101-H103)</f>
        <v>573</v>
      </c>
      <c r="I107" s="121"/>
    </row>
    <row r="108" spans="1:35" ht="18.75" customHeight="1">
      <c r="A108" s="121"/>
      <c r="B108" s="121"/>
      <c r="C108" s="121"/>
      <c r="D108" s="121"/>
      <c r="E108" s="3310"/>
      <c r="F108" s="3278"/>
      <c r="G108" s="1687" t="s">
        <v>1434</v>
      </c>
      <c r="H108" s="2340">
        <f ca="1">IF(H107=H101,H102,ROUND(H107*10000/'数据-汇总表'!E3,0))</f>
        <v>13001</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3" t="str">
        <f>IF(E109="——","——",H101-H105-H106)</f>
        <v>——</v>
      </c>
      <c r="I109" s="121"/>
    </row>
    <row r="110" spans="1:35" ht="18.75" customHeight="1">
      <c r="A110" s="121"/>
      <c r="B110" s="121"/>
      <c r="C110" s="121"/>
      <c r="D110" s="121"/>
      <c r="E110" s="3310"/>
      <c r="F110" s="3278"/>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440.62000000000018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573</v>
      </c>
      <c r="I118" s="2150">
        <f ca="1">ROUND(IF(D32="楼面单价",C32,H118*10000/B118),0)</f>
        <v>13001</v>
      </c>
    </row>
    <row r="119" spans="1:27" ht="18.75" customHeight="1">
      <c r="A119" s="3285" t="s">
        <v>1452</v>
      </c>
      <c r="B119" s="3285"/>
      <c r="C119" s="3285"/>
      <c r="D119" s="3291" t="str">
        <f>NUMBERSTRING(INT(D118*10000),2)&amp;"元整"</f>
        <v>零元整</v>
      </c>
      <c r="E119" s="3292"/>
      <c r="F119" s="3291" t="str">
        <f>NUMBERSTRING(INT(F118*10000),2)&amp;"元整"</f>
        <v>零元整</v>
      </c>
      <c r="G119" s="3292"/>
      <c r="H119" s="3291" t="str">
        <f ca="1">NUMBERSTRING(INT(H118*10000),2)&amp;"元整"</f>
        <v>伍佰柒拾叁万元整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f ca="1">H107</f>
        <v>573</v>
      </c>
      <c r="E122" s="3287"/>
      <c r="F122" s="3287"/>
      <c r="G122" s="3287"/>
      <c r="H122" s="3287"/>
      <c r="I122" s="3288"/>
      <c r="AA122" s="684"/>
    </row>
    <row r="123" spans="1:27" ht="18.75" customHeight="1">
      <c r="A123" s="3285" t="s">
        <v>1452</v>
      </c>
      <c r="B123" s="3285"/>
      <c r="C123" s="3285"/>
      <c r="D123" s="3291" t="str">
        <f ca="1">NUMBERSTRING(INT(D122*10000),2)&amp;"元整"</f>
        <v>伍佰柒拾叁万元整</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302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812.22000000000014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812.22000000000014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284</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812.22000000000014</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5.0000000000000001E-4</v>
      </c>
      <c r="D44" s="230"/>
      <c r="E44" s="230"/>
      <c r="F44" s="231"/>
      <c r="G44" s="3366"/>
    </row>
    <row r="45" spans="1:7" s="206" customFormat="1" ht="13.5" customHeight="1">
      <c r="A45" s="247" t="s">
        <v>1547</v>
      </c>
      <c r="B45" s="236" t="s">
        <v>1513</v>
      </c>
      <c r="C45" s="237">
        <f ca="1">C46</f>
        <v>49</v>
      </c>
      <c r="D45" s="227">
        <f ca="1">C47</f>
        <v>3.0000000000000001E-3</v>
      </c>
      <c r="E45" s="228" t="s">
        <v>1539</v>
      </c>
      <c r="F45" s="238">
        <f ca="1">F27</f>
        <v>0.15</v>
      </c>
      <c r="G45" s="239" t="s">
        <v>1548</v>
      </c>
    </row>
    <row r="46" spans="1:7" s="206" customFormat="1" ht="13.5" customHeight="1">
      <c r="A46" s="734" t="s">
        <v>346</v>
      </c>
      <c r="B46" s="240" t="s">
        <v>1549</v>
      </c>
      <c r="C46" s="241">
        <f ca="1">ROUND((C33+C39)*F27,0)</f>
        <v>49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413</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281</v>
      </c>
      <c r="D51" s="224"/>
      <c r="E51" s="224"/>
      <c r="F51" s="256"/>
      <c r="G51" s="226" t="s">
        <v>1560</v>
      </c>
    </row>
    <row r="52" spans="1:7" s="200" customFormat="1" ht="16.8" thickBot="1">
      <c r="A52" s="257" t="s">
        <v>1561</v>
      </c>
      <c r="B52" s="258"/>
      <c r="C52" s="259">
        <f ca="1">C31+C51</f>
        <v>302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北京市顺义区华英园9号预评估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00F39-7A53-45CA-AA07-2482C229DFF5}">
  <sheetPr>
    <tabColor rgb="FF7030A0"/>
  </sheetPr>
  <dimension ref="A1:N34"/>
  <sheetViews>
    <sheetView topLeftCell="A16" workbookViewId="0">
      <selection activeCell="H21" sqref="H21:H33"/>
    </sheetView>
  </sheetViews>
  <sheetFormatPr defaultRowHeight="14.4"/>
  <cols>
    <col min="1" max="1" width="24.21875" customWidth="1"/>
  </cols>
  <sheetData>
    <row r="1" spans="1:14">
      <c r="B1" s="1405" t="s">
        <v>3413</v>
      </c>
      <c r="C1" s="1405" t="s">
        <v>3525</v>
      </c>
      <c r="D1" s="1405" t="s">
        <v>3526</v>
      </c>
      <c r="E1" s="1405" t="s">
        <v>3527</v>
      </c>
      <c r="F1" s="1405" t="s">
        <v>3412</v>
      </c>
      <c r="G1" s="1405" t="s">
        <v>3523</v>
      </c>
      <c r="H1" s="1405" t="s">
        <v>3528</v>
      </c>
      <c r="K1" s="1405"/>
      <c r="L1" s="1405"/>
      <c r="N1" s="1405"/>
    </row>
    <row r="2" spans="1:14">
      <c r="A2" s="3367" t="s">
        <v>3421</v>
      </c>
      <c r="B2">
        <v>1</v>
      </c>
      <c r="C2" s="3367" t="s">
        <v>3530</v>
      </c>
      <c r="D2" s="3367" t="s">
        <v>3529</v>
      </c>
      <c r="E2" s="3368">
        <v>3</v>
      </c>
      <c r="F2">
        <v>3027</v>
      </c>
      <c r="G2" s="1405" t="s">
        <v>3524</v>
      </c>
      <c r="H2">
        <v>27.84</v>
      </c>
    </row>
    <row r="3" spans="1:14">
      <c r="A3" s="3368"/>
      <c r="B3">
        <v>2</v>
      </c>
      <c r="C3" s="3368"/>
      <c r="D3" s="3367"/>
      <c r="E3" s="3368"/>
      <c r="F3">
        <v>3028</v>
      </c>
      <c r="H3">
        <v>26.39</v>
      </c>
    </row>
    <row r="4" spans="1:14">
      <c r="A4" s="3368"/>
      <c r="B4">
        <v>3</v>
      </c>
      <c r="C4" s="3368"/>
      <c r="D4" s="3367"/>
      <c r="E4" s="3368"/>
      <c r="F4">
        <v>3029</v>
      </c>
      <c r="H4">
        <v>43.33</v>
      </c>
    </row>
    <row r="5" spans="1:14">
      <c r="A5" s="3368"/>
      <c r="B5">
        <v>4</v>
      </c>
      <c r="C5" s="3368"/>
      <c r="D5" s="3367"/>
      <c r="E5" s="3368"/>
      <c r="F5">
        <v>3030</v>
      </c>
      <c r="H5">
        <v>68.12</v>
      </c>
    </row>
    <row r="6" spans="1:14">
      <c r="A6" s="3368"/>
      <c r="B6">
        <v>5</v>
      </c>
      <c r="C6" s="3368"/>
      <c r="D6" s="3367"/>
      <c r="E6" s="3368"/>
      <c r="F6">
        <v>3031</v>
      </c>
      <c r="H6">
        <v>48.61</v>
      </c>
    </row>
    <row r="7" spans="1:14">
      <c r="A7" s="3368"/>
      <c r="B7">
        <v>6</v>
      </c>
      <c r="C7" s="3368"/>
      <c r="D7" s="3367"/>
      <c r="E7" s="3368"/>
      <c r="F7">
        <v>3032</v>
      </c>
      <c r="H7">
        <v>26.85</v>
      </c>
    </row>
    <row r="8" spans="1:14">
      <c r="A8" s="3368"/>
      <c r="B8">
        <v>7</v>
      </c>
      <c r="C8" s="3368"/>
      <c r="D8" s="3367"/>
      <c r="E8" s="3368"/>
      <c r="F8">
        <v>3033</v>
      </c>
      <c r="H8">
        <v>26.1</v>
      </c>
    </row>
    <row r="9" spans="1:14">
      <c r="A9" s="3368"/>
      <c r="B9">
        <v>8</v>
      </c>
      <c r="C9" s="3368"/>
      <c r="D9" s="3367"/>
      <c r="E9" s="3368"/>
      <c r="F9">
        <v>3034</v>
      </c>
      <c r="H9">
        <v>25.16</v>
      </c>
    </row>
    <row r="10" spans="1:14">
      <c r="A10" s="3368"/>
      <c r="B10">
        <v>9</v>
      </c>
      <c r="C10" s="3368"/>
      <c r="D10" s="3367"/>
      <c r="E10" s="3368"/>
      <c r="F10">
        <v>3082</v>
      </c>
      <c r="H10">
        <v>21.91</v>
      </c>
    </row>
    <row r="11" spans="1:14">
      <c r="A11" s="3368"/>
      <c r="B11">
        <v>10</v>
      </c>
      <c r="C11" s="3368"/>
      <c r="D11" s="3367"/>
      <c r="E11" s="3368"/>
      <c r="F11">
        <v>3083</v>
      </c>
      <c r="H11">
        <v>21.91</v>
      </c>
    </row>
    <row r="12" spans="1:14">
      <c r="A12" s="3368"/>
      <c r="B12">
        <v>11</v>
      </c>
      <c r="C12" s="3368"/>
      <c r="D12" s="3367"/>
      <c r="E12" s="3368"/>
      <c r="F12">
        <v>3084</v>
      </c>
      <c r="H12">
        <v>30.29</v>
      </c>
    </row>
    <row r="13" spans="1:14">
      <c r="A13" s="3368"/>
      <c r="B13">
        <v>12</v>
      </c>
      <c r="C13" s="3368"/>
      <c r="D13" s="3367"/>
      <c r="E13" s="3368"/>
      <c r="F13">
        <v>3089</v>
      </c>
      <c r="H13">
        <v>21.91</v>
      </c>
    </row>
    <row r="14" spans="1:14">
      <c r="A14" s="3368"/>
      <c r="B14">
        <v>13</v>
      </c>
      <c r="C14" s="3368"/>
      <c r="D14" s="3367"/>
      <c r="E14" s="3368"/>
      <c r="F14">
        <v>3090</v>
      </c>
      <c r="H14">
        <v>21.91</v>
      </c>
    </row>
    <row r="15" spans="1:14">
      <c r="A15" s="3368"/>
      <c r="B15">
        <v>14</v>
      </c>
      <c r="C15" s="3368"/>
      <c r="D15" s="3367"/>
      <c r="E15" s="3368"/>
      <c r="F15">
        <v>3091</v>
      </c>
      <c r="H15">
        <v>30.29</v>
      </c>
    </row>
    <row r="16" spans="1:14">
      <c r="F16" s="1405" t="s">
        <v>2590</v>
      </c>
      <c r="H16" s="3157">
        <f>SUM(H2:H15)</f>
        <v>440.62000000000018</v>
      </c>
    </row>
    <row r="20" spans="1:8">
      <c r="B20" s="1405" t="s">
        <v>3413</v>
      </c>
      <c r="C20" s="1405" t="s">
        <v>3525</v>
      </c>
      <c r="D20" s="1405" t="s">
        <v>3526</v>
      </c>
      <c r="E20" s="1405" t="s">
        <v>3527</v>
      </c>
      <c r="F20" s="1405" t="s">
        <v>3412</v>
      </c>
      <c r="H20" s="1405" t="s">
        <v>3385</v>
      </c>
    </row>
    <row r="21" spans="1:8">
      <c r="A21" s="3367" t="s">
        <v>3422</v>
      </c>
      <c r="B21">
        <v>1</v>
      </c>
      <c r="C21" s="3367" t="s">
        <v>3530</v>
      </c>
      <c r="D21" s="3367" t="s">
        <v>3529</v>
      </c>
      <c r="E21" s="3368">
        <v>3</v>
      </c>
      <c r="F21">
        <v>3001</v>
      </c>
      <c r="H21">
        <v>28.45</v>
      </c>
    </row>
    <row r="22" spans="1:8">
      <c r="A22" s="3368"/>
      <c r="B22">
        <v>2</v>
      </c>
      <c r="C22" s="3367"/>
      <c r="D22" s="3367"/>
      <c r="E22" s="3368"/>
      <c r="F22">
        <v>3002</v>
      </c>
      <c r="H22">
        <v>23.39</v>
      </c>
    </row>
    <row r="23" spans="1:8">
      <c r="A23" s="3368"/>
      <c r="B23">
        <v>3</v>
      </c>
      <c r="C23" s="3367"/>
      <c r="D23" s="3367"/>
      <c r="E23" s="3368"/>
      <c r="F23">
        <v>3035</v>
      </c>
      <c r="H23">
        <v>25.16</v>
      </c>
    </row>
    <row r="24" spans="1:8">
      <c r="A24" s="3368"/>
      <c r="B24">
        <v>4</v>
      </c>
      <c r="C24" s="3367"/>
      <c r="D24" s="3367"/>
      <c r="E24" s="3368"/>
      <c r="F24">
        <v>3036</v>
      </c>
      <c r="H24">
        <v>50.33</v>
      </c>
    </row>
    <row r="25" spans="1:8">
      <c r="A25" s="3368"/>
      <c r="B25">
        <v>5</v>
      </c>
      <c r="C25" s="3367"/>
      <c r="D25" s="3367"/>
      <c r="E25" s="3368"/>
      <c r="F25">
        <v>3037</v>
      </c>
      <c r="H25">
        <v>20.75</v>
      </c>
    </row>
    <row r="26" spans="1:8">
      <c r="A26" s="3368"/>
      <c r="B26">
        <v>6</v>
      </c>
      <c r="C26" s="3367"/>
      <c r="D26" s="3367"/>
      <c r="E26" s="3368"/>
      <c r="F26">
        <v>3038</v>
      </c>
      <c r="H26">
        <v>27.94</v>
      </c>
    </row>
    <row r="27" spans="1:8">
      <c r="A27" s="3368"/>
      <c r="B27">
        <v>7</v>
      </c>
      <c r="C27" s="3367"/>
      <c r="D27" s="3367"/>
      <c r="E27" s="3368"/>
      <c r="F27">
        <v>3039</v>
      </c>
      <c r="H27">
        <v>27.94</v>
      </c>
    </row>
    <row r="28" spans="1:8">
      <c r="A28" s="3368"/>
      <c r="B28">
        <v>8</v>
      </c>
      <c r="C28" s="3367"/>
      <c r="D28" s="3367"/>
      <c r="E28" s="3368"/>
      <c r="F28">
        <v>3040</v>
      </c>
      <c r="H28">
        <v>27.94</v>
      </c>
    </row>
    <row r="29" spans="1:8">
      <c r="A29" s="3368"/>
      <c r="B29">
        <v>9</v>
      </c>
      <c r="C29" s="3367"/>
      <c r="D29" s="3367"/>
      <c r="E29" s="3368"/>
      <c r="F29">
        <v>3041</v>
      </c>
      <c r="H29">
        <v>27.94</v>
      </c>
    </row>
    <row r="30" spans="1:8">
      <c r="A30" s="3368"/>
      <c r="B30">
        <v>10</v>
      </c>
      <c r="C30" s="3367"/>
      <c r="D30" s="3367"/>
      <c r="E30" s="3368"/>
      <c r="F30">
        <v>3049</v>
      </c>
      <c r="H30">
        <v>27.94</v>
      </c>
    </row>
    <row r="31" spans="1:8">
      <c r="A31" s="3368"/>
      <c r="B31">
        <v>11</v>
      </c>
      <c r="C31" s="3367"/>
      <c r="D31" s="3367"/>
      <c r="E31" s="3368"/>
      <c r="F31">
        <v>3050</v>
      </c>
      <c r="H31">
        <v>27.94</v>
      </c>
    </row>
    <row r="32" spans="1:8">
      <c r="A32" s="3368"/>
      <c r="B32">
        <v>12</v>
      </c>
      <c r="C32" s="3367"/>
      <c r="D32" s="3367"/>
      <c r="E32" s="3368"/>
      <c r="F32">
        <v>3051</v>
      </c>
      <c r="H32">
        <v>27.94</v>
      </c>
    </row>
    <row r="33" spans="1:8">
      <c r="A33" s="3368"/>
      <c r="B33">
        <v>13</v>
      </c>
      <c r="C33" s="3367"/>
      <c r="D33" s="3367"/>
      <c r="E33" s="3368"/>
      <c r="F33">
        <v>3052</v>
      </c>
      <c r="H33">
        <v>27.94</v>
      </c>
    </row>
    <row r="34" spans="1:8">
      <c r="F34" s="1405" t="s">
        <v>2590</v>
      </c>
      <c r="H34" s="3157">
        <f>SUM(H21:H33)</f>
        <v>371.59999999999997</v>
      </c>
    </row>
  </sheetData>
  <mergeCells count="8">
    <mergeCell ref="A2:A15"/>
    <mergeCell ref="A21:A33"/>
    <mergeCell ref="D2:D15"/>
    <mergeCell ref="E2:E15"/>
    <mergeCell ref="C2:C15"/>
    <mergeCell ref="C21:C33"/>
    <mergeCell ref="D21:D33"/>
    <mergeCell ref="E21:E33"/>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0EB2-3BAC-4E15-86DD-35E150FFB22D}">
  <sheetPr>
    <tabColor rgb="FF7030A0"/>
  </sheetPr>
  <dimension ref="B2:AL97"/>
  <sheetViews>
    <sheetView topLeftCell="D46" workbookViewId="0">
      <selection activeCell="O66" sqref="O66"/>
    </sheetView>
  </sheetViews>
  <sheetFormatPr defaultRowHeight="14.4"/>
  <cols>
    <col min="14" max="14" width="14.33203125" customWidth="1"/>
    <col min="21" max="21" width="10.5546875" bestFit="1" customWidth="1"/>
    <col min="38" max="38" width="10.5546875" bestFit="1" customWidth="1"/>
  </cols>
  <sheetData>
    <row r="2" spans="14:38">
      <c r="N2" s="1405" t="s">
        <v>3447</v>
      </c>
      <c r="O2" s="1405" t="s">
        <v>3448</v>
      </c>
      <c r="P2" s="1405" t="s">
        <v>3449</v>
      </c>
      <c r="Q2" s="1405" t="s">
        <v>3450</v>
      </c>
      <c r="U2" s="3181"/>
      <c r="AL2" s="3181">
        <v>45761</v>
      </c>
    </row>
    <row r="3" spans="14:38">
      <c r="O3" s="1405" t="s">
        <v>3385</v>
      </c>
      <c r="P3" s="1405" t="s">
        <v>3386</v>
      </c>
      <c r="Q3" s="1405" t="s">
        <v>3451</v>
      </c>
    </row>
    <row r="4" spans="14:38">
      <c r="N4" s="1405"/>
      <c r="O4">
        <v>77</v>
      </c>
      <c r="P4">
        <v>25975</v>
      </c>
      <c r="Q4">
        <v>3.2</v>
      </c>
    </row>
    <row r="6" spans="14:38">
      <c r="P6" s="1405" t="s">
        <v>3531</v>
      </c>
    </row>
    <row r="7" spans="14:38">
      <c r="P7" s="3157">
        <f>ROUND(P4*R17/100,0)</f>
        <v>16884</v>
      </c>
    </row>
    <row r="14" spans="14:38">
      <c r="Q14" s="3157"/>
      <c r="R14" s="3168" t="s">
        <v>3452</v>
      </c>
      <c r="S14" s="3168" t="s">
        <v>654</v>
      </c>
      <c r="T14" s="1405" t="s">
        <v>3516</v>
      </c>
    </row>
    <row r="15" spans="14:38">
      <c r="Q15" s="3168" t="s">
        <v>3453</v>
      </c>
      <c r="R15" s="3157">
        <v>100</v>
      </c>
      <c r="S15" s="3157">
        <v>3.2</v>
      </c>
      <c r="T15">
        <f>ROUND(R15*T17/R17,0)</f>
        <v>154</v>
      </c>
    </row>
    <row r="16" spans="14:38">
      <c r="Q16" s="3168" t="s">
        <v>3454</v>
      </c>
      <c r="R16" s="3157">
        <v>70</v>
      </c>
      <c r="S16" s="3157">
        <f>ROUND(S15*R16/100,2)</f>
        <v>2.2400000000000002</v>
      </c>
      <c r="T16">
        <f>ROUND(R16*T17/R17,0)</f>
        <v>108</v>
      </c>
    </row>
    <row r="17" spans="14:20">
      <c r="Q17" s="1405" t="s">
        <v>3476</v>
      </c>
      <c r="R17">
        <v>65</v>
      </c>
      <c r="S17" s="3157">
        <f>ROUND(S15*R17/100,2)</f>
        <v>2.08</v>
      </c>
      <c r="T17">
        <v>100</v>
      </c>
    </row>
    <row r="21" spans="14:20">
      <c r="O21" s="1405" t="s">
        <v>3455</v>
      </c>
      <c r="Q21">
        <v>2013</v>
      </c>
    </row>
    <row r="22" spans="14:20">
      <c r="P22" s="1405" t="s">
        <v>3456</v>
      </c>
      <c r="Q22">
        <f>ROUND(1-(1-0)*(2025-Q21)/60,2)</f>
        <v>0.8</v>
      </c>
    </row>
    <row r="23" spans="14:20">
      <c r="P23" s="1405" t="s">
        <v>3507</v>
      </c>
      <c r="Q23">
        <f>Q21+40-2025</f>
        <v>28</v>
      </c>
    </row>
    <row r="31" spans="14:20">
      <c r="N31" s="1405" t="s">
        <v>3457</v>
      </c>
      <c r="O31" s="1405" t="s">
        <v>3458</v>
      </c>
    </row>
    <row r="32" spans="14:20">
      <c r="O32" s="1405" t="s">
        <v>3385</v>
      </c>
      <c r="P32" s="1405" t="s">
        <v>3386</v>
      </c>
    </row>
    <row r="33" spans="15:16">
      <c r="O33">
        <v>123</v>
      </c>
      <c r="P33">
        <v>28456</v>
      </c>
    </row>
    <row r="35" spans="15:16">
      <c r="O35" s="1405" t="s">
        <v>3531</v>
      </c>
    </row>
    <row r="36" spans="15:16">
      <c r="O36" s="3157">
        <f>ROUND(P33*R17/100,0)</f>
        <v>18496</v>
      </c>
    </row>
    <row r="62" spans="14:16">
      <c r="N62" s="1405" t="s">
        <v>3459</v>
      </c>
      <c r="O62" s="1405" t="s">
        <v>3460</v>
      </c>
      <c r="P62" s="1405" t="s">
        <v>3454</v>
      </c>
    </row>
    <row r="63" spans="14:16">
      <c r="O63" s="1405" t="s">
        <v>3385</v>
      </c>
      <c r="P63" s="1405" t="s">
        <v>3386</v>
      </c>
    </row>
    <row r="64" spans="14:16">
      <c r="O64">
        <v>39.64</v>
      </c>
      <c r="P64" s="3157">
        <v>22705</v>
      </c>
    </row>
    <row r="65" spans="14:16">
      <c r="O65" s="1405" t="s">
        <v>3531</v>
      </c>
    </row>
    <row r="66" spans="14:16">
      <c r="O66" s="3157">
        <f>ROUND(P64*R17/R16,0)</f>
        <v>21083</v>
      </c>
    </row>
    <row r="68" spans="14:16">
      <c r="N68" s="1405" t="s">
        <v>3461</v>
      </c>
      <c r="P68">
        <v>2003</v>
      </c>
    </row>
    <row r="69" spans="14:16">
      <c r="O69" s="1405" t="s">
        <v>3456</v>
      </c>
      <c r="P69">
        <f>ROUND(1-(1-0)*(2025-P68)/60,2)</f>
        <v>0.63</v>
      </c>
    </row>
    <row r="70" spans="14:16">
      <c r="O70" s="1405" t="s">
        <v>3462</v>
      </c>
      <c r="P70">
        <v>0.7</v>
      </c>
    </row>
    <row r="71" spans="14:16">
      <c r="O71" s="1405" t="s">
        <v>3507</v>
      </c>
      <c r="P71">
        <f>P68+40-2025</f>
        <v>18</v>
      </c>
    </row>
    <row r="90" spans="2:11">
      <c r="B90" s="3169" t="s">
        <v>3463</v>
      </c>
      <c r="D90" s="3169" t="s">
        <v>3464</v>
      </c>
      <c r="E90" s="3169" t="s">
        <v>3465</v>
      </c>
      <c r="F90" s="3169"/>
      <c r="K90" s="1405"/>
    </row>
    <row r="91" spans="2:11">
      <c r="B91" s="3169" t="s">
        <v>3466</v>
      </c>
      <c r="C91" s="3169" t="s">
        <v>3467</v>
      </c>
      <c r="D91" s="3169">
        <v>6000</v>
      </c>
      <c r="E91" s="3169" t="s">
        <v>3468</v>
      </c>
      <c r="F91" s="3169" t="s">
        <v>3469</v>
      </c>
      <c r="J91" s="1405"/>
    </row>
    <row r="92" spans="2:11">
      <c r="D92" s="3169">
        <v>3.3333333333333335</v>
      </c>
      <c r="E92" s="3169"/>
      <c r="F92" s="3169"/>
      <c r="J92" s="1405"/>
    </row>
    <row r="93" spans="2:11">
      <c r="C93" s="3169" t="s">
        <v>3470</v>
      </c>
      <c r="D93" s="3169"/>
      <c r="E93" s="3169" t="s">
        <v>3471</v>
      </c>
      <c r="F93" s="3169"/>
    </row>
    <row r="94" spans="2:11">
      <c r="D94" s="3169">
        <v>2.2831050228310503</v>
      </c>
      <c r="E94" s="3169">
        <v>3.4246575342465753</v>
      </c>
      <c r="F94" s="3169"/>
    </row>
    <row r="96" spans="2:11">
      <c r="B96" s="3169" t="s">
        <v>3472</v>
      </c>
    </row>
    <row r="97" spans="2:4">
      <c r="B97" s="1405" t="s">
        <v>3466</v>
      </c>
      <c r="C97" s="3169" t="s">
        <v>3473</v>
      </c>
      <c r="D97" s="3169" t="s">
        <v>3474</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E66" sqref="C66:E66"/>
    </sheetView>
  </sheetViews>
  <sheetFormatPr defaultColWidth="9" defaultRowHeight="13.8"/>
  <cols>
    <col min="1" max="1" width="10.44140625" style="347" customWidth="1"/>
    <col min="2" max="2" width="15.77734375" style="347" customWidth="1"/>
    <col min="3" max="3" width="22" style="347" customWidth="1"/>
    <col min="4" max="4" width="12.21875" style="347" customWidth="1"/>
    <col min="5" max="5" width="19" style="347" customWidth="1"/>
    <col min="6" max="6" width="12.21875" style="347" customWidth="1"/>
    <col min="7" max="7" width="21.1093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3423</v>
      </c>
      <c r="E1" s="3123" t="s">
        <v>3477</v>
      </c>
      <c r="F1" s="1735" t="s">
        <v>3478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717.50559999999996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16284</v>
      </c>
      <c r="C3" s="344" t="s">
        <v>1768</v>
      </c>
      <c r="D3" s="343">
        <f>IF(D1="",'数据-汇总表'!E3,SUMIF('数据-汇总表'!$C19:$C33,D1,'数据-汇总表'!$E19:$E33))</f>
        <v>440.62000000000018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5" t="s">
        <v>1771</v>
      </c>
      <c r="S4" s="3376"/>
      <c r="T4" s="3375" t="s">
        <v>1772</v>
      </c>
      <c r="U4" s="3376"/>
      <c r="V4" s="3372" t="s">
        <v>1773</v>
      </c>
      <c r="W4" s="3372"/>
      <c r="X4" s="1265"/>
      <c r="Y4" s="3375" t="s">
        <v>1775</v>
      </c>
      <c r="Z4" s="3376"/>
      <c r="AA4" s="3369" t="s">
        <v>1771</v>
      </c>
      <c r="AB4" s="3372" t="s">
        <v>1772</v>
      </c>
      <c r="AC4" s="3369" t="s">
        <v>1773</v>
      </c>
    </row>
    <row r="5" spans="1:29">
      <c r="A5" s="348"/>
      <c r="B5" s="349"/>
      <c r="C5" s="3381" t="s">
        <v>3481</v>
      </c>
      <c r="D5" s="3382"/>
      <c r="E5" s="3379" t="s">
        <v>3479</v>
      </c>
      <c r="F5" s="3380"/>
      <c r="G5" s="3400" t="str">
        <f>E5</f>
        <v>航城广场</v>
      </c>
      <c r="H5" s="3382"/>
      <c r="I5" s="3381" t="s">
        <v>3480</v>
      </c>
      <c r="J5" s="3382"/>
      <c r="K5" s="537"/>
      <c r="L5" s="2485"/>
      <c r="M5" s="2486"/>
      <c r="N5" s="2486"/>
      <c r="O5" s="2486"/>
      <c r="P5" s="3394"/>
      <c r="Q5" s="3395"/>
      <c r="R5" s="3377"/>
      <c r="S5" s="3378"/>
      <c r="T5" s="3377"/>
      <c r="U5" s="3378"/>
      <c r="V5" s="3372"/>
      <c r="W5" s="3372"/>
      <c r="X5" s="1265"/>
      <c r="Y5" s="3377"/>
      <c r="Z5" s="3378"/>
      <c r="AA5" s="3370"/>
      <c r="AB5" s="3372"/>
      <c r="AC5" s="3370"/>
    </row>
    <row r="6" spans="1:29" ht="15" thickBot="1">
      <c r="A6" s="350"/>
      <c r="B6" s="351"/>
      <c r="C6" s="3383" t="s">
        <v>1677</v>
      </c>
      <c r="D6" s="3384"/>
      <c r="E6" s="3385" t="s">
        <v>1677</v>
      </c>
      <c r="F6" s="3386"/>
      <c r="G6" s="3383" t="s">
        <v>1677</v>
      </c>
      <c r="H6" s="3384"/>
      <c r="I6" s="3383" t="s">
        <v>1677</v>
      </c>
      <c r="J6" s="3384"/>
      <c r="K6" s="537" t="s">
        <v>1678</v>
      </c>
      <c r="L6" s="2485"/>
      <c r="M6" s="2486"/>
      <c r="N6" s="2486"/>
      <c r="O6" s="2486"/>
      <c r="P6" s="3396"/>
      <c r="Q6" s="3397"/>
      <c r="R6" s="3377"/>
      <c r="S6" s="3378"/>
      <c r="T6" s="3398"/>
      <c r="U6" s="3399"/>
      <c r="V6" s="3372"/>
      <c r="W6" s="3372"/>
      <c r="X6" s="1265"/>
      <c r="Y6" s="3398"/>
      <c r="Z6" s="3399"/>
      <c r="AA6" s="3371"/>
      <c r="AB6" s="3372"/>
      <c r="AC6" s="3371"/>
    </row>
    <row r="7" spans="1:29" s="102" customFormat="1" ht="15" thickBot="1">
      <c r="A7" s="352" t="s">
        <v>1679</v>
      </c>
      <c r="B7" s="353"/>
      <c r="C7" s="354">
        <f>'数据-取费表'!B2</f>
        <v>45761</v>
      </c>
      <c r="D7" s="355">
        <v>100</v>
      </c>
      <c r="E7" s="356">
        <v>45536</v>
      </c>
      <c r="F7" s="357">
        <f>SUMIF(58:58,YEAR(E7)&amp;"-"&amp;MONTH(E7),59:59)</f>
        <v>100</v>
      </c>
      <c r="G7" s="356">
        <v>45536</v>
      </c>
      <c r="H7" s="355">
        <f>SUMIF(58:58,YEAR(G7)&amp;"-"&amp;MONTH(G7),59:59)</f>
        <v>100</v>
      </c>
      <c r="I7" s="356">
        <v>45536</v>
      </c>
      <c r="J7" s="355">
        <f>SUMIF(58:58,YEAR(I7)&amp;"-"&amp;MONTH(I7),59:59)</f>
        <v>100</v>
      </c>
      <c r="K7" s="38"/>
      <c r="L7" s="2487"/>
      <c r="M7" s="2439"/>
      <c r="N7" s="2439"/>
      <c r="O7" s="2439"/>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 thickBot="1">
      <c r="A8" s="352" t="s">
        <v>1681</v>
      </c>
      <c r="B8" s="353"/>
      <c r="C8" s="358" t="s">
        <v>3482</v>
      </c>
      <c r="D8" s="355">
        <v>100</v>
      </c>
      <c r="E8" s="358" t="s">
        <v>3483</v>
      </c>
      <c r="F8" s="357">
        <f>SUMIF(61:61,E8,62:62)-SUMIF(61:61,C8,62:62)+100</f>
        <v>105</v>
      </c>
      <c r="G8" s="358" t="s">
        <v>3483</v>
      </c>
      <c r="H8" s="355">
        <f>SUMIF(61:61,G8,62:62)-SUMIF(61:61,C8,62:62)+100</f>
        <v>105</v>
      </c>
      <c r="I8" s="358" t="s">
        <v>3483</v>
      </c>
      <c r="J8" s="355">
        <f>SUMIF(61:61,I8,62:62)-SUMIF(61:61,C8,62:62)+100</f>
        <v>105</v>
      </c>
      <c r="K8" s="38"/>
      <c r="L8" s="2487"/>
      <c r="M8" s="2439"/>
      <c r="N8" s="2439"/>
      <c r="O8" s="2439"/>
      <c r="P8" s="3373" t="s">
        <v>1683</v>
      </c>
      <c r="Q8" s="3374"/>
      <c r="R8" s="664" t="s">
        <v>14</v>
      </c>
      <c r="S8" s="665">
        <f t="shared" si="0"/>
        <v>105</v>
      </c>
      <c r="T8" s="664" t="s">
        <v>14</v>
      </c>
      <c r="U8" s="665">
        <f t="shared" si="1"/>
        <v>105</v>
      </c>
      <c r="V8" s="664" t="s">
        <v>14</v>
      </c>
      <c r="W8" s="665">
        <f t="shared" si="2"/>
        <v>105</v>
      </c>
      <c r="X8" s="666"/>
      <c r="Y8" s="3373" t="s">
        <v>1683</v>
      </c>
      <c r="Z8" s="3374"/>
      <c r="AA8" s="50">
        <f t="shared" ref="AA8:AA46" si="3">D8/F8</f>
        <v>0.95238095238095233</v>
      </c>
      <c r="AB8" s="50">
        <f t="shared" ref="AB8:AB46" si="4">D8/H8</f>
        <v>0.95238095238095233</v>
      </c>
      <c r="AC8" s="50">
        <f t="shared" ref="AC8:AC46" si="5">D8/J8</f>
        <v>0.95238095238095233</v>
      </c>
    </row>
    <row r="9" spans="1:29" s="102" customFormat="1" ht="15" thickBot="1">
      <c r="A9" s="359" t="s">
        <v>1684</v>
      </c>
      <c r="B9" s="60" t="s">
        <v>1685</v>
      </c>
      <c r="C9" s="3174" t="s">
        <v>3502</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9.4" thickTop="1">
      <c r="A10" s="363"/>
      <c r="B10" s="364" t="s">
        <v>1688</v>
      </c>
      <c r="C10" s="513" t="s">
        <v>3504</v>
      </c>
      <c r="D10" s="119">
        <v>100</v>
      </c>
      <c r="E10" s="3132" t="s">
        <v>3508</v>
      </c>
      <c r="F10" s="364">
        <f>SUMIF(65:65,E10,66:66)-SUMIF(65:65,C10,66:66)+100</f>
        <v>103</v>
      </c>
      <c r="G10" s="3132" t="s">
        <v>3508</v>
      </c>
      <c r="H10" s="119">
        <f>SUMIF(65:65,G10,66:66)-SUMIF(65:65,C10,66:66)+100</f>
        <v>103</v>
      </c>
      <c r="I10" s="513" t="s">
        <v>3504</v>
      </c>
      <c r="J10" s="119">
        <f>SUMIF(65:65,I10,66:66)-SUMIF(65:65,C10,66:66)+100</f>
        <v>100</v>
      </c>
      <c r="K10" s="38"/>
      <c r="L10" s="2488"/>
      <c r="M10" s="2489"/>
      <c r="N10" s="2489"/>
      <c r="O10" s="2489"/>
      <c r="P10" s="3387"/>
      <c r="Q10" s="530" t="str">
        <f t="shared" si="6"/>
        <v>土地使用年限（年）</v>
      </c>
      <c r="R10" s="664" t="s">
        <v>14</v>
      </c>
      <c r="S10" s="665">
        <f t="shared" si="0"/>
        <v>103</v>
      </c>
      <c r="T10" s="664" t="s">
        <v>14</v>
      </c>
      <c r="U10" s="665">
        <f t="shared" si="1"/>
        <v>103</v>
      </c>
      <c r="V10" s="664" t="s">
        <v>14</v>
      </c>
      <c r="W10" s="665">
        <f t="shared" si="2"/>
        <v>100</v>
      </c>
      <c r="X10" s="666"/>
      <c r="Y10" s="3340"/>
      <c r="Z10" s="50" t="str">
        <f t="shared" si="7"/>
        <v>土地使用年限（年）</v>
      </c>
      <c r="AA10" s="50">
        <f t="shared" si="3"/>
        <v>0.970873786407767</v>
      </c>
      <c r="AB10" s="50">
        <f t="shared" si="4"/>
        <v>0.970873786407767</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7"/>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7"/>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41.4">
      <c r="A15" s="379" t="s">
        <v>1690</v>
      </c>
      <c r="B15" s="58" t="s">
        <v>1777</v>
      </c>
      <c r="C15" s="1750" t="str">
        <f>估价对象房地状况!C4</f>
        <v>估价对象位于XX商圈，周边商业氛围成熟，人流量大，商业繁华度好</v>
      </c>
      <c r="D15" s="380">
        <v>100</v>
      </c>
      <c r="E15" s="381"/>
      <c r="F15" s="382">
        <f>SUMIF(76:76,E16,77:77)-SUMIF(76:76,C16,77:77)+100</f>
        <v>97</v>
      </c>
      <c r="G15" s="383"/>
      <c r="H15" s="380">
        <f>SUMIF(76:76,G16,77:77)-SUMIF(76:76,C16,77:77)+100</f>
        <v>97</v>
      </c>
      <c r="I15" s="381"/>
      <c r="J15" s="380">
        <f>SUMIF(76:76,I16,77:77)-SUMIF(76:76,C16,77:77)+100</f>
        <v>100</v>
      </c>
      <c r="K15" s="540">
        <v>3</v>
      </c>
      <c r="L15" s="2491"/>
      <c r="M15" s="2486"/>
      <c r="N15" s="2486"/>
      <c r="O15" s="2486"/>
      <c r="P15" s="3402" t="s">
        <v>1691</v>
      </c>
      <c r="Q15" s="1263" t="str">
        <f t="shared" si="6"/>
        <v>商业繁华度</v>
      </c>
      <c r="R15" s="667" t="s">
        <v>14</v>
      </c>
      <c r="S15" s="668">
        <f t="shared" si="0"/>
        <v>97</v>
      </c>
      <c r="T15" s="667" t="s">
        <v>14</v>
      </c>
      <c r="U15" s="668">
        <f t="shared" si="1"/>
        <v>97</v>
      </c>
      <c r="V15" s="667" t="s">
        <v>14</v>
      </c>
      <c r="W15" s="668">
        <f t="shared" si="2"/>
        <v>100</v>
      </c>
      <c r="X15" s="1265"/>
      <c r="Y15" s="3404" t="s">
        <v>1691</v>
      </c>
      <c r="Z15" s="1264" t="str">
        <f t="shared" si="7"/>
        <v>商业繁华度</v>
      </c>
      <c r="AA15" s="1264">
        <f t="shared" si="3"/>
        <v>1.0309278350515463</v>
      </c>
      <c r="AB15" s="1264">
        <f t="shared" si="4"/>
        <v>1.0309278350515463</v>
      </c>
      <c r="AC15" s="1264">
        <f t="shared" si="5"/>
        <v>1</v>
      </c>
    </row>
    <row r="16" spans="1:29" ht="15">
      <c r="A16" s="367"/>
      <c r="B16" s="385"/>
      <c r="C16" s="386" t="s">
        <v>3440</v>
      </c>
      <c r="D16" s="387"/>
      <c r="E16" s="386" t="s">
        <v>3509</v>
      </c>
      <c r="F16" s="388"/>
      <c r="G16" s="386" t="s">
        <v>3509</v>
      </c>
      <c r="H16" s="389"/>
      <c r="I16" s="386" t="s">
        <v>3440</v>
      </c>
      <c r="J16" s="387"/>
      <c r="K16" s="541"/>
      <c r="L16" s="2491"/>
      <c r="M16" s="2486"/>
      <c r="N16" s="2486"/>
      <c r="O16" s="2486"/>
      <c r="P16" s="3403"/>
      <c r="Q16" s="1263"/>
      <c r="R16" s="667"/>
      <c r="S16" s="668"/>
      <c r="T16" s="667"/>
      <c r="U16" s="668"/>
      <c r="V16" s="667"/>
      <c r="W16" s="668"/>
      <c r="X16" s="1265"/>
      <c r="Y16" s="3405"/>
      <c r="Z16" s="1264"/>
      <c r="AA16" s="1264">
        <v>1</v>
      </c>
      <c r="AB16" s="1264">
        <v>1</v>
      </c>
      <c r="AC16" s="1264">
        <v>1</v>
      </c>
    </row>
    <row r="17" spans="1:29" ht="55.2">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t="s">
        <v>3440</v>
      </c>
      <c r="D18" s="389"/>
      <c r="E18" s="1755" t="s">
        <v>3440</v>
      </c>
      <c r="F18" s="392"/>
      <c r="G18" s="1755" t="s">
        <v>3440</v>
      </c>
      <c r="H18" s="387"/>
      <c r="I18" s="1755" t="s">
        <v>3440</v>
      </c>
      <c r="J18" s="387"/>
      <c r="K18" s="541"/>
      <c r="L18" s="2491"/>
      <c r="M18" s="2486"/>
      <c r="N18" s="2486"/>
      <c r="O18" s="2486"/>
      <c r="P18" s="3403"/>
      <c r="Q18" s="1263"/>
      <c r="R18" s="667"/>
      <c r="S18" s="668"/>
      <c r="T18" s="667"/>
      <c r="U18" s="668"/>
      <c r="V18" s="667"/>
      <c r="W18" s="668"/>
      <c r="X18" s="1265"/>
      <c r="Y18" s="3405"/>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102</v>
      </c>
      <c r="K19" s="540">
        <v>2</v>
      </c>
      <c r="L19" s="2491"/>
      <c r="M19" s="2486"/>
      <c r="N19" s="2486"/>
      <c r="O19" s="2486"/>
      <c r="P19" s="3403"/>
      <c r="Q19" s="1263" t="str">
        <f>B19</f>
        <v>公共配套设施</v>
      </c>
      <c r="R19" s="667" t="s">
        <v>14</v>
      </c>
      <c r="S19" s="668">
        <f>F19</f>
        <v>100</v>
      </c>
      <c r="T19" s="667" t="s">
        <v>14</v>
      </c>
      <c r="U19" s="668">
        <f>H19</f>
        <v>100</v>
      </c>
      <c r="V19" s="667" t="s">
        <v>14</v>
      </c>
      <c r="W19" s="668">
        <f>J19</f>
        <v>102</v>
      </c>
      <c r="X19" s="1265"/>
      <c r="Y19" s="3405"/>
      <c r="Z19" s="1264" t="str">
        <f>Q19</f>
        <v>公共配套设施</v>
      </c>
      <c r="AA19" s="1264">
        <f t="shared" si="3"/>
        <v>1</v>
      </c>
      <c r="AB19" s="1264">
        <f t="shared" si="4"/>
        <v>1</v>
      </c>
      <c r="AC19" s="1264">
        <f t="shared" si="5"/>
        <v>0.98039215686274506</v>
      </c>
    </row>
    <row r="20" spans="1:29" ht="15">
      <c r="A20" s="367"/>
      <c r="B20" s="395"/>
      <c r="C20" s="1755" t="s">
        <v>3440</v>
      </c>
      <c r="D20" s="387"/>
      <c r="E20" s="1755" t="s">
        <v>3440</v>
      </c>
      <c r="F20" s="388"/>
      <c r="G20" s="1755" t="s">
        <v>3440</v>
      </c>
      <c r="H20" s="387"/>
      <c r="I20" s="1752" t="s">
        <v>3441</v>
      </c>
      <c r="J20" s="387"/>
      <c r="K20" s="541"/>
      <c r="L20" s="2491"/>
      <c r="M20" s="2486"/>
      <c r="N20" s="2486"/>
      <c r="O20" s="2486"/>
      <c r="P20" s="3403"/>
      <c r="Q20" s="1263"/>
      <c r="R20" s="667"/>
      <c r="S20" s="668"/>
      <c r="T20" s="667"/>
      <c r="U20" s="668"/>
      <c r="V20" s="667"/>
      <c r="W20" s="668"/>
      <c r="X20" s="1265"/>
      <c r="Y20" s="340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t="s">
        <v>3510</v>
      </c>
      <c r="D22" s="387"/>
      <c r="E22" s="1755" t="s">
        <v>3510</v>
      </c>
      <c r="F22" s="388"/>
      <c r="G22" s="1755" t="s">
        <v>3510</v>
      </c>
      <c r="H22" s="387"/>
      <c r="I22" s="1755" t="s">
        <v>3510</v>
      </c>
      <c r="J22" s="387"/>
      <c r="K22" s="1064"/>
      <c r="L22" s="2491"/>
      <c r="M22" s="2486"/>
      <c r="N22" s="2486"/>
      <c r="O22" s="2486"/>
      <c r="P22" s="3403"/>
      <c r="Q22" s="1263"/>
      <c r="R22" s="667"/>
      <c r="S22" s="668"/>
      <c r="T22" s="667"/>
      <c r="U22" s="668"/>
      <c r="V22" s="667"/>
      <c r="W22" s="668"/>
      <c r="X22" s="1265"/>
      <c r="Y22" s="3405"/>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102</v>
      </c>
      <c r="K23" s="540">
        <v>2</v>
      </c>
      <c r="L23" s="2491"/>
      <c r="M23" s="2486"/>
      <c r="N23" s="2486"/>
      <c r="O23" s="2486"/>
      <c r="P23" s="3403"/>
      <c r="Q23" s="1263" t="str">
        <f>B23</f>
        <v>自然及人文环境</v>
      </c>
      <c r="R23" s="667" t="s">
        <v>14</v>
      </c>
      <c r="S23" s="668">
        <f>F23</f>
        <v>100</v>
      </c>
      <c r="T23" s="667" t="s">
        <v>14</v>
      </c>
      <c r="U23" s="668">
        <f>H23</f>
        <v>100</v>
      </c>
      <c r="V23" s="667" t="s">
        <v>14</v>
      </c>
      <c r="W23" s="668">
        <f>J23</f>
        <v>102</v>
      </c>
      <c r="X23" s="1265"/>
      <c r="Y23" s="3405"/>
      <c r="Z23" s="1264" t="str">
        <f>Q23</f>
        <v>自然及人文环境</v>
      </c>
      <c r="AA23" s="1264">
        <f t="shared" si="3"/>
        <v>1</v>
      </c>
      <c r="AB23" s="1264">
        <f t="shared" si="4"/>
        <v>1</v>
      </c>
      <c r="AC23" s="1264">
        <f t="shared" si="5"/>
        <v>0.98039215686274506</v>
      </c>
    </row>
    <row r="24" spans="1:29" ht="15">
      <c r="A24" s="367"/>
      <c r="B24" s="395"/>
      <c r="C24" s="386" t="s">
        <v>3440</v>
      </c>
      <c r="D24" s="387"/>
      <c r="E24" s="386" t="s">
        <v>3440</v>
      </c>
      <c r="F24" s="388"/>
      <c r="G24" s="386" t="s">
        <v>3440</v>
      </c>
      <c r="H24" s="387"/>
      <c r="I24" s="386" t="s">
        <v>3441</v>
      </c>
      <c r="J24" s="387"/>
      <c r="K24" s="541"/>
      <c r="L24" s="2491"/>
      <c r="M24" s="2486"/>
      <c r="N24" s="2486"/>
      <c r="O24" s="2486"/>
      <c r="P24" s="3403"/>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03"/>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t="s">
        <v>3475</v>
      </c>
      <c r="D28" s="374">
        <v>100</v>
      </c>
      <c r="E28" s="542" t="s">
        <v>3475</v>
      </c>
      <c r="F28" s="400">
        <f>SUMIF(92:92,E28,93:93)-SUMIF(92:92,C28,93:93)+100</f>
        <v>100</v>
      </c>
      <c r="G28" s="542" t="s">
        <v>3475</v>
      </c>
      <c r="H28" s="374">
        <f>SUMIF(92:92,G28,93:93)-SUMIF(92:92,C28,93:93)+100</f>
        <v>100</v>
      </c>
      <c r="I28" s="542" t="s">
        <v>3475</v>
      </c>
      <c r="J28" s="374">
        <f>SUMIF(92:92,I28,93:93)-SUMIF(92:92,C28,93:93)+100</f>
        <v>100</v>
      </c>
      <c r="K28" s="539"/>
      <c r="L28" s="2491"/>
      <c r="M28" s="2486"/>
      <c r="N28" s="2486"/>
      <c r="O28" s="2486"/>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3176" t="s">
        <v>3511</v>
      </c>
      <c r="C29" s="3175" t="s">
        <v>3487</v>
      </c>
      <c r="D29" s="374">
        <v>100</v>
      </c>
      <c r="E29" s="3175" t="s">
        <v>3487</v>
      </c>
      <c r="F29" s="400">
        <f>SUMIF(94:94,E29,95:95)-SUMIF(94:94,C29,95:95)+100</f>
        <v>100</v>
      </c>
      <c r="G29" s="3175" t="s">
        <v>3487</v>
      </c>
      <c r="H29" s="374">
        <f>SUMIF(94:94,G29,95:95)-SUMIF(94:94,C29,95:95)+100</f>
        <v>100</v>
      </c>
      <c r="I29" s="3175" t="s">
        <v>3487</v>
      </c>
      <c r="J29" s="374">
        <f>SUMIF(94:94,I29,95:95)-SUMIF(94:94,C29,95:95)+100</f>
        <v>100</v>
      </c>
      <c r="K29" s="539"/>
      <c r="L29" s="2491"/>
      <c r="M29" s="2486"/>
      <c r="N29" s="2486"/>
      <c r="O29" s="2486"/>
      <c r="P29" s="3403"/>
      <c r="Q29" s="1263" t="str">
        <f t="shared" si="11"/>
        <v>临街状况</v>
      </c>
      <c r="R29" s="667" t="s">
        <v>14</v>
      </c>
      <c r="S29" s="668">
        <f t="shared" si="12"/>
        <v>100</v>
      </c>
      <c r="T29" s="667" t="s">
        <v>14</v>
      </c>
      <c r="U29" s="668">
        <f t="shared" si="13"/>
        <v>100</v>
      </c>
      <c r="V29" s="667" t="s">
        <v>14</v>
      </c>
      <c r="W29" s="668">
        <f t="shared" si="14"/>
        <v>100</v>
      </c>
      <c r="X29" s="1265"/>
      <c r="Y29" s="3405"/>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t="s">
        <v>3416</v>
      </c>
      <c r="D32" s="405">
        <v>100</v>
      </c>
      <c r="E32" s="1764" t="s">
        <v>3416</v>
      </c>
      <c r="F32" s="400">
        <f>SUMIF(100:100,E32,101:101)-SUMIF(100:100,C32,101:101)+100</f>
        <v>100</v>
      </c>
      <c r="G32" s="1764" t="s">
        <v>3416</v>
      </c>
      <c r="H32" s="374">
        <f>SUMIF(100:100,G32,101:101)-SUMIF(100:100,C32,101:101)+100</f>
        <v>100</v>
      </c>
      <c r="I32" s="1764" t="s">
        <v>3416</v>
      </c>
      <c r="J32" s="405">
        <f>SUMIF(100:100,I32,101:101)-SUMIF(100:100,C32,101:101)+100</f>
        <v>100</v>
      </c>
      <c r="K32" s="538">
        <v>2</v>
      </c>
      <c r="L32" s="2491"/>
      <c r="M32" s="2486"/>
      <c r="N32" s="2486"/>
      <c r="O32" s="2486"/>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440.62000000000018</v>
      </c>
      <c r="D33" s="119">
        <v>100</v>
      </c>
      <c r="E33" s="369">
        <v>77</v>
      </c>
      <c r="F33" s="364">
        <f>LOOKUP(E33,103:103,104:104)-LOOKUP(C33,103:103,104:104)+100</f>
        <v>104</v>
      </c>
      <c r="G33" s="368">
        <v>123</v>
      </c>
      <c r="H33" s="119">
        <f>LOOKUP(G33,103:103,104:104)-LOOKUP(C33,103:103,104:104)+100</f>
        <v>103</v>
      </c>
      <c r="I33" s="368">
        <v>39.64</v>
      </c>
      <c r="J33" s="119">
        <f>LOOKUP(I33,103:103,104:104)-LOOKUP(C33,103:103,104:104)+100</f>
        <v>104</v>
      </c>
      <c r="K33" s="539"/>
      <c r="L33" s="2490"/>
      <c r="M33" s="2492"/>
      <c r="N33" s="2492"/>
      <c r="O33" s="2492"/>
      <c r="P33" s="3407"/>
      <c r="Q33" s="531" t="str">
        <f t="shared" si="11"/>
        <v>项目建筑规模</v>
      </c>
      <c r="R33" s="669" t="s">
        <v>14</v>
      </c>
      <c r="S33" s="670">
        <f t="shared" si="12"/>
        <v>104</v>
      </c>
      <c r="T33" s="669" t="s">
        <v>14</v>
      </c>
      <c r="U33" s="670">
        <f t="shared" si="13"/>
        <v>103</v>
      </c>
      <c r="V33" s="669" t="s">
        <v>14</v>
      </c>
      <c r="W33" s="670">
        <f t="shared" si="14"/>
        <v>104</v>
      </c>
      <c r="X33" s="671"/>
      <c r="Y33" s="3409"/>
      <c r="Z33" s="672" t="str">
        <f t="shared" si="15"/>
        <v>项目建筑规模</v>
      </c>
      <c r="AA33" s="1264">
        <f t="shared" si="3"/>
        <v>0.96153846153846156</v>
      </c>
      <c r="AB33" s="1264">
        <f t="shared" si="4"/>
        <v>0.970873786407767</v>
      </c>
      <c r="AC33" s="1264">
        <f t="shared" si="5"/>
        <v>0.96153846153846156</v>
      </c>
    </row>
    <row r="34" spans="1:29" ht="15">
      <c r="A34" s="409"/>
      <c r="B34" s="364" t="s">
        <v>1698</v>
      </c>
      <c r="C34" s="399" t="s">
        <v>3445</v>
      </c>
      <c r="D34" s="374">
        <v>100</v>
      </c>
      <c r="E34" s="399" t="s">
        <v>3445</v>
      </c>
      <c r="F34" s="400">
        <f>SUMIF(105:105,E34,106:106)-SUMIF(105:105,C34,106:106)+100</f>
        <v>100</v>
      </c>
      <c r="G34" s="399" t="s">
        <v>3445</v>
      </c>
      <c r="H34" s="374">
        <f>SUMIF(105:105,G34,106:106)-SUMIF(105:105,C34,106:106)+100</f>
        <v>100</v>
      </c>
      <c r="I34" s="399" t="s">
        <v>3445</v>
      </c>
      <c r="J34" s="374">
        <f>SUMIF(105:105,I34,106:106)-SUMIF(105:105,C34,106:106)+100</f>
        <v>100</v>
      </c>
      <c r="K34" s="538">
        <v>2</v>
      </c>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0.8</v>
      </c>
      <c r="F36" s="400">
        <f>LOOKUP(E36,110:110,111:111)-LOOKUP(C36,110:110,111:111)+100</f>
        <v>104</v>
      </c>
      <c r="G36" s="411">
        <f>E36</f>
        <v>0.8</v>
      </c>
      <c r="H36" s="400">
        <f>LOOKUP(G36,110:110,111:111)-LOOKUP(C36,110:110,111:111)+100</f>
        <v>104</v>
      </c>
      <c r="I36" s="411">
        <v>0.7</v>
      </c>
      <c r="J36" s="374">
        <f>LOOKUP(I36,110:110,111:111)-LOOKUP(C36,110:110,111:111)+100</f>
        <v>102</v>
      </c>
      <c r="K36" s="538">
        <v>2</v>
      </c>
      <c r="L36" s="2491"/>
      <c r="M36" s="2486"/>
      <c r="N36" s="2486"/>
      <c r="O36" s="2486"/>
      <c r="P36" s="3407"/>
      <c r="Q36" s="1263" t="str">
        <f t="shared" si="11"/>
        <v>成新度</v>
      </c>
      <c r="R36" s="667" t="s">
        <v>14</v>
      </c>
      <c r="S36" s="668">
        <f t="shared" si="12"/>
        <v>104</v>
      </c>
      <c r="T36" s="667" t="s">
        <v>14</v>
      </c>
      <c r="U36" s="668">
        <f t="shared" si="13"/>
        <v>104</v>
      </c>
      <c r="V36" s="667" t="s">
        <v>14</v>
      </c>
      <c r="W36" s="668">
        <f t="shared" si="14"/>
        <v>102</v>
      </c>
      <c r="X36" s="1265"/>
      <c r="Y36" s="3409"/>
      <c r="Z36" s="1264" t="str">
        <f t="shared" si="15"/>
        <v>成新度</v>
      </c>
      <c r="AA36" s="1264">
        <f t="shared" si="3"/>
        <v>0.96153846153846156</v>
      </c>
      <c r="AB36" s="1264">
        <f t="shared" si="4"/>
        <v>0.96153846153846156</v>
      </c>
      <c r="AC36" s="1264">
        <f t="shared" si="5"/>
        <v>0.98039215686274506</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t="s">
        <v>3512</v>
      </c>
      <c r="D38" s="374">
        <v>100</v>
      </c>
      <c r="E38" s="1760" t="s">
        <v>3512</v>
      </c>
      <c r="F38" s="400">
        <f>SUMIF(114:114,E38,115:115)-SUMIF(114:114,C38,115:115)+100</f>
        <v>100</v>
      </c>
      <c r="G38" s="1760" t="s">
        <v>3512</v>
      </c>
      <c r="H38" s="374">
        <f>SUMIF(114:114,G38,115:115)-SUMIF(114:114,C38,115:115)+100</f>
        <v>100</v>
      </c>
      <c r="I38" s="1760" t="s">
        <v>3512</v>
      </c>
      <c r="J38" s="374">
        <f>SUMIF(114:114,I38,115:115)-SUMIF(114:114,C38,115:115)+100</f>
        <v>100</v>
      </c>
      <c r="K38" s="538">
        <v>5</v>
      </c>
      <c r="L38" s="2491"/>
      <c r="M38" s="2486"/>
      <c r="N38" s="2486"/>
      <c r="O38" s="2486"/>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t="s">
        <v>3513</v>
      </c>
      <c r="D42" s="374">
        <v>100</v>
      </c>
      <c r="E42" s="1760" t="s">
        <v>3513</v>
      </c>
      <c r="F42" s="400">
        <f>SUMIF(122:122,E42,123:123)-SUMIF(122:122,C42,123:123)+100</f>
        <v>100</v>
      </c>
      <c r="G42" s="1760" t="s">
        <v>3515</v>
      </c>
      <c r="H42" s="374">
        <f>SUMIF(122:122,G42,123:123)-SUMIF(122:122,C42,123:123)+100</f>
        <v>102</v>
      </c>
      <c r="I42" s="1760" t="s">
        <v>3515</v>
      </c>
      <c r="J42" s="374">
        <f>SUMIF(122:122,I42,123:123)-SUMIF(122:122,C42,123:123)+100</f>
        <v>102</v>
      </c>
      <c r="K42" s="538">
        <v>2</v>
      </c>
      <c r="L42" s="2491"/>
      <c r="M42" s="2486"/>
      <c r="N42" s="2486"/>
      <c r="O42" s="2486"/>
      <c r="P42" s="3407"/>
      <c r="Q42" s="1263" t="str">
        <f t="shared" si="11"/>
        <v>内部装修</v>
      </c>
      <c r="R42" s="667" t="s">
        <v>14</v>
      </c>
      <c r="S42" s="668">
        <f t="shared" si="12"/>
        <v>100</v>
      </c>
      <c r="T42" s="667" t="s">
        <v>14</v>
      </c>
      <c r="U42" s="668">
        <f t="shared" si="13"/>
        <v>102</v>
      </c>
      <c r="V42" s="667" t="s">
        <v>14</v>
      </c>
      <c r="W42" s="668">
        <f t="shared" si="14"/>
        <v>102</v>
      </c>
      <c r="X42" s="1265"/>
      <c r="Y42" s="3409"/>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3177" t="s">
        <v>3514</v>
      </c>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f>案例!P7</f>
        <v>16884</v>
      </c>
      <c r="F47" s="420"/>
      <c r="G47" s="421">
        <f>案例!O36</f>
        <v>18496</v>
      </c>
      <c r="H47" s="422"/>
      <c r="I47" s="419">
        <f>案例!O66</f>
        <v>21083</v>
      </c>
      <c r="J47" s="422"/>
      <c r="K47" s="674"/>
      <c r="L47" s="2493"/>
      <c r="M47" s="2486"/>
      <c r="N47" s="2486"/>
      <c r="O47" s="2486"/>
      <c r="P47" s="3411" t="str">
        <f>A47</f>
        <v>成交单价（元/平方米）</v>
      </c>
      <c r="Q47" s="3411"/>
      <c r="R47" s="3372">
        <f>E47</f>
        <v>16884</v>
      </c>
      <c r="S47" s="3372"/>
      <c r="T47" s="3372">
        <f>G47</f>
        <v>18496</v>
      </c>
      <c r="U47" s="3372"/>
      <c r="V47" s="3372">
        <f>I47</f>
        <v>21083</v>
      </c>
      <c r="W47" s="3372"/>
      <c r="X47" s="385"/>
      <c r="Y47" s="673"/>
      <c r="Z47" s="385"/>
      <c r="AA47" s="385"/>
      <c r="AB47" s="385"/>
      <c r="AC47" s="385"/>
    </row>
    <row r="48" spans="1:29" ht="15" thickBot="1">
      <c r="A48" s="423" t="s">
        <v>1793</v>
      </c>
      <c r="B48" s="424"/>
      <c r="C48" s="1082">
        <f>R49</f>
        <v>16284</v>
      </c>
      <c r="D48" s="2141" t="s">
        <v>2136</v>
      </c>
      <c r="E48" s="1083">
        <f>R48</f>
        <v>14880</v>
      </c>
      <c r="F48" s="2142"/>
      <c r="G48" s="1082">
        <f>T48</f>
        <v>16136</v>
      </c>
      <c r="H48" s="2142"/>
      <c r="I48" s="1083">
        <f>V48</f>
        <v>17836</v>
      </c>
      <c r="J48" s="2142"/>
      <c r="K48" s="2144">
        <f>F48+H48+J48</f>
        <v>0</v>
      </c>
      <c r="L48" s="2493"/>
      <c r="M48" s="2486"/>
      <c r="N48" s="2486"/>
      <c r="O48" s="2486"/>
      <c r="P48" s="3411" t="str">
        <f>A48</f>
        <v>比较价值（元/平方米）</v>
      </c>
      <c r="Q48" s="3411"/>
      <c r="R48" s="3372">
        <f>IF(F1="售价",ROUND(PRODUCT(R47,AA7:AA46),0),ROUND(PRODUCT(R47,AA7:AA46),1))</f>
        <v>14880</v>
      </c>
      <c r="S48" s="3372"/>
      <c r="T48" s="3372">
        <f>IF(F1="售价",ROUND(PRODUCT(T47,AB7:AB46),0),ROUND(PRODUCT(T47,AB7:AB46),1))</f>
        <v>16136</v>
      </c>
      <c r="U48" s="3372"/>
      <c r="V48" s="3372">
        <f>IF(F1="售价",ROUND(PRODUCT(V47,AC7:AC46),0),ROUND(PRODUCT(V47,AC7:AC46),1))</f>
        <v>17836</v>
      </c>
      <c r="W48" s="3372"/>
      <c r="X48" s="385"/>
      <c r="Y48" s="385"/>
      <c r="Z48" s="385"/>
      <c r="AA48" s="385"/>
      <c r="AB48" s="385"/>
      <c r="AC48" s="385"/>
    </row>
    <row r="49" spans="1:29" ht="15" thickBot="1">
      <c r="A49" s="427" t="s">
        <v>1794</v>
      </c>
      <c r="B49" s="428"/>
      <c r="C49" s="351">
        <f>R49</f>
        <v>16284</v>
      </c>
      <c r="D49" s="351"/>
      <c r="E49" s="351"/>
      <c r="F49" s="351"/>
      <c r="G49" s="351"/>
      <c r="H49" s="351"/>
      <c r="I49" s="351"/>
      <c r="J49" s="351"/>
      <c r="K49" s="675"/>
      <c r="L49" s="2493"/>
      <c r="M49" s="2486"/>
      <c r="N49" s="2486"/>
      <c r="O49" s="2486"/>
      <c r="P49" s="3412" t="str">
        <f>A49</f>
        <v>估价对象XX用房的比较价值（楼面单价，元/平方米）</v>
      </c>
      <c r="Q49" s="3413"/>
      <c r="R49" s="3414">
        <f>IF(F1="售价",ROUND(IF(D48="简单平均",AVERAGE(R48:V48),R48*F48+T48*H48+V48*J48),0),ROUND(IF(D48="简单平均",AVERAGE(R48:V48),R48*F48+T48*H48+V48*J48),1))</f>
        <v>16284</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8"/>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0.13467741935483879</v>
      </c>
      <c r="F52" s="435" t="str">
        <f>IF(OR(E52&gt;=0.3,E52&lt;=-0.3),"超过30%","")</f>
        <v/>
      </c>
      <c r="G52" s="434">
        <f>IF(G47&lt;G48,G48/G47-1,G47/G48-1)</f>
        <v>0.14625681705503224</v>
      </c>
      <c r="H52" s="435" t="str">
        <f>IF(OR(G52&gt;=0.3,G52&lt;=-0.3),"超过30%","")</f>
        <v/>
      </c>
      <c r="I52" s="434">
        <f>IF(I47&lt;I48,I48/I47-1,I47/I48-1)</f>
        <v>0.1820475442924423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8.4408602150537693E-2</v>
      </c>
      <c r="F53" s="435" t="str">
        <f>IF(OR(E53&gt;=0.2,E53&lt;=-0.2),"超过20%","")</f>
        <v/>
      </c>
      <c r="G53" s="434">
        <f>IF(G48&lt;I48,I48/G48-1,G48/I48-1)</f>
        <v>0.10535448686167581</v>
      </c>
      <c r="H53" s="435" t="str">
        <f>IF(OR(G53&gt;=0.2,G53&lt;=-0.2),"超过20%","")</f>
        <v/>
      </c>
      <c r="I53" s="434">
        <f>IF(I48&lt;E48,E48/I48-1,I48/E48-1)</f>
        <v>0.19865591397849469</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9.5475005922767142E-2</v>
      </c>
      <c r="F54" s="435" t="str">
        <f>IF(OR(E54&gt;=0.3,E54&lt;=-0.3),"超过30%","")</f>
        <v/>
      </c>
      <c r="G54" s="434">
        <f>IF(G47&lt;I47,I47/G47-1,G47/I47-1)</f>
        <v>0.1398680795847751</v>
      </c>
      <c r="H54" s="435" t="str">
        <f>IF(OR(G54&gt;=0.3,G54&lt;=-0.3),"超过30%","")</f>
        <v/>
      </c>
      <c r="I54" s="434">
        <f>IF(I47&lt;E47,E47/I47-1,I47/E47-1)</f>
        <v>0.24869699123430467</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v>100</v>
      </c>
      <c r="E59" s="446">
        <v>100</v>
      </c>
      <c r="F59" s="446">
        <v>100</v>
      </c>
      <c r="G59" s="446">
        <v>100</v>
      </c>
      <c r="H59" s="446">
        <v>100</v>
      </c>
      <c r="I59" s="446">
        <v>100</v>
      </c>
      <c r="J59" s="446">
        <v>100</v>
      </c>
      <c r="K59" s="446">
        <v>100</v>
      </c>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0" t="s">
        <v>3484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3503</v>
      </c>
      <c r="D65" s="513" t="s">
        <v>3504</v>
      </c>
      <c r="E65" s="513" t="s">
        <v>3505</v>
      </c>
      <c r="F65" s="513" t="s">
        <v>3506</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D66-3</f>
        <v>91</v>
      </c>
      <c r="D66" s="467">
        <f t="shared" si="17"/>
        <v>94</v>
      </c>
      <c r="E66" s="467">
        <f>F66-3</f>
        <v>97</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3485</v>
      </c>
      <c r="D92" s="485" t="s">
        <v>3486</v>
      </c>
      <c r="E92" s="485" t="s">
        <v>3488</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案例!T15</f>
        <v>154</v>
      </c>
      <c r="D93" s="467">
        <f>案例!T16</f>
        <v>108</v>
      </c>
      <c r="E93" s="467">
        <f>案例!T17</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71" t="s">
        <v>3487</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72" t="s">
        <v>3489</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v>500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1" t="s">
        <v>3490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71" t="s">
        <v>3491</v>
      </c>
      <c r="D112" s="3171" t="s">
        <v>3492</v>
      </c>
      <c r="E112" s="3171" t="s">
        <v>3493</v>
      </c>
      <c r="F112" s="3171" t="s">
        <v>3494</v>
      </c>
      <c r="G112" s="3171" t="s">
        <v>3495</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1" t="s">
        <v>3496</v>
      </c>
      <c r="D114" s="3171" t="s">
        <v>3497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1" t="s">
        <v>3498</v>
      </c>
      <c r="D122" s="3171" t="s">
        <v>3499</v>
      </c>
      <c r="E122" s="3171" t="s">
        <v>3500</v>
      </c>
      <c r="F122" s="3173" t="s">
        <v>3501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-17</v>
      </c>
      <c r="C2" s="268" t="s">
        <v>1595</v>
      </c>
      <c r="D2" s="268"/>
      <c r="E2" s="2566"/>
      <c r="F2" s="2566"/>
      <c r="G2" s="2566"/>
      <c r="H2" s="2566"/>
      <c r="I2" s="2566"/>
      <c r="J2" s="2566"/>
      <c r="K2" s="2566"/>
    </row>
    <row r="3" spans="1:33" ht="18" customHeight="1" thickBot="1">
      <c r="A3" s="195" t="s">
        <v>1464</v>
      </c>
      <c r="B3" s="196">
        <f ca="1">ROUND(B2*10000/IF(C1="",'数据-汇总表'!E3,INDIRECT("'数据-取费表'!K"&amp;$K$1)),0)</f>
        <v>-209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812.22000000000014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812.22000000000014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812.22000000000014</v>
      </c>
      <c r="E20" s="21">
        <f>'数据-取费表'!B28</f>
        <v>200</v>
      </c>
      <c r="F20" s="756"/>
      <c r="G20" s="12"/>
      <c r="H20" s="761"/>
      <c r="I20" s="761"/>
      <c r="J20" s="761"/>
      <c r="K20" s="762"/>
    </row>
    <row r="21" spans="1:33" s="755" customFormat="1" ht="13.5" customHeight="1">
      <c r="A21" s="744" t="s">
        <v>357</v>
      </c>
      <c r="B21" s="765" t="s">
        <v>1628</v>
      </c>
      <c r="C21" s="766">
        <f ca="1">C16+C17+C18</f>
        <v>16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7" t="s">
        <v>694</v>
      </c>
      <c r="C6" s="1011">
        <f ca="1">ROUND(F6*F8*F7*(1-F9)/10000,0)</f>
        <v>0</v>
      </c>
      <c r="D6" s="147" t="s">
        <v>2107</v>
      </c>
      <c r="E6" s="294" t="s">
        <v>696</v>
      </c>
      <c r="F6" s="295">
        <f ca="1">INDIRECT("'数据-取费表'!u"&amp;$G$1)</f>
        <v>0</v>
      </c>
      <c r="G6" s="1292"/>
      <c r="H6" s="1006" t="s">
        <v>398</v>
      </c>
      <c r="I6" s="3417" t="s">
        <v>694</v>
      </c>
      <c r="J6" s="293">
        <f ca="1">ROUND(M6*M8*M7*(1-M9)/10000,0)</f>
        <v>0</v>
      </c>
      <c r="K6" s="147" t="s">
        <v>2106</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0</v>
      </c>
      <c r="G7" s="1292"/>
      <c r="H7" s="296"/>
      <c r="I7" s="3418"/>
      <c r="J7" s="298"/>
      <c r="K7" s="299"/>
      <c r="L7" s="294" t="s">
        <v>697</v>
      </c>
      <c r="M7" s="295">
        <f ca="1">F7</f>
        <v>0</v>
      </c>
    </row>
    <row r="8" spans="1:37" ht="18" customHeight="1">
      <c r="A8" s="296"/>
      <c r="B8" s="3418"/>
      <c r="C8" s="298"/>
      <c r="D8" s="299"/>
      <c r="E8" s="294" t="s">
        <v>698</v>
      </c>
      <c r="F8" s="295">
        <f ca="1">INDIRECT("'数据-取费表'!ai"&amp;$G$1)</f>
        <v>0</v>
      </c>
      <c r="G8" s="1292"/>
      <c r="H8" s="296"/>
      <c r="I8" s="3418"/>
      <c r="J8" s="298"/>
      <c r="K8" s="299"/>
      <c r="L8" s="294" t="s">
        <v>698</v>
      </c>
      <c r="M8" s="295">
        <f ca="1">INDIRECT("'数据-取费表'!ai"&amp;$G$1)</f>
        <v>0</v>
      </c>
    </row>
    <row r="9" spans="1:37" ht="18" customHeight="1">
      <c r="A9" s="296"/>
      <c r="B9" s="3419"/>
      <c r="C9" s="298"/>
      <c r="D9" s="299"/>
      <c r="E9" s="294" t="s">
        <v>699</v>
      </c>
      <c r="F9" s="304">
        <f ca="1">INDIRECT("'数据-取费表'!w"&amp;$G$1)</f>
        <v>0</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415" t="s">
        <v>837</v>
      </c>
      <c r="L53" s="341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3423</v>
      </c>
      <c r="D1" s="1271" t="s">
        <v>43</v>
      </c>
      <c r="E1" s="1272" t="s">
        <v>678</v>
      </c>
      <c r="F1" s="999">
        <f ca="1">J53</f>
        <v>16.46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355.9</v>
      </c>
      <c r="C2" s="1289" t="s">
        <v>879</v>
      </c>
      <c r="D2" s="1375">
        <f ca="1">C40+J29+L46</f>
        <v>3559000</v>
      </c>
      <c r="E2" s="1295" t="s">
        <v>880</v>
      </c>
      <c r="F2" s="1296"/>
      <c r="G2" s="2477"/>
      <c r="H2" s="2467"/>
      <c r="I2" s="2467"/>
      <c r="J2" s="2467"/>
      <c r="K2" s="2468"/>
      <c r="L2" s="2467"/>
      <c r="M2" s="2467"/>
    </row>
    <row r="3" spans="1:37" ht="18" customHeight="1" thickBot="1">
      <c r="A3" s="1297" t="s">
        <v>881</v>
      </c>
      <c r="B3" s="1298">
        <f ca="1">IF(ISERROR(D2/F43),0,ROUND(D2/F43,0))</f>
        <v>8077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301443</v>
      </c>
      <c r="D5" s="1273" t="s">
        <v>889</v>
      </c>
      <c r="E5" s="1008"/>
      <c r="F5" s="1009"/>
      <c r="G5" s="1292"/>
      <c r="H5" s="291">
        <v>1</v>
      </c>
      <c r="I5" s="292" t="s">
        <v>888</v>
      </c>
      <c r="J5" s="1007">
        <f ca="1">J6+J10+J12</f>
        <v>0</v>
      </c>
      <c r="K5" s="1273" t="s">
        <v>889</v>
      </c>
      <c r="L5" s="1008"/>
      <c r="M5" s="1009"/>
    </row>
    <row r="6" spans="1:37" ht="18" customHeight="1">
      <c r="A6" s="1006" t="s">
        <v>398</v>
      </c>
      <c r="B6" s="3417" t="s">
        <v>694</v>
      </c>
      <c r="C6" s="1011">
        <f ca="1">ROUND(F6*F8*F7*(1-F9),0)</f>
        <v>301067</v>
      </c>
      <c r="D6" s="147" t="s">
        <v>2104</v>
      </c>
      <c r="E6" s="294" t="s">
        <v>696</v>
      </c>
      <c r="F6" s="295">
        <f ca="1">INDIRECT("'数据-取费表'!u"&amp;$G$1)</f>
        <v>2.08</v>
      </c>
      <c r="G6" s="1292"/>
      <c r="H6" s="1006" t="s">
        <v>398</v>
      </c>
      <c r="I6" s="3417" t="s">
        <v>694</v>
      </c>
      <c r="J6" s="293">
        <f ca="1">ROUND(M6*M8*M7*(1-M9),0)</f>
        <v>0</v>
      </c>
      <c r="K6" s="1284" t="s">
        <v>2105</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440.62000000000018</v>
      </c>
      <c r="G7" s="1292"/>
      <c r="H7" s="296"/>
      <c r="I7" s="3418"/>
      <c r="J7" s="298"/>
      <c r="K7" s="299"/>
      <c r="L7" s="294" t="s">
        <v>697</v>
      </c>
      <c r="M7" s="295">
        <f ca="1">F7</f>
        <v>440.62000000000018</v>
      </c>
    </row>
    <row r="8" spans="1:37" ht="18" customHeight="1">
      <c r="A8" s="296"/>
      <c r="B8" s="3418"/>
      <c r="C8" s="298"/>
      <c r="D8" s="299"/>
      <c r="E8" s="294" t="s">
        <v>698</v>
      </c>
      <c r="F8" s="295">
        <f ca="1">INDIRECT("'数据-取费表'!ai"&amp;$G$1)</f>
        <v>365</v>
      </c>
      <c r="G8" s="1292"/>
      <c r="H8" s="296"/>
      <c r="I8" s="3418"/>
      <c r="J8" s="298"/>
      <c r="K8" s="299"/>
      <c r="L8" s="294" t="s">
        <v>698</v>
      </c>
      <c r="M8" s="295">
        <f ca="1">INDIRECT("'数据-取费表'!ai"&amp;$G$1)</f>
        <v>365</v>
      </c>
    </row>
    <row r="9" spans="1:37" ht="18" customHeight="1">
      <c r="A9" s="296"/>
      <c r="B9" s="3419"/>
      <c r="C9" s="298"/>
      <c r="D9" s="299"/>
      <c r="E9" s="294" t="s">
        <v>699</v>
      </c>
      <c r="F9" s="304">
        <f ca="1">INDIRECT("'数据-取费表'!w"&amp;$G$1)</f>
        <v>0.1</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376</v>
      </c>
      <c r="D10" s="150" t="s">
        <v>2114</v>
      </c>
      <c r="E10" s="305" t="s">
        <v>701</v>
      </c>
      <c r="F10" s="1053" t="s">
        <v>3444</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1530591</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1542170</v>
      </c>
      <c r="D14" s="1257" t="s">
        <v>708</v>
      </c>
      <c r="E14" s="1255"/>
      <c r="F14" s="311"/>
      <c r="G14" s="1292"/>
      <c r="H14" s="928" t="s">
        <v>398</v>
      </c>
      <c r="I14" s="294" t="s">
        <v>709</v>
      </c>
      <c r="J14" s="21">
        <f ca="1">C29</f>
        <v>2250869</v>
      </c>
      <c r="K14" s="12"/>
      <c r="L14" s="759"/>
      <c r="M14" s="760"/>
    </row>
    <row r="15" spans="1:37" s="1304" customFormat="1" ht="18" customHeight="1" thickBot="1">
      <c r="A15" s="928" t="s">
        <v>399</v>
      </c>
      <c r="B15" s="294" t="s">
        <v>710</v>
      </c>
      <c r="C15" s="21">
        <f ca="1">ROUND(C14*F15,0)</f>
        <v>77109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9003</v>
      </c>
      <c r="K16" s="1024" t="s">
        <v>715</v>
      </c>
      <c r="L16" s="1025"/>
      <c r="M16" s="1009"/>
    </row>
    <row r="17" spans="1:37" s="1304" customFormat="1" ht="18" customHeight="1">
      <c r="A17" s="928" t="s">
        <v>681</v>
      </c>
      <c r="B17" s="294" t="s">
        <v>716</v>
      </c>
      <c r="C17" s="21">
        <f ca="1">ROUND(F17*(F43+INDIRECT("'数据-取费表'!S"&amp;$G$1)),0)</f>
        <v>88124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30843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1738246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34765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9003</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41065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-9003</v>
      </c>
      <c r="K25" s="1032" t="s">
        <v>753</v>
      </c>
      <c r="L25" s="1033"/>
      <c r="M25" s="1034"/>
    </row>
    <row r="26" spans="1:37" ht="18" customHeight="1">
      <c r="A26" s="928" t="s">
        <v>397</v>
      </c>
      <c r="B26" s="294" t="s">
        <v>754</v>
      </c>
      <c r="C26" s="21">
        <f ca="1">ROUND((C19+C20)*F26,0)</f>
        <v>265952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2250869</v>
      </c>
      <c r="D29" s="1029"/>
      <c r="E29" s="1027"/>
      <c r="F29" s="1030"/>
      <c r="G29" s="1303"/>
      <c r="H29" s="325" t="s">
        <v>396</v>
      </c>
      <c r="I29" s="326" t="s">
        <v>768</v>
      </c>
      <c r="J29" s="327">
        <f ca="1">ROUND(J26/(1+F40)^F41,0)</f>
        <v>0</v>
      </c>
      <c r="K29" s="328" t="s">
        <v>769</v>
      </c>
      <c r="L29" s="329"/>
      <c r="M29" s="330">
        <f ca="1">INDIRECT("'数据-取费表'!k"&amp;$G$1)</f>
        <v>440.62000000000018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32112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20071</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9003</v>
      </c>
      <c r="D36" s="1256" t="s">
        <v>771</v>
      </c>
      <c r="E36" s="294" t="s">
        <v>712</v>
      </c>
      <c r="F36" s="320">
        <f ca="1">INDIRECT("'数据-取费表'!Ak"&amp;$G$1)</f>
        <v>4.0000000000000001E-3</v>
      </c>
      <c r="G36" s="1292"/>
      <c r="H36" s="2472"/>
      <c r="I36" s="1305"/>
      <c r="J36" s="1306"/>
      <c r="K36" s="2330"/>
      <c r="L36" s="2472"/>
      <c r="M36" s="2472"/>
    </row>
    <row r="37" spans="1:18" ht="18" customHeight="1">
      <c r="A37" s="928" t="s">
        <v>437</v>
      </c>
      <c r="B37" s="294" t="s">
        <v>742</v>
      </c>
      <c r="C37" s="21">
        <f ca="1">ROUND(C13*F37,0)</f>
        <v>1531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1507</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269331</v>
      </c>
      <c r="D39" s="1032" t="s">
        <v>773</v>
      </c>
      <c r="E39" s="1033"/>
      <c r="F39" s="1034"/>
      <c r="G39" s="1292"/>
      <c r="H39" s="2472"/>
      <c r="I39" s="1305"/>
      <c r="J39" s="1306"/>
      <c r="K39" s="2470"/>
      <c r="L39" s="2472"/>
      <c r="M39" s="2472"/>
    </row>
    <row r="40" spans="1:18" ht="18" customHeight="1">
      <c r="A40" s="291" t="s">
        <v>395</v>
      </c>
      <c r="B40" s="292" t="s">
        <v>774</v>
      </c>
      <c r="C40" s="293">
        <f ca="1">ROUND(C39*(1-((1+F42)/(1+F40))^F41)/(F40-F42),0)</f>
        <v>3279044</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16.46</v>
      </c>
      <c r="G41" s="1292"/>
      <c r="H41" s="121">
        <f ca="1">C39/C5</f>
        <v>0.89347239776674192</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7442</v>
      </c>
      <c r="D43" s="328" t="s">
        <v>777</v>
      </c>
      <c r="E43" s="329" t="s">
        <v>778</v>
      </c>
      <c r="F43" s="330">
        <f ca="1">INDIRECT("'数据-取费表'!k"&amp;$G$1)</f>
        <v>440.62000000000018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f ca="1">ROUND((C68-C40)/10000,4)</f>
        <v>-339.12310000000002</v>
      </c>
      <c r="D45" s="3129" t="s">
        <v>3349</v>
      </c>
      <c r="E45" s="1307"/>
      <c r="F45" s="1307"/>
      <c r="O45" s="1310" t="s">
        <v>808</v>
      </c>
      <c r="P45" s="1366"/>
      <c r="Q45" s="1366"/>
      <c r="R45" s="1366"/>
    </row>
    <row r="46" spans="1:18" s="1292" customFormat="1" ht="13.8" thickBot="1">
      <c r="A46" s="1311" t="s">
        <v>809</v>
      </c>
      <c r="C46" s="1312">
        <f ca="1">ROUND(C45,0)</f>
        <v>-339</v>
      </c>
      <c r="D46" s="1313" t="str">
        <f>C2</f>
        <v>万元</v>
      </c>
      <c r="I46" s="1314" t="s">
        <v>810</v>
      </c>
      <c r="J46" s="1315"/>
      <c r="K46" s="1316"/>
      <c r="L46" s="1317">
        <f ca="1">IF(M47="住宅",0,IF(L48&gt;J51,L60,J60))</f>
        <v>279956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3279044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16.46</v>
      </c>
      <c r="O48" s="1325" t="s">
        <v>404</v>
      </c>
      <c r="P48" s="1326" t="s">
        <v>821</v>
      </c>
      <c r="Q48" s="1327">
        <f ca="1">J60</f>
        <v>279956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2006</v>
      </c>
      <c r="K49" s="1330" t="s">
        <v>824</v>
      </c>
      <c r="L49" s="1333"/>
      <c r="O49" s="1334" t="s">
        <v>405</v>
      </c>
      <c r="P49" s="1326" t="s">
        <v>825</v>
      </c>
      <c r="Q49" s="1327">
        <f ca="1">C29</f>
        <v>2250869</v>
      </c>
      <c r="R49" s="1327" t="s">
        <v>818</v>
      </c>
    </row>
    <row r="50" spans="1:18" s="1292" customFormat="1" ht="13.8" thickBot="1">
      <c r="A50" s="922"/>
      <c r="B50" s="925"/>
      <c r="C50" s="926"/>
      <c r="D50" s="899"/>
      <c r="E50" s="993" t="s">
        <v>697</v>
      </c>
      <c r="F50" s="994">
        <f ca="1">F7</f>
        <v>440.62000000000018</v>
      </c>
      <c r="H50" s="682"/>
      <c r="I50" s="1328" t="s">
        <v>826</v>
      </c>
      <c r="J50" s="1335">
        <f>SUMPRODUCT((I63:I65=J47)*(J62:L62=J48)*(J63:L65))</f>
        <v>60</v>
      </c>
      <c r="K50" s="1330" t="s">
        <v>827</v>
      </c>
      <c r="L50" s="1333"/>
      <c r="M50" s="1336"/>
      <c r="O50" s="1334" t="s">
        <v>406</v>
      </c>
      <c r="P50" s="1326" t="s">
        <v>828</v>
      </c>
      <c r="Q50" s="1337">
        <f ca="1">J58</f>
        <v>0.40899999999999997</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2804967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16.46</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16.46</v>
      </c>
      <c r="K53" s="3415" t="s">
        <v>837</v>
      </c>
      <c r="L53" s="3416"/>
      <c r="O53" s="1325" t="s">
        <v>409</v>
      </c>
      <c r="P53" s="1326" t="s">
        <v>838</v>
      </c>
      <c r="Q53" s="1327">
        <f ca="1">Q47+Q48</f>
        <v>3559000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0.40899999999999997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1530591</v>
      </c>
      <c r="D56" s="1352"/>
      <c r="E56" s="1353"/>
      <c r="F56" s="1345"/>
      <c r="I56" s="1354" t="s">
        <v>842</v>
      </c>
      <c r="J56" s="1355" t="s">
        <v>3415</v>
      </c>
      <c r="K56" s="1328" t="s">
        <v>843</v>
      </c>
      <c r="L56" s="1331" t="str">
        <f ca="1">IF(L48&lt;J51,"——",L48-J51)</f>
        <v>——</v>
      </c>
      <c r="O56" s="1325" t="s">
        <v>403</v>
      </c>
      <c r="P56" s="1326" t="s">
        <v>817</v>
      </c>
      <c r="Q56" s="1327">
        <f ca="1">C40+J29</f>
        <v>3279044</v>
      </c>
      <c r="R56" s="1327" t="s">
        <v>818</v>
      </c>
    </row>
    <row r="57" spans="1:18" s="1292" customFormat="1" ht="24.6" thickBot="1">
      <c r="A57" s="1356"/>
      <c r="B57" s="896" t="s">
        <v>767</v>
      </c>
      <c r="C57" s="230">
        <f ca="1">C29</f>
        <v>2250869</v>
      </c>
      <c r="D57" s="1357"/>
      <c r="E57" s="1358"/>
      <c r="F57" s="1359"/>
      <c r="I57" s="1360" t="s">
        <v>844</v>
      </c>
      <c r="J57" s="1361">
        <f ca="1">IF(OR(M47="住宅",J51&lt;L48,J56="是"),"——",J51-L48)</f>
        <v>24.54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10534</v>
      </c>
      <c r="D58" s="906" t="s">
        <v>715</v>
      </c>
      <c r="E58" s="907"/>
      <c r="F58" s="908"/>
      <c r="I58" s="1360" t="s">
        <v>848</v>
      </c>
      <c r="J58" s="1362">
        <f ca="1">IF(J55&lt;0.4,0.4,J55)</f>
        <v>0.40899999999999997</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920605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279956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3279044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9003</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1531</v>
      </c>
      <c r="D65" s="910" t="s">
        <v>743</v>
      </c>
      <c r="E65" s="896" t="s">
        <v>744</v>
      </c>
      <c r="F65" s="321">
        <f t="shared" ca="1" si="0"/>
        <v>1E-3</v>
      </c>
      <c r="I65" s="1367" t="s">
        <v>867</v>
      </c>
      <c r="J65" s="610">
        <v>40</v>
      </c>
      <c r="K65" s="610">
        <v>30</v>
      </c>
      <c r="L65" s="610">
        <v>50</v>
      </c>
      <c r="M65" s="1369">
        <v>0.02</v>
      </c>
      <c r="O65" s="1325" t="s">
        <v>403</v>
      </c>
      <c r="P65" s="1326" t="s">
        <v>868</v>
      </c>
      <c r="Q65" s="1327">
        <f ca="1">C40+J29</f>
        <v>3279044</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-10534</v>
      </c>
      <c r="D67" s="909" t="s">
        <v>753</v>
      </c>
      <c r="E67" s="914"/>
      <c r="F67" s="915"/>
      <c r="O67" s="1334" t="s">
        <v>405</v>
      </c>
      <c r="P67" s="1326" t="s">
        <v>850</v>
      </c>
      <c r="Q67" s="1370">
        <f ca="1">L51</f>
        <v>2804967</v>
      </c>
      <c r="R67" s="1327" t="s">
        <v>870</v>
      </c>
    </row>
    <row r="68" spans="1:18" s="1292" customFormat="1" ht="16.2" thickBot="1">
      <c r="A68" s="893" t="s">
        <v>395</v>
      </c>
      <c r="B68" s="894" t="s">
        <v>774</v>
      </c>
      <c r="C68" s="293">
        <f ca="1">ROUND(C67*(1-((1+F70)/(1+F68))^F69)/(F68-F70),0)</f>
        <v>-112187</v>
      </c>
      <c r="D68" s="911" t="s">
        <v>758</v>
      </c>
      <c r="E68" s="896" t="s">
        <v>759</v>
      </c>
      <c r="F68" s="304">
        <f ca="1">F40</f>
        <v>5.5E-2</v>
      </c>
      <c r="O68" s="1334" t="s">
        <v>406</v>
      </c>
      <c r="P68" s="1371" t="s">
        <v>871</v>
      </c>
      <c r="Q68" s="1327">
        <f ca="1">ROUND(Q69-Q70*Q71,0)</f>
        <v>162190</v>
      </c>
      <c r="R68" s="1327" t="s">
        <v>414</v>
      </c>
    </row>
    <row r="69" spans="1:18" s="1292" customFormat="1" ht="13.8" thickBot="1">
      <c r="A69" s="897"/>
      <c r="B69" s="898"/>
      <c r="C69" s="298"/>
      <c r="D69" s="916" t="s">
        <v>762</v>
      </c>
      <c r="E69" s="896" t="s">
        <v>763</v>
      </c>
      <c r="F69" s="324">
        <f ca="1">F41</f>
        <v>16.46</v>
      </c>
      <c r="O69" s="1334" t="s">
        <v>411</v>
      </c>
      <c r="P69" s="1371" t="s">
        <v>872</v>
      </c>
      <c r="Q69" s="1327">
        <f ca="1">C39</f>
        <v>269331</v>
      </c>
      <c r="R69" s="1327" t="s">
        <v>818</v>
      </c>
    </row>
    <row r="70" spans="1:18" s="1292" customFormat="1" ht="13.8" thickBot="1">
      <c r="A70" s="900"/>
      <c r="B70" s="901"/>
      <c r="C70" s="302"/>
      <c r="D70" s="912"/>
      <c r="E70" s="896" t="s">
        <v>766</v>
      </c>
      <c r="F70" s="991"/>
      <c r="O70" s="1334" t="s">
        <v>412</v>
      </c>
      <c r="P70" s="1371" t="s">
        <v>873</v>
      </c>
      <c r="Q70" s="1327">
        <f ca="1">C13</f>
        <v>1530591</v>
      </c>
      <c r="R70" s="1327" t="s">
        <v>818</v>
      </c>
    </row>
    <row r="71" spans="1:18" s="1292" customFormat="1" ht="13.8" thickBot="1">
      <c r="A71" s="917" t="s">
        <v>396</v>
      </c>
      <c r="B71" s="918" t="s">
        <v>776</v>
      </c>
      <c r="C71" s="327">
        <f ca="1">ROUND(C68/F71,0)</f>
        <v>-255</v>
      </c>
      <c r="D71" s="919" t="s">
        <v>777</v>
      </c>
      <c r="E71" s="920" t="s">
        <v>778</v>
      </c>
      <c r="F71" s="330">
        <f ca="1">F43</f>
        <v>440.62000000000018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107141</v>
      </c>
      <c r="D75" s="1292"/>
      <c r="E75" s="1292"/>
      <c r="F75" s="1292"/>
      <c r="K75" s="1309"/>
      <c r="L75" s="1292"/>
      <c r="O75" s="1325" t="s">
        <v>409</v>
      </c>
      <c r="P75" s="1326" t="s">
        <v>838</v>
      </c>
      <c r="Q75" s="1327">
        <f ca="1">Q65+Q66</f>
        <v>3279044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0.60199999999999998</v>
      </c>
    </row>
    <row r="80" spans="1:18">
      <c r="B80" s="331" t="s">
        <v>800</v>
      </c>
      <c r="C80" s="266">
        <f ca="1">ROUND(C75/C39,3)</f>
        <v>0.39800000000000002</v>
      </c>
    </row>
    <row r="81" spans="2:3">
      <c r="B81" s="262" t="s">
        <v>801</v>
      </c>
      <c r="C81" s="230"/>
    </row>
    <row r="82" spans="2:3">
      <c r="B82" s="265" t="s">
        <v>802</v>
      </c>
      <c r="C82" s="267">
        <f ca="1">1-C83</f>
        <v>0.53299999999999992</v>
      </c>
    </row>
    <row r="83" spans="2:3">
      <c r="B83" s="265" t="s">
        <v>803</v>
      </c>
      <c r="C83" s="266">
        <f ca="1">ROUND(C13/C40,3)</f>
        <v>0.46700000000000003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2" customHeight="1">
      <c r="A2" s="1293" t="s">
        <v>2313</v>
      </c>
      <c r="B2" s="2593" t="e">
        <f>IF(D2="——",C40,C40+E2)</f>
        <v>#DIV/0!</v>
      </c>
      <c r="C2" s="2594" t="s">
        <v>2314</v>
      </c>
      <c r="D2" s="3137" t="s">
        <v>3355</v>
      </c>
      <c r="E2" s="3138"/>
      <c r="F2" s="2596"/>
      <c r="G2" s="2597"/>
      <c r="H2" s="2598"/>
      <c r="I2" s="2599"/>
      <c r="J2" s="3420" t="s">
        <v>2315</v>
      </c>
      <c r="K2" s="3421"/>
      <c r="L2" s="2600" t="s">
        <v>2316</v>
      </c>
      <c r="M2" s="2600" t="s">
        <v>2317</v>
      </c>
      <c r="N2" s="2600" t="s">
        <v>2318</v>
      </c>
      <c r="O2" s="2600" t="s">
        <v>2319</v>
      </c>
      <c r="P2" s="2600" t="s">
        <v>2320</v>
      </c>
      <c r="Q2" s="2601" t="s">
        <v>2321</v>
      </c>
      <c r="R2" s="2602" t="s">
        <v>2322</v>
      </c>
      <c r="S2" s="2591"/>
      <c r="T2" s="2591"/>
      <c r="U2" s="2591"/>
      <c r="V2" s="2599"/>
    </row>
    <row r="3" spans="1:22" s="2603" customFormat="1" ht="13.2" customHeight="1">
      <c r="A3" s="2604" t="s">
        <v>2323</v>
      </c>
      <c r="B3" s="2605" t="e">
        <f>ROUND(B2*10000/B4,0)</f>
        <v>#DIV/0!</v>
      </c>
      <c r="C3" s="2594" t="s">
        <v>2324</v>
      </c>
      <c r="D3" s="2594"/>
      <c r="E3" s="2595"/>
      <c r="F3" s="2596"/>
      <c r="G3" s="2597"/>
      <c r="H3" s="2598"/>
      <c r="I3" s="2599"/>
      <c r="J3" s="3422" t="s">
        <v>2325</v>
      </c>
      <c r="K3" s="3423"/>
      <c r="L3" s="2606"/>
      <c r="M3" s="2606"/>
      <c r="N3" s="2606"/>
      <c r="O3" s="2606"/>
      <c r="P3" s="2606"/>
      <c r="Q3" s="2607"/>
      <c r="R3" s="2608">
        <f>SUM(L3:Q3)</f>
        <v>0</v>
      </c>
      <c r="S3" s="2591"/>
      <c r="T3" s="2591"/>
      <c r="U3" s="2591"/>
      <c r="V3" s="2599"/>
    </row>
    <row r="4" spans="1:22" s="2603" customFormat="1" ht="13.2" customHeight="1">
      <c r="A4" s="2609" t="s">
        <v>2326</v>
      </c>
      <c r="B4" s="2610"/>
      <c r="C4" s="2594"/>
      <c r="D4" s="2594"/>
      <c r="E4" s="2595"/>
      <c r="F4" s="2596"/>
      <c r="G4" s="2597"/>
      <c r="H4" s="2598"/>
      <c r="I4" s="2599"/>
      <c r="J4" s="3422" t="s">
        <v>2327</v>
      </c>
      <c r="K4" s="3423"/>
      <c r="L4" s="2611"/>
      <c r="M4" s="2611"/>
      <c r="N4" s="2611"/>
      <c r="O4" s="2611"/>
      <c r="P4" s="2611"/>
      <c r="Q4" s="2612"/>
      <c r="R4" s="2613">
        <f>SUM(L4:Q4)</f>
        <v>0</v>
      </c>
      <c r="S4" s="2591"/>
      <c r="T4" s="2591"/>
      <c r="U4" s="2591"/>
      <c r="V4" s="2599"/>
    </row>
    <row r="5" spans="1:22" s="2603" customFormat="1" ht="13.2"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2" customHeight="1" thickBot="1">
      <c r="A6" s="3424" t="s">
        <v>2331</v>
      </c>
      <c r="B6" s="3425"/>
      <c r="C6" s="3426"/>
      <c r="D6" s="2620"/>
      <c r="E6" s="2621"/>
      <c r="F6" s="2622"/>
      <c r="G6" s="2623"/>
      <c r="H6" s="2598"/>
      <c r="I6" s="2599"/>
      <c r="J6" s="3427">
        <v>1</v>
      </c>
      <c r="K6" s="3428"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2" customHeight="1">
      <c r="A7" s="2626" t="s">
        <v>2341</v>
      </c>
      <c r="B7" s="2627"/>
      <c r="C7" s="2628"/>
      <c r="D7" s="2629">
        <f>SUM(D9,D10,D11,D17,0)</f>
        <v>0</v>
      </c>
      <c r="E7" s="2630" t="e">
        <f>E9+E10+E11+E17</f>
        <v>#DIV/0!</v>
      </c>
      <c r="F7" s="2631"/>
      <c r="G7" s="2632"/>
      <c r="H7" s="2598"/>
      <c r="I7" s="2599"/>
      <c r="J7" s="3427"/>
      <c r="K7" s="3429"/>
      <c r="L7" s="2633" t="s">
        <v>2342</v>
      </c>
      <c r="M7" s="2634"/>
      <c r="N7" s="2610"/>
      <c r="O7" s="2635"/>
      <c r="P7" s="2635"/>
      <c r="Q7" s="2636">
        <v>365</v>
      </c>
      <c r="R7" s="2637">
        <f>ROUND(M7*N7*O7*P7*Q7/10000,0)</f>
        <v>0</v>
      </c>
      <c r="S7" s="2591"/>
      <c r="T7" s="2591" t="s">
        <v>2343</v>
      </c>
      <c r="U7" s="2591"/>
      <c r="V7" s="2599"/>
    </row>
    <row r="8" spans="1:22" s="2603" customFormat="1" ht="13.2" customHeight="1">
      <c r="A8" s="2638" t="s">
        <v>2344</v>
      </c>
      <c r="B8" s="3431" t="s">
        <v>2345</v>
      </c>
      <c r="C8" s="3432"/>
      <c r="D8" s="2639" t="s">
        <v>2346</v>
      </c>
      <c r="E8" s="2640" t="s">
        <v>2347</v>
      </c>
      <c r="F8" s="2641" t="s">
        <v>2348</v>
      </c>
      <c r="G8" s="2642"/>
      <c r="H8" s="2598"/>
      <c r="I8" s="2599"/>
      <c r="J8" s="3427"/>
      <c r="K8" s="3429"/>
      <c r="L8" s="2633" t="s">
        <v>2349</v>
      </c>
      <c r="M8" s="2634"/>
      <c r="N8" s="2610"/>
      <c r="O8" s="2635"/>
      <c r="P8" s="2635"/>
      <c r="Q8" s="2636">
        <v>365</v>
      </c>
      <c r="R8" s="2637">
        <f t="shared" ref="R8:R13" si="0">ROUND(M8*N8*O8*P8*Q8/10000,0)</f>
        <v>0</v>
      </c>
      <c r="S8" s="2591"/>
      <c r="T8" s="2591" t="s">
        <v>2350</v>
      </c>
      <c r="U8" s="2591"/>
      <c r="V8" s="2599"/>
    </row>
    <row r="9" spans="1:22" s="2603" customFormat="1" ht="13.2" customHeight="1">
      <c r="A9" s="2638">
        <v>1</v>
      </c>
      <c r="B9" s="3431" t="s">
        <v>2351</v>
      </c>
      <c r="C9" s="3432"/>
      <c r="D9" s="2639">
        <f>ROUND(D6*E9,0)</f>
        <v>0</v>
      </c>
      <c r="E9" s="2643"/>
      <c r="F9" s="2644" t="s">
        <v>2352</v>
      </c>
      <c r="G9" s="2623"/>
      <c r="H9" s="2598"/>
      <c r="I9" s="2599"/>
      <c r="J9" s="3427"/>
      <c r="K9" s="3429"/>
      <c r="L9" s="2633" t="s">
        <v>2353</v>
      </c>
      <c r="M9" s="2634"/>
      <c r="N9" s="2610"/>
      <c r="O9" s="2635"/>
      <c r="P9" s="2635"/>
      <c r="Q9" s="2636">
        <v>365</v>
      </c>
      <c r="R9" s="2637">
        <f t="shared" si="0"/>
        <v>0</v>
      </c>
      <c r="S9" s="2591"/>
      <c r="T9" s="2591"/>
      <c r="U9" s="2591"/>
      <c r="V9" s="2599"/>
    </row>
    <row r="10" spans="1:22" s="2603" customFormat="1" ht="13.2" customHeight="1">
      <c r="A10" s="2638">
        <v>2</v>
      </c>
      <c r="B10" s="3431" t="s">
        <v>2354</v>
      </c>
      <c r="C10" s="3432"/>
      <c r="D10" s="2639">
        <f>ROUND(D6*E10,0)</f>
        <v>0</v>
      </c>
      <c r="E10" s="2643"/>
      <c r="F10" s="2644" t="s">
        <v>2355</v>
      </c>
      <c r="G10" s="2623"/>
      <c r="H10" s="2598"/>
      <c r="I10" s="2599"/>
      <c r="J10" s="3427"/>
      <c r="K10" s="3429"/>
      <c r="L10" s="2633" t="s">
        <v>2356</v>
      </c>
      <c r="M10" s="2634"/>
      <c r="N10" s="2610"/>
      <c r="O10" s="2635"/>
      <c r="P10" s="2635"/>
      <c r="Q10" s="2636">
        <v>365</v>
      </c>
      <c r="R10" s="2637">
        <f t="shared" si="0"/>
        <v>0</v>
      </c>
      <c r="S10" s="2591"/>
      <c r="T10" s="2591"/>
      <c r="U10" s="2591"/>
      <c r="V10" s="2599"/>
    </row>
    <row r="11" spans="1:22" s="2603" customFormat="1" ht="13.2" customHeight="1">
      <c r="A11" s="2638">
        <v>3</v>
      </c>
      <c r="B11" s="3431" t="s">
        <v>2357</v>
      </c>
      <c r="C11" s="3432"/>
      <c r="D11" s="2639">
        <f>D12+D14+D15+D16</f>
        <v>0</v>
      </c>
      <c r="E11" s="2645" t="e">
        <f>D11/D6</f>
        <v>#DIV/0!</v>
      </c>
      <c r="F11" s="2641"/>
      <c r="G11" s="2642"/>
      <c r="H11" s="2598"/>
      <c r="I11" s="2599"/>
      <c r="J11" s="3427"/>
      <c r="K11" s="3429"/>
      <c r="L11" s="2633" t="s">
        <v>2358</v>
      </c>
      <c r="M11" s="2634"/>
      <c r="N11" s="2610"/>
      <c r="O11" s="2635"/>
      <c r="P11" s="2635"/>
      <c r="Q11" s="2636">
        <v>365</v>
      </c>
      <c r="R11" s="2637">
        <f t="shared" si="0"/>
        <v>0</v>
      </c>
      <c r="S11" s="2591"/>
      <c r="T11" s="2591"/>
      <c r="U11" s="2591"/>
      <c r="V11" s="2599"/>
    </row>
    <row r="12" spans="1:22" s="2603" customFormat="1" ht="13.2" customHeight="1">
      <c r="A12" s="2646" t="s">
        <v>2359</v>
      </c>
      <c r="B12" s="3433" t="s">
        <v>2360</v>
      </c>
      <c r="C12" s="3434"/>
      <c r="D12" s="2647">
        <f>ROUND(D13*1.2%*(1-30%),0)</f>
        <v>0</v>
      </c>
      <c r="E12" s="2648">
        <v>1.2E-2</v>
      </c>
      <c r="F12" s="2641" t="s">
        <v>2361</v>
      </c>
      <c r="G12" s="2642"/>
      <c r="H12" s="2598"/>
      <c r="I12" s="2599"/>
      <c r="J12" s="3427"/>
      <c r="K12" s="3429"/>
      <c r="L12" s="2633" t="s">
        <v>2362</v>
      </c>
      <c r="M12" s="2634"/>
      <c r="N12" s="2610"/>
      <c r="O12" s="2635"/>
      <c r="P12" s="2635"/>
      <c r="Q12" s="2636">
        <v>365</v>
      </c>
      <c r="R12" s="2637">
        <f t="shared" si="0"/>
        <v>0</v>
      </c>
      <c r="S12" s="2591"/>
      <c r="T12" s="2591"/>
      <c r="U12" s="2591"/>
      <c r="V12" s="2599"/>
    </row>
    <row r="13" spans="1:22" s="2603" customFormat="1" ht="13.2" customHeight="1">
      <c r="A13" s="2646"/>
      <c r="B13" s="2649"/>
      <c r="C13" s="2650" t="s">
        <v>2363</v>
      </c>
      <c r="D13" s="2651"/>
      <c r="E13" s="2652"/>
      <c r="F13" s="2641"/>
      <c r="G13" s="2642"/>
      <c r="H13" s="2598"/>
      <c r="I13" s="2599"/>
      <c r="J13" s="3427"/>
      <c r="K13" s="3429"/>
      <c r="L13" s="2633" t="s">
        <v>2364</v>
      </c>
      <c r="M13" s="2634"/>
      <c r="N13" s="2610"/>
      <c r="O13" s="2635"/>
      <c r="P13" s="2635"/>
      <c r="Q13" s="2636">
        <v>365</v>
      </c>
      <c r="R13" s="2637">
        <f t="shared" si="0"/>
        <v>0</v>
      </c>
      <c r="S13" s="2591"/>
      <c r="T13" s="2591"/>
      <c r="U13" s="2591"/>
      <c r="V13" s="2599"/>
    </row>
    <row r="14" spans="1:22" s="2603" customFormat="1" ht="13.2" customHeight="1">
      <c r="A14" s="2646" t="s">
        <v>2365</v>
      </c>
      <c r="B14" s="3433" t="s">
        <v>2366</v>
      </c>
      <c r="C14" s="3434"/>
      <c r="D14" s="2647">
        <f>ROUND(E14*B5/10000,0)</f>
        <v>0</v>
      </c>
      <c r="E14" s="2636"/>
      <c r="F14" s="2641" t="s">
        <v>2367</v>
      </c>
      <c r="G14" s="2642"/>
      <c r="H14" s="2598"/>
      <c r="I14" s="2599"/>
      <c r="J14" s="3427"/>
      <c r="K14" s="3430"/>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2369</v>
      </c>
      <c r="B15" s="3433" t="s">
        <v>2370</v>
      </c>
      <c r="C15" s="3434"/>
      <c r="D15" s="2647">
        <f>ROUND(D6*E15,0)</f>
        <v>0</v>
      </c>
      <c r="E15" s="2648">
        <v>5.5E-2</v>
      </c>
      <c r="F15" s="2641" t="s">
        <v>2371</v>
      </c>
      <c r="G15" s="2623"/>
      <c r="H15" s="2598"/>
      <c r="I15" s="2599"/>
      <c r="J15" s="3427">
        <v>2</v>
      </c>
      <c r="K15" s="3428"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2" customHeight="1">
      <c r="A16" s="2646" t="s">
        <v>2378</v>
      </c>
      <c r="B16" s="3433" t="s">
        <v>2379</v>
      </c>
      <c r="C16" s="3434"/>
      <c r="D16" s="2658">
        <f>D6*E16</f>
        <v>0</v>
      </c>
      <c r="E16" s="2659"/>
      <c r="F16" s="2644" t="s">
        <v>2380</v>
      </c>
      <c r="G16" s="2623"/>
      <c r="H16" s="2598"/>
      <c r="I16" s="2599"/>
      <c r="J16" s="3427"/>
      <c r="K16" s="3429"/>
      <c r="L16" s="2633" t="s">
        <v>2381</v>
      </c>
      <c r="M16" s="2634"/>
      <c r="N16" s="2634"/>
      <c r="O16" s="2635"/>
      <c r="P16" s="2636">
        <v>365</v>
      </c>
      <c r="Q16" s="2610"/>
      <c r="R16" s="2657">
        <f>ROUND(M16*N16*O16*P16/10000,0)</f>
        <v>0</v>
      </c>
      <c r="S16" s="2591"/>
      <c r="T16" s="2591"/>
      <c r="U16" s="2591"/>
      <c r="V16" s="2599"/>
    </row>
    <row r="17" spans="1:22" s="2603" customFormat="1" ht="13.2" customHeight="1" thickBot="1">
      <c r="A17" s="2660">
        <v>4</v>
      </c>
      <c r="B17" s="3435" t="s">
        <v>2382</v>
      </c>
      <c r="C17" s="3436"/>
      <c r="D17" s="2661">
        <f>ROUND(D6*E17,0)</f>
        <v>0</v>
      </c>
      <c r="E17" s="2662"/>
      <c r="F17" s="2663" t="s">
        <v>2383</v>
      </c>
      <c r="G17" s="2623"/>
      <c r="H17" s="2598"/>
      <c r="I17" s="2599"/>
      <c r="J17" s="3427"/>
      <c r="K17" s="3429"/>
      <c r="L17" s="2633" t="s">
        <v>2384</v>
      </c>
      <c r="M17" s="2634"/>
      <c r="N17" s="2634"/>
      <c r="O17" s="2635"/>
      <c r="P17" s="2636">
        <v>365</v>
      </c>
      <c r="Q17" s="2610"/>
      <c r="R17" s="2657">
        <f>ROUND(M17*N17*O17*P17/10000,0)</f>
        <v>0</v>
      </c>
      <c r="S17" s="2591"/>
      <c r="T17" s="2591"/>
      <c r="U17" s="2591"/>
      <c r="V17" s="2599"/>
    </row>
    <row r="18" spans="1:22" s="2603" customFormat="1" ht="13.2" customHeight="1" thickBot="1">
      <c r="A18" s="2626" t="s">
        <v>2385</v>
      </c>
      <c r="B18" s="2627"/>
      <c r="C18" s="2627"/>
      <c r="D18" s="2664">
        <f>ROUND(D6*E18,0)</f>
        <v>0</v>
      </c>
      <c r="E18" s="2665"/>
      <c r="F18" s="2666" t="s">
        <v>2386</v>
      </c>
      <c r="G18" s="2623"/>
      <c r="H18" s="2598"/>
      <c r="I18" s="2599"/>
      <c r="J18" s="3427"/>
      <c r="K18" s="3429"/>
      <c r="L18" s="2633" t="s">
        <v>2387</v>
      </c>
      <c r="M18" s="2634"/>
      <c r="N18" s="2634"/>
      <c r="O18" s="2635"/>
      <c r="P18" s="2636">
        <v>365</v>
      </c>
      <c r="Q18" s="2610"/>
      <c r="R18" s="2657">
        <f>ROUND(M18*N18*O18*P18/10000,0)</f>
        <v>0</v>
      </c>
      <c r="S18" s="2591"/>
      <c r="T18" s="2591"/>
      <c r="U18" s="2591"/>
      <c r="V18" s="2599"/>
    </row>
    <row r="19" spans="1:22" s="2603" customFormat="1" ht="13.2" customHeight="1" thickBot="1">
      <c r="A19" s="2667" t="s">
        <v>2388</v>
      </c>
      <c r="B19" s="2621"/>
      <c r="C19" s="2621"/>
      <c r="D19" s="2621"/>
      <c r="E19" s="2621"/>
      <c r="F19" s="2622"/>
      <c r="G19" s="2642"/>
      <c r="H19" s="2598"/>
      <c r="I19" s="2599"/>
      <c r="J19" s="3427"/>
      <c r="K19" s="3430"/>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7">
        <v>3</v>
      </c>
      <c r="K20" s="3428"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2" customHeight="1">
      <c r="A21" s="2626"/>
      <c r="B21" s="2627"/>
      <c r="C21" s="2672" t="s">
        <v>2397</v>
      </c>
      <c r="D21" s="2673" t="s">
        <v>2398</v>
      </c>
      <c r="E21" s="2674" t="s">
        <v>2399</v>
      </c>
      <c r="F21" s="2670"/>
      <c r="G21" s="2642"/>
      <c r="H21" s="2598"/>
      <c r="I21" s="2599"/>
      <c r="J21" s="3427"/>
      <c r="K21" s="3429"/>
      <c r="L21" s="2633" t="s">
        <v>2400</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2401</v>
      </c>
      <c r="D22" s="2677" t="s">
        <v>2402</v>
      </c>
      <c r="E22" s="2678" t="s">
        <v>2403</v>
      </c>
      <c r="F22" s="2670"/>
      <c r="G22" s="2591"/>
      <c r="H22" s="2598"/>
      <c r="I22" s="2599"/>
      <c r="J22" s="3427"/>
      <c r="K22" s="3429"/>
      <c r="L22" s="2633" t="s">
        <v>2404</v>
      </c>
      <c r="M22" s="2634"/>
      <c r="N22" s="2634"/>
      <c r="O22" s="2635"/>
      <c r="P22" s="2636">
        <v>365</v>
      </c>
      <c r="Q22" s="2610"/>
      <c r="R22" s="2675">
        <f>ROUND(M22*N22*O22*P22/10000,0)</f>
        <v>0</v>
      </c>
      <c r="S22" s="2591"/>
      <c r="T22" s="2591"/>
      <c r="U22" s="2591"/>
      <c r="V22" s="2599"/>
    </row>
    <row r="23" spans="1:22" s="2603" customFormat="1" ht="13.2" customHeight="1">
      <c r="A23" s="2679">
        <v>1</v>
      </c>
      <c r="B23" s="2680" t="s">
        <v>2405</v>
      </c>
      <c r="C23" s="2681">
        <f>D6</f>
        <v>0</v>
      </c>
      <c r="D23" s="2682">
        <f>C23*(1+D24)</f>
        <v>0</v>
      </c>
      <c r="E23" s="2683">
        <f>D23*(1+E24)</f>
        <v>0</v>
      </c>
      <c r="F23" s="2684"/>
      <c r="G23" s="2685"/>
      <c r="H23" s="2598"/>
      <c r="I23" s="2599"/>
      <c r="J23" s="3427"/>
      <c r="K23" s="3429"/>
      <c r="L23" s="2633" t="s">
        <v>2406</v>
      </c>
      <c r="M23" s="2634"/>
      <c r="N23" s="2634"/>
      <c r="O23" s="2635"/>
      <c r="P23" s="2636">
        <v>365</v>
      </c>
      <c r="Q23" s="2610"/>
      <c r="R23" s="2675">
        <f>ROUND(M23*N23*O23*P23/10000,0)</f>
        <v>0</v>
      </c>
      <c r="S23" s="2591"/>
      <c r="T23" s="2591"/>
      <c r="U23" s="2591"/>
      <c r="V23" s="2599"/>
    </row>
    <row r="24" spans="1:22" s="2603" customFormat="1" ht="13.2" customHeight="1">
      <c r="A24" s="2686"/>
      <c r="B24" s="2687" t="s">
        <v>2407</v>
      </c>
      <c r="C24" s="2688"/>
      <c r="D24" s="2689"/>
      <c r="E24" s="2690"/>
      <c r="F24" s="2691"/>
      <c r="G24" s="2685"/>
      <c r="H24" s="2598"/>
      <c r="I24" s="2599"/>
      <c r="J24" s="3427"/>
      <c r="K24" s="3430"/>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2" customHeight="1">
      <c r="A26" s="2679">
        <v>2</v>
      </c>
      <c r="B26" s="2680" t="s">
        <v>2409</v>
      </c>
      <c r="C26" s="2681">
        <f>D7</f>
        <v>0</v>
      </c>
      <c r="D26" s="2682">
        <f>D23*D27</f>
        <v>0</v>
      </c>
      <c r="E26" s="2683">
        <f>E23*E27</f>
        <v>0</v>
      </c>
      <c r="F26" s="2684"/>
      <c r="G26" s="2685"/>
      <c r="H26" s="2598"/>
      <c r="I26" s="2599"/>
      <c r="J26" s="3437">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2" customHeight="1">
      <c r="A27" s="2686"/>
      <c r="B27" s="2687" t="s">
        <v>2415</v>
      </c>
      <c r="C27" s="2704" t="e">
        <f>E7</f>
        <v>#DIV/0!</v>
      </c>
      <c r="D27" s="2689"/>
      <c r="E27" s="2690"/>
      <c r="F27" s="2691"/>
      <c r="G27" s="2685"/>
      <c r="H27" s="2705"/>
      <c r="I27" s="2697"/>
      <c r="J27" s="343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2"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2" customHeight="1">
      <c r="A32" s="2679">
        <v>4</v>
      </c>
      <c r="B32" s="2680" t="s">
        <v>2423</v>
      </c>
      <c r="C32" s="2681">
        <f>C23-C26-C29</f>
        <v>0</v>
      </c>
      <c r="D32" s="2682">
        <f>D23-D26-D29</f>
        <v>0</v>
      </c>
      <c r="E32" s="2683">
        <f>E23-E26-E29</f>
        <v>0</v>
      </c>
      <c r="F32" s="2684"/>
      <c r="G32" s="2591"/>
      <c r="H32" s="2598"/>
      <c r="I32" s="2599"/>
      <c r="J32" s="3420" t="s">
        <v>2315</v>
      </c>
      <c r="K32" s="3421"/>
      <c r="L32" s="2600" t="s">
        <v>2316</v>
      </c>
      <c r="M32" s="2600" t="s">
        <v>2317</v>
      </c>
      <c r="N32" s="2600" t="s">
        <v>2318</v>
      </c>
      <c r="O32" s="2600" t="s">
        <v>2319</v>
      </c>
      <c r="P32" s="2600" t="s">
        <v>2320</v>
      </c>
      <c r="Q32" s="2601" t="s">
        <v>2321</v>
      </c>
      <c r="R32" s="2720" t="s">
        <v>2322</v>
      </c>
      <c r="S32" s="2591"/>
      <c r="T32" s="2591"/>
      <c r="U32" s="2591"/>
      <c r="V32" s="2697"/>
    </row>
    <row r="33" spans="1:23" s="2603" customFormat="1" ht="13.2" customHeight="1">
      <c r="A33" s="2679"/>
      <c r="B33" s="2680"/>
      <c r="C33" s="2681"/>
      <c r="D33" s="2721"/>
      <c r="E33" s="2722"/>
      <c r="F33" s="2684"/>
      <c r="G33" s="2591"/>
      <c r="H33" s="2705"/>
      <c r="I33" s="2697"/>
      <c r="J33" s="3422" t="s">
        <v>2325</v>
      </c>
      <c r="K33" s="3423"/>
      <c r="L33" s="2606"/>
      <c r="M33" s="2606"/>
      <c r="N33" s="2606"/>
      <c r="O33" s="2606"/>
      <c r="P33" s="2606"/>
      <c r="Q33" s="2607"/>
      <c r="R33" s="2723">
        <f>SUM(L33:Q33)</f>
        <v>0</v>
      </c>
      <c r="S33" s="2591"/>
      <c r="T33" s="2591"/>
      <c r="U33" s="2591"/>
      <c r="V33" s="2599"/>
    </row>
    <row r="34" spans="1:23" s="2603" customFormat="1" ht="13.2" customHeight="1">
      <c r="A34" s="2679">
        <v>5</v>
      </c>
      <c r="B34" s="2680" t="s">
        <v>2424</v>
      </c>
      <c r="C34" s="2724"/>
      <c r="D34" s="2725"/>
      <c r="E34" s="2726"/>
      <c r="F34" s="2684"/>
      <c r="G34" s="2591"/>
      <c r="H34" s="2705"/>
      <c r="I34" s="2697"/>
      <c r="J34" s="3422" t="s">
        <v>2327</v>
      </c>
      <c r="K34" s="342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2" customHeight="1" thickBot="1">
      <c r="A36" s="2679">
        <v>7</v>
      </c>
      <c r="B36" s="2733" t="s">
        <v>2426</v>
      </c>
      <c r="C36" s="2734"/>
      <c r="D36" s="2735"/>
      <c r="E36" s="2736"/>
      <c r="F36" s="2737">
        <f>C36+D36+E36</f>
        <v>0</v>
      </c>
      <c r="G36" s="2591"/>
      <c r="H36" s="2598"/>
      <c r="I36" s="2599"/>
      <c r="J36" s="3427">
        <v>1</v>
      </c>
      <c r="K36" s="3428" t="s">
        <v>2427</v>
      </c>
      <c r="L36" s="2624"/>
      <c r="M36" s="2625"/>
      <c r="N36" s="2625"/>
      <c r="O36" s="2625"/>
      <c r="P36" s="2625"/>
      <c r="Q36" s="2625"/>
      <c r="R36" s="2608" t="s">
        <v>2339</v>
      </c>
      <c r="S36" s="2591"/>
      <c r="T36" s="2591" t="s">
        <v>2340</v>
      </c>
      <c r="U36" s="2591"/>
      <c r="V36" s="2599"/>
    </row>
    <row r="37" spans="1:23" s="2603" customFormat="1" ht="13.2" customHeight="1">
      <c r="A37" s="2679"/>
      <c r="B37" s="2680"/>
      <c r="C37" s="2680"/>
      <c r="D37" s="2680"/>
      <c r="E37" s="2680"/>
      <c r="F37" s="2684"/>
      <c r="G37" s="2591"/>
      <c r="H37" s="2598"/>
      <c r="I37" s="2599"/>
      <c r="J37" s="3427"/>
      <c r="K37" s="3429"/>
      <c r="L37" s="2633"/>
      <c r="M37" s="2634"/>
      <c r="N37" s="2610"/>
      <c r="O37" s="2635"/>
      <c r="P37" s="2635"/>
      <c r="Q37" s="2636"/>
      <c r="R37" s="2637"/>
      <c r="S37" s="2591"/>
      <c r="T37" s="2591" t="s">
        <v>2343</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7"/>
      <c r="K38" s="3429"/>
      <c r="L38" s="2633"/>
      <c r="M38" s="2634"/>
      <c r="N38" s="2610"/>
      <c r="O38" s="2635"/>
      <c r="P38" s="2635"/>
      <c r="Q38" s="2636"/>
      <c r="R38" s="2637"/>
      <c r="S38" s="2591"/>
      <c r="T38" s="2591" t="s">
        <v>2350</v>
      </c>
      <c r="U38" s="2591"/>
      <c r="V38" s="2599"/>
    </row>
    <row r="39" spans="1:23" s="2603" customFormat="1" ht="13.2" customHeight="1">
      <c r="A39" s="2679">
        <v>9</v>
      </c>
      <c r="B39" s="2680" t="s">
        <v>2428</v>
      </c>
      <c r="C39" s="2647" t="e">
        <f>C38</f>
        <v>#DIV/0!</v>
      </c>
      <c r="D39" s="2680">
        <f>D38/(1+D34)^C36</f>
        <v>0</v>
      </c>
      <c r="E39" s="2680">
        <f>E38/(1+E34)^(C36+D36)</f>
        <v>0</v>
      </c>
      <c r="F39" s="2684"/>
      <c r="G39" s="2599"/>
      <c r="H39" s="2598"/>
      <c r="I39" s="2599"/>
      <c r="J39" s="3427"/>
      <c r="K39" s="3429"/>
      <c r="L39" s="2633"/>
      <c r="M39" s="2634"/>
      <c r="N39" s="2610"/>
      <c r="O39" s="2635"/>
      <c r="P39" s="2635"/>
      <c r="Q39" s="2636"/>
      <c r="R39" s="2637"/>
      <c r="S39" s="2591"/>
      <c r="T39" s="2591"/>
      <c r="U39" s="2591"/>
      <c r="V39" s="2599"/>
    </row>
    <row r="40" spans="1:23" s="2603" customFormat="1" ht="13.2" customHeight="1">
      <c r="A40" s="2738">
        <v>10</v>
      </c>
      <c r="B40" s="2680" t="s">
        <v>2429</v>
      </c>
      <c r="C40" s="2739" t="e">
        <f>C39+D39+E39</f>
        <v>#DIV/0!</v>
      </c>
      <c r="D40" s="2740"/>
      <c r="E40" s="2740"/>
      <c r="F40" s="2741"/>
      <c r="G40" s="2591"/>
      <c r="H40" s="2598"/>
      <c r="I40" s="2599"/>
      <c r="J40" s="3427"/>
      <c r="K40" s="3430"/>
      <c r="L40" s="2653" t="s">
        <v>2368</v>
      </c>
      <c r="M40" s="2654"/>
      <c r="N40" s="2654"/>
      <c r="O40" s="2655"/>
      <c r="P40" s="2655"/>
      <c r="Q40" s="2656"/>
      <c r="R40" s="2602">
        <f>SUM(R37:R39)</f>
        <v>0</v>
      </c>
      <c r="S40" s="2591"/>
      <c r="T40" s="2591"/>
      <c r="U40" s="2591"/>
      <c r="V40" s="2599"/>
    </row>
    <row r="41" spans="1:23" s="2603" customFormat="1" ht="13.2"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2" customHeight="1">
      <c r="G42" s="2598"/>
      <c r="H42" s="2598"/>
      <c r="I42" s="2599"/>
      <c r="J42" s="3437">
        <v>3</v>
      </c>
      <c r="K42" s="2699" t="s">
        <v>2410</v>
      </c>
      <c r="L42" s="2700"/>
      <c r="M42" s="2701"/>
      <c r="N42" s="2702" t="s">
        <v>2411</v>
      </c>
      <c r="O42" s="2702" t="s">
        <v>2412</v>
      </c>
      <c r="P42" s="2703" t="s">
        <v>2413</v>
      </c>
      <c r="Q42" s="2703" t="s">
        <v>2414</v>
      </c>
      <c r="R42" s="2608" t="s">
        <v>2339</v>
      </c>
      <c r="S42" s="2642"/>
      <c r="T42" s="2642"/>
      <c r="U42" s="2591"/>
      <c r="V42" s="2599"/>
    </row>
    <row r="43" spans="1:23" ht="13.2" customHeight="1">
      <c r="A43" s="2603"/>
      <c r="B43" s="2603"/>
      <c r="C43" s="2603"/>
      <c r="D43" s="2603"/>
      <c r="E43" s="2603"/>
      <c r="F43" s="2603"/>
      <c r="I43" s="2586"/>
      <c r="J43" s="343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355.9</v>
      </c>
      <c r="C2" s="1729" t="s">
        <v>1651</v>
      </c>
      <c r="D2" s="1730" t="s">
        <v>1652</v>
      </c>
      <c r="E2" s="2392">
        <f>SUM(E6:E13)</f>
        <v>440.62000000000018</v>
      </c>
      <c r="F2" s="2478"/>
      <c r="G2" s="459"/>
      <c r="H2" s="459"/>
      <c r="I2" s="459"/>
      <c r="J2" s="459"/>
      <c r="K2" s="459"/>
      <c r="L2" s="459"/>
      <c r="M2" s="459"/>
      <c r="N2" s="459"/>
      <c r="O2" s="459"/>
      <c r="P2" s="459"/>
      <c r="Q2" s="459"/>
      <c r="R2" s="459"/>
      <c r="S2" s="459"/>
    </row>
    <row r="3" spans="1:22" ht="15.6">
      <c r="A3" s="1728" t="s">
        <v>686</v>
      </c>
      <c r="B3" s="2386">
        <f ca="1">ROUND(B2*10000/E2,0)</f>
        <v>8077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9" t="s">
        <v>1654</v>
      </c>
      <c r="C5" s="3440"/>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355.9</v>
      </c>
      <c r="C6" s="1729" t="s">
        <v>1651</v>
      </c>
      <c r="D6" s="2478"/>
      <c r="E6" s="2391">
        <f>IF(OR(A6=0,F6="否"),0,'数据-取费表'!K6+'数据-取费表'!S6)</f>
        <v>440.62000000000018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812.22000000000014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5"/>
      <c r="M4" s="2486"/>
      <c r="N4" s="2486"/>
      <c r="O4" s="2486"/>
      <c r="P4" s="3392" t="s">
        <v>1672</v>
      </c>
      <c r="Q4" s="3393"/>
      <c r="R4" s="3375" t="s">
        <v>1668</v>
      </c>
      <c r="S4" s="3376"/>
      <c r="T4" s="3375" t="s">
        <v>1669</v>
      </c>
      <c r="U4" s="3376"/>
      <c r="V4" s="3372" t="s">
        <v>1670</v>
      </c>
      <c r="W4" s="3372"/>
      <c r="X4" s="1265"/>
      <c r="Y4" s="3375" t="s">
        <v>1672</v>
      </c>
      <c r="Z4" s="3376"/>
      <c r="AA4" s="3369" t="s">
        <v>1668</v>
      </c>
      <c r="AB4" s="3369" t="s">
        <v>1669</v>
      </c>
      <c r="AC4" s="3369" t="s">
        <v>1670</v>
      </c>
    </row>
    <row r="5" spans="1:29">
      <c r="A5" s="348"/>
      <c r="B5" s="349"/>
      <c r="C5" s="3400" t="s">
        <v>1673</v>
      </c>
      <c r="D5" s="3382"/>
      <c r="E5" s="3441" t="s">
        <v>1674</v>
      </c>
      <c r="F5" s="3380"/>
      <c r="G5" s="3400" t="s">
        <v>1675</v>
      </c>
      <c r="H5" s="3382"/>
      <c r="I5" s="3400" t="s">
        <v>1676</v>
      </c>
      <c r="J5" s="3382"/>
      <c r="K5" s="1745"/>
      <c r="L5" s="2485"/>
      <c r="M5" s="2486"/>
      <c r="N5" s="2486"/>
      <c r="O5" s="2486"/>
      <c r="P5" s="3394"/>
      <c r="Q5" s="3395"/>
      <c r="R5" s="3377"/>
      <c r="S5" s="3378"/>
      <c r="T5" s="3377"/>
      <c r="U5" s="3378"/>
      <c r="V5" s="3372"/>
      <c r="W5" s="3372"/>
      <c r="X5" s="1265"/>
      <c r="Y5" s="3377"/>
      <c r="Z5" s="3378"/>
      <c r="AA5" s="3370"/>
      <c r="AB5" s="3370"/>
      <c r="AC5" s="3370"/>
    </row>
    <row r="6" spans="1:29" ht="15" thickBot="1">
      <c r="A6" s="350"/>
      <c r="B6" s="351"/>
      <c r="C6" s="3383" t="s">
        <v>1677</v>
      </c>
      <c r="D6" s="3384"/>
      <c r="E6" s="3385" t="s">
        <v>1677</v>
      </c>
      <c r="F6" s="3386"/>
      <c r="G6" s="3383" t="s">
        <v>1677</v>
      </c>
      <c r="H6" s="3384"/>
      <c r="I6" s="3383" t="s">
        <v>1677</v>
      </c>
      <c r="J6" s="3384"/>
      <c r="K6" s="1745" t="s">
        <v>1678</v>
      </c>
      <c r="L6" s="2485"/>
      <c r="M6" s="2486"/>
      <c r="N6" s="2486"/>
      <c r="O6" s="2486"/>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3" t="s">
        <v>1680</v>
      </c>
      <c r="Q7" s="3401"/>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7"/>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7"/>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7"/>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7"/>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3"/>
      <c r="Q16" s="1263"/>
      <c r="R16" s="667"/>
      <c r="S16" s="668"/>
      <c r="T16" s="667"/>
      <c r="U16" s="668"/>
      <c r="V16" s="667"/>
      <c r="W16" s="668"/>
      <c r="X16" s="1265"/>
      <c r="Y16" s="340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3"/>
      <c r="Q18" s="1263"/>
      <c r="R18" s="667"/>
      <c r="S18" s="668"/>
      <c r="T18" s="667"/>
      <c r="U18" s="668"/>
      <c r="V18" s="667"/>
      <c r="W18" s="668"/>
      <c r="X18" s="1265"/>
      <c r="Y18" s="340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3"/>
      <c r="Q20" s="1263"/>
      <c r="R20" s="667"/>
      <c r="S20" s="668"/>
      <c r="T20" s="667"/>
      <c r="U20" s="668"/>
      <c r="V20" s="667"/>
      <c r="W20" s="668"/>
      <c r="X20" s="1265"/>
      <c r="Y20" s="340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3"/>
      <c r="Q22" s="1263"/>
      <c r="R22" s="667"/>
      <c r="S22" s="668"/>
      <c r="T22" s="667"/>
      <c r="U22" s="668"/>
      <c r="V22" s="667"/>
      <c r="W22" s="668"/>
      <c r="X22" s="1265"/>
      <c r="Y22" s="340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3"/>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3"/>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3"/>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3"/>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3"/>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3"/>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1" t="str">
        <f>A47</f>
        <v>成交单价（元/平方米）</v>
      </c>
      <c r="Q47" s="3411"/>
      <c r="R47" s="3372">
        <f>E47</f>
        <v>0</v>
      </c>
      <c r="S47" s="3372"/>
      <c r="T47" s="3372">
        <f>G47</f>
        <v>0</v>
      </c>
      <c r="U47" s="3372"/>
      <c r="V47" s="3372">
        <f>I47</f>
        <v>0</v>
      </c>
      <c r="W47" s="3372"/>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411" t="str">
        <f>A48</f>
        <v>比较价值（元/平方米）</v>
      </c>
      <c r="Q48" s="341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812.22000000000014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448" t="s">
        <v>1775</v>
      </c>
      <c r="Q4" s="3449"/>
      <c r="R4" s="3443" t="s">
        <v>1771</v>
      </c>
      <c r="S4" s="3444"/>
      <c r="T4" s="3443" t="s">
        <v>1772</v>
      </c>
      <c r="U4" s="3444"/>
      <c r="V4" s="3452" t="s">
        <v>1773</v>
      </c>
      <c r="W4" s="3452"/>
      <c r="X4" s="1809"/>
      <c r="Y4" s="3443" t="s">
        <v>1775</v>
      </c>
      <c r="Z4" s="3444"/>
      <c r="AA4" s="3442" t="s">
        <v>1771</v>
      </c>
      <c r="AB4" s="3442" t="s">
        <v>1772</v>
      </c>
      <c r="AC4" s="3445" t="s">
        <v>1773</v>
      </c>
    </row>
    <row r="5" spans="1:29">
      <c r="A5" s="348"/>
      <c r="B5" s="349"/>
      <c r="C5" s="3400" t="s">
        <v>1673</v>
      </c>
      <c r="D5" s="3382"/>
      <c r="E5" s="3441" t="s">
        <v>1674</v>
      </c>
      <c r="F5" s="3380"/>
      <c r="G5" s="3400" t="s">
        <v>1675</v>
      </c>
      <c r="H5" s="3382"/>
      <c r="I5" s="3400" t="s">
        <v>1676</v>
      </c>
      <c r="J5" s="3382"/>
      <c r="K5" s="537"/>
      <c r="L5" s="2485"/>
      <c r="M5" s="2486"/>
      <c r="N5" s="2486"/>
      <c r="O5" s="2486"/>
      <c r="P5" s="3450"/>
      <c r="Q5" s="3395"/>
      <c r="R5" s="3377"/>
      <c r="S5" s="3378"/>
      <c r="T5" s="3377"/>
      <c r="U5" s="3378"/>
      <c r="V5" s="3372"/>
      <c r="W5" s="3372"/>
      <c r="X5" s="1265"/>
      <c r="Y5" s="3377"/>
      <c r="Z5" s="3378"/>
      <c r="AA5" s="3370"/>
      <c r="AB5" s="3370"/>
      <c r="AC5" s="3446"/>
    </row>
    <row r="6" spans="1:29" ht="15" thickBot="1">
      <c r="A6" s="350"/>
      <c r="B6" s="351"/>
      <c r="C6" s="3383" t="s">
        <v>1677</v>
      </c>
      <c r="D6" s="3384"/>
      <c r="E6" s="3385" t="s">
        <v>1677</v>
      </c>
      <c r="F6" s="3386"/>
      <c r="G6" s="3383" t="s">
        <v>1677</v>
      </c>
      <c r="H6" s="3384"/>
      <c r="I6" s="3383" t="s">
        <v>1677</v>
      </c>
      <c r="J6" s="3384"/>
      <c r="K6" s="537" t="s">
        <v>1678</v>
      </c>
      <c r="L6" s="2485"/>
      <c r="M6" s="2486"/>
      <c r="N6" s="2486"/>
      <c r="O6" s="2486"/>
      <c r="P6" s="3451"/>
      <c r="Q6" s="3397"/>
      <c r="R6" s="3377"/>
      <c r="S6" s="3378"/>
      <c r="T6" s="3398"/>
      <c r="U6" s="3399"/>
      <c r="V6" s="3372"/>
      <c r="W6" s="3372"/>
      <c r="X6" s="1265"/>
      <c r="Y6" s="3398"/>
      <c r="Z6" s="3399"/>
      <c r="AA6" s="3371"/>
      <c r="AB6" s="3371"/>
      <c r="AC6" s="3447"/>
    </row>
    <row r="7" spans="1:29" s="102" customFormat="1" ht="15" thickBot="1">
      <c r="A7" s="352" t="s">
        <v>1679</v>
      </c>
      <c r="B7" s="353"/>
      <c r="C7" s="354">
        <f>'数据-取费表'!B2</f>
        <v>45761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7"/>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7"/>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2"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3"/>
      <c r="Q16" s="1263"/>
      <c r="R16" s="667"/>
      <c r="S16" s="668"/>
      <c r="T16" s="667"/>
      <c r="U16" s="668"/>
      <c r="V16" s="667"/>
      <c r="W16" s="668"/>
      <c r="X16" s="1265"/>
      <c r="Y16" s="340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3"/>
      <c r="Q18" s="1263"/>
      <c r="R18" s="667"/>
      <c r="S18" s="668"/>
      <c r="T18" s="667"/>
      <c r="U18" s="668"/>
      <c r="V18" s="667"/>
      <c r="W18" s="668"/>
      <c r="X18" s="1265"/>
      <c r="Y18" s="340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3"/>
      <c r="Q20" s="1263"/>
      <c r="R20" s="667"/>
      <c r="S20" s="668"/>
      <c r="T20" s="667"/>
      <c r="U20" s="668"/>
      <c r="V20" s="667"/>
      <c r="W20" s="668"/>
      <c r="X20" s="1265"/>
      <c r="Y20" s="340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3"/>
      <c r="Q22" s="1263"/>
      <c r="R22" s="667"/>
      <c r="S22" s="668"/>
      <c r="T22" s="667"/>
      <c r="U22" s="668"/>
      <c r="V22" s="667"/>
      <c r="W22" s="668"/>
      <c r="X22" s="1265"/>
      <c r="Y22" s="340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3"/>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3"/>
      <c r="Q24" s="1263"/>
      <c r="R24" s="667"/>
      <c r="S24" s="668"/>
      <c r="T24" s="667"/>
      <c r="U24" s="668"/>
      <c r="V24" s="667"/>
      <c r="W24" s="668"/>
      <c r="X24" s="1265"/>
      <c r="Y24" s="340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3"/>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3"/>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3"/>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3"/>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3"/>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7" t="str">
        <f>A48</f>
        <v>成交单价（元/平方米）</v>
      </c>
      <c r="Q48" s="3411"/>
      <c r="R48" s="3372">
        <f>E48</f>
        <v>0</v>
      </c>
      <c r="S48" s="3372"/>
      <c r="T48" s="3372">
        <f>G48</f>
        <v>0</v>
      </c>
      <c r="U48" s="3372"/>
      <c r="V48" s="3372">
        <f>I48</f>
        <v>0</v>
      </c>
      <c r="W48" s="3372"/>
      <c r="X48" s="385"/>
      <c r="Y48" s="673"/>
      <c r="Z48" s="385"/>
      <c r="AA48" s="385"/>
      <c r="AB48" s="385"/>
      <c r="AC48" s="555"/>
    </row>
    <row r="49" spans="1:29" ht="15" thickBot="1">
      <c r="A49" s="423" t="s">
        <v>1793</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387" t="str">
        <f>A49</f>
        <v>比较价值（元/平方米）</v>
      </c>
      <c r="Q49" s="341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估价对象为北京市顺义区华英园9号房地产，为林丽枝所有。根据《国有土地使用证》[]，估价对象（分摊）出让国有建设用地使用权面积为0平方米，建筑面积为812.22平方米。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812.22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配套商业，土地取得方式为出让，出让国有建设用地使用权剩余土地使用年限为16.46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16.46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812.22000000000014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372" t="s">
        <v>1773</v>
      </c>
      <c r="W4" s="3372"/>
      <c r="X4" s="1265"/>
      <c r="Y4" s="3375" t="s">
        <v>1775</v>
      </c>
      <c r="Z4" s="3376"/>
      <c r="AA4" s="3369" t="s">
        <v>1771</v>
      </c>
      <c r="AB4" s="3370" t="s">
        <v>1772</v>
      </c>
      <c r="AC4" s="3369" t="s">
        <v>1773</v>
      </c>
    </row>
    <row r="5" spans="1:29">
      <c r="A5" s="348"/>
      <c r="B5" s="349"/>
      <c r="C5" s="3400" t="s">
        <v>1673</v>
      </c>
      <c r="D5" s="3382"/>
      <c r="E5" s="3441" t="s">
        <v>1674</v>
      </c>
      <c r="F5" s="3380"/>
      <c r="G5" s="3400" t="s">
        <v>1675</v>
      </c>
      <c r="H5" s="3382"/>
      <c r="I5" s="3400" t="s">
        <v>1676</v>
      </c>
      <c r="J5" s="3382"/>
      <c r="K5" s="537"/>
      <c r="L5" s="860"/>
      <c r="M5" s="861"/>
      <c r="N5" s="861"/>
      <c r="O5" s="861"/>
      <c r="P5" s="3394"/>
      <c r="Q5" s="3395"/>
      <c r="R5" s="3377"/>
      <c r="S5" s="3378"/>
      <c r="T5" s="3377"/>
      <c r="U5" s="3378"/>
      <c r="V5" s="3372"/>
      <c r="W5" s="3372"/>
      <c r="X5" s="1265"/>
      <c r="Y5" s="3377"/>
      <c r="Z5" s="3378"/>
      <c r="AA5" s="3370"/>
      <c r="AB5" s="3370"/>
      <c r="AC5" s="3370"/>
    </row>
    <row r="6" spans="1:29" ht="1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372">
        <f>E41</f>
        <v>0</v>
      </c>
      <c r="S41" s="3372"/>
      <c r="T41" s="3372">
        <f>G41</f>
        <v>0</v>
      </c>
      <c r="U41" s="3372"/>
      <c r="V41" s="3372">
        <f>I41</f>
        <v>0</v>
      </c>
      <c r="W41" s="3372"/>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5" t="s">
        <v>1771</v>
      </c>
      <c r="S4" s="3376"/>
      <c r="T4" s="3375" t="s">
        <v>1772</v>
      </c>
      <c r="U4" s="3376"/>
      <c r="V4" s="3372" t="s">
        <v>1773</v>
      </c>
      <c r="W4" s="3372"/>
      <c r="X4" s="1265"/>
      <c r="Y4" s="3375" t="s">
        <v>1775</v>
      </c>
      <c r="Z4" s="3376"/>
      <c r="AA4" s="3369" t="s">
        <v>1771</v>
      </c>
      <c r="AB4" s="3370" t="s">
        <v>1772</v>
      </c>
      <c r="AC4" s="3369" t="s">
        <v>1773</v>
      </c>
    </row>
    <row r="5" spans="1:29">
      <c r="A5" s="348"/>
      <c r="B5" s="349"/>
      <c r="C5" s="3400" t="s">
        <v>1673</v>
      </c>
      <c r="D5" s="3382"/>
      <c r="E5" s="3441" t="s">
        <v>1674</v>
      </c>
      <c r="F5" s="3380"/>
      <c r="G5" s="3400" t="s">
        <v>1675</v>
      </c>
      <c r="H5" s="3382"/>
      <c r="I5" s="3400" t="s">
        <v>1676</v>
      </c>
      <c r="J5" s="3382"/>
      <c r="K5" s="537"/>
      <c r="L5" s="2485"/>
      <c r="M5" s="2486"/>
      <c r="N5" s="2486"/>
      <c r="O5" s="2486"/>
      <c r="P5" s="3394"/>
      <c r="Q5" s="3395"/>
      <c r="R5" s="3377"/>
      <c r="S5" s="3378"/>
      <c r="T5" s="3377"/>
      <c r="U5" s="3378"/>
      <c r="V5" s="3372"/>
      <c r="W5" s="3372"/>
      <c r="X5" s="1265"/>
      <c r="Y5" s="3377"/>
      <c r="Z5" s="3378"/>
      <c r="AA5" s="3370"/>
      <c r="AB5" s="3370"/>
      <c r="AC5" s="3370"/>
    </row>
    <row r="6" spans="1:29" ht="15" thickBot="1">
      <c r="A6" s="350"/>
      <c r="B6" s="351"/>
      <c r="C6" s="3383" t="s">
        <v>1677</v>
      </c>
      <c r="D6" s="3384"/>
      <c r="E6" s="3385" t="s">
        <v>1677</v>
      </c>
      <c r="F6" s="3386"/>
      <c r="G6" s="3383" t="s">
        <v>1677</v>
      </c>
      <c r="H6" s="3384"/>
      <c r="I6" s="3383" t="s">
        <v>1677</v>
      </c>
      <c r="J6" s="3384"/>
      <c r="K6" s="537" t="s">
        <v>1678</v>
      </c>
      <c r="L6" s="2485"/>
      <c r="M6" s="2486"/>
      <c r="N6" s="2486"/>
      <c r="O6" s="2486"/>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1"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1"/>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5"/>
      <c r="Q15" s="1263"/>
      <c r="R15" s="667"/>
      <c r="S15" s="668"/>
      <c r="T15" s="667"/>
      <c r="U15" s="668"/>
      <c r="V15" s="667"/>
      <c r="W15" s="668"/>
      <c r="X15" s="1265"/>
      <c r="Y15" s="340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5"/>
      <c r="Q17" s="1263"/>
      <c r="R17" s="667"/>
      <c r="S17" s="668"/>
      <c r="T17" s="667"/>
      <c r="U17" s="668"/>
      <c r="V17" s="667"/>
      <c r="W17" s="668"/>
      <c r="X17" s="1265"/>
      <c r="Y17" s="340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5"/>
      <c r="Q19" s="1263"/>
      <c r="R19" s="667"/>
      <c r="S19" s="668"/>
      <c r="T19" s="667"/>
      <c r="U19" s="668"/>
      <c r="V19" s="667"/>
      <c r="W19" s="668"/>
      <c r="X19" s="1265"/>
      <c r="Y19" s="340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3"/>
      <c r="M37" s="2486"/>
      <c r="N37" s="2486"/>
      <c r="O37" s="2486"/>
      <c r="P37" s="3411" t="str">
        <f>A37</f>
        <v>成交单价</v>
      </c>
      <c r="Q37" s="3411"/>
      <c r="R37" s="3372">
        <f>E37</f>
        <v>0</v>
      </c>
      <c r="S37" s="3372"/>
      <c r="T37" s="3372">
        <f>G37</f>
        <v>0</v>
      </c>
      <c r="U37" s="3372"/>
      <c r="V37" s="3372">
        <f>I37</f>
        <v>0</v>
      </c>
      <c r="W37" s="3372"/>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411" t="str">
        <f>A38</f>
        <v>比较价值（元/平方米）</v>
      </c>
      <c r="Q38" s="341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2" t="str">
        <f>A39</f>
        <v>估价对象XX用房的比较价值（楼面单价，元/平方米）</v>
      </c>
      <c r="Q39" s="3413"/>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5" t="s">
        <v>1771</v>
      </c>
      <c r="S4" s="3376"/>
      <c r="T4" s="3375" t="s">
        <v>1772</v>
      </c>
      <c r="U4" s="3376"/>
      <c r="V4" s="3372" t="s">
        <v>1773</v>
      </c>
      <c r="W4" s="3372"/>
      <c r="X4" s="1265"/>
      <c r="Y4" s="3375" t="s">
        <v>1775</v>
      </c>
      <c r="Z4" s="3376"/>
      <c r="AA4" s="3369" t="s">
        <v>1771</v>
      </c>
      <c r="AB4" s="3370" t="s">
        <v>1772</v>
      </c>
      <c r="AC4" s="3369" t="s">
        <v>1773</v>
      </c>
    </row>
    <row r="5" spans="1:29">
      <c r="A5" s="348"/>
      <c r="B5" s="349"/>
      <c r="C5" s="3400" t="s">
        <v>1673</v>
      </c>
      <c r="D5" s="3382"/>
      <c r="E5" s="3441" t="s">
        <v>1674</v>
      </c>
      <c r="F5" s="3380"/>
      <c r="G5" s="3400" t="s">
        <v>1675</v>
      </c>
      <c r="H5" s="3382"/>
      <c r="I5" s="3400" t="s">
        <v>1676</v>
      </c>
      <c r="J5" s="3382"/>
      <c r="K5" s="537"/>
      <c r="L5" s="2485"/>
      <c r="M5" s="2486"/>
      <c r="N5" s="2486"/>
      <c r="O5" s="2486"/>
      <c r="P5" s="3394"/>
      <c r="Q5" s="3395"/>
      <c r="R5" s="3377"/>
      <c r="S5" s="3378"/>
      <c r="T5" s="3377"/>
      <c r="U5" s="3378"/>
      <c r="V5" s="3372"/>
      <c r="W5" s="3372"/>
      <c r="X5" s="1265"/>
      <c r="Y5" s="3377"/>
      <c r="Z5" s="3378"/>
      <c r="AA5" s="3370"/>
      <c r="AB5" s="3370"/>
      <c r="AC5" s="3370"/>
    </row>
    <row r="6" spans="1:29" ht="15" thickBot="1">
      <c r="A6" s="350"/>
      <c r="B6" s="351"/>
      <c r="C6" s="3383" t="s">
        <v>1677</v>
      </c>
      <c r="D6" s="3384"/>
      <c r="E6" s="3385" t="s">
        <v>1677</v>
      </c>
      <c r="F6" s="3386"/>
      <c r="G6" s="3383" t="s">
        <v>1677</v>
      </c>
      <c r="H6" s="3384"/>
      <c r="I6" s="3383" t="s">
        <v>1677</v>
      </c>
      <c r="J6" s="3384"/>
      <c r="K6" s="537" t="s">
        <v>1678</v>
      </c>
      <c r="L6" s="2485"/>
      <c r="M6" s="2486"/>
      <c r="N6" s="2486"/>
      <c r="O6" s="2486"/>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1"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1"/>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5"/>
      <c r="Q15" s="1263"/>
      <c r="R15" s="667"/>
      <c r="S15" s="668"/>
      <c r="T15" s="667"/>
      <c r="U15" s="668"/>
      <c r="V15" s="667"/>
      <c r="W15" s="668"/>
      <c r="X15" s="1265"/>
      <c r="Y15" s="340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5"/>
      <c r="Q17" s="1263"/>
      <c r="R17" s="667"/>
      <c r="S17" s="668"/>
      <c r="T17" s="667"/>
      <c r="U17" s="668"/>
      <c r="V17" s="667"/>
      <c r="W17" s="668"/>
      <c r="X17" s="1265"/>
      <c r="Y17" s="340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5"/>
      <c r="Q19" s="1263"/>
      <c r="R19" s="667"/>
      <c r="S19" s="668"/>
      <c r="T19" s="667"/>
      <c r="U19" s="668"/>
      <c r="V19" s="667"/>
      <c r="W19" s="668"/>
      <c r="X19" s="1265"/>
      <c r="Y19" s="340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1" t="str">
        <f>A35</f>
        <v>成交单价（元/平方米）</v>
      </c>
      <c r="Q35" s="3411"/>
      <c r="R35" s="3372">
        <f>E35</f>
        <v>0</v>
      </c>
      <c r="S35" s="3372"/>
      <c r="T35" s="3372">
        <f>G35</f>
        <v>0</v>
      </c>
      <c r="U35" s="3372"/>
      <c r="V35" s="3372">
        <f>I35</f>
        <v>0</v>
      </c>
      <c r="W35" s="3372"/>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411" t="str">
        <f>A36</f>
        <v>比较价值（元/平方米）</v>
      </c>
      <c r="Q36" s="341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2" t="str">
        <f>A37</f>
        <v>估价对象XX用房的比较价值（楼面单价，元/平方米）</v>
      </c>
      <c r="Q37" s="3413"/>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5" t="s">
        <v>1771</v>
      </c>
      <c r="S4" s="3376"/>
      <c r="T4" s="3375" t="s">
        <v>1772</v>
      </c>
      <c r="U4" s="3376"/>
      <c r="V4" s="3372" t="s">
        <v>1773</v>
      </c>
      <c r="W4" s="3372"/>
      <c r="X4" s="1265"/>
      <c r="Y4" s="3375" t="s">
        <v>1775</v>
      </c>
      <c r="Z4" s="3376"/>
      <c r="AA4" s="3369" t="s">
        <v>1771</v>
      </c>
      <c r="AB4" s="3370" t="s">
        <v>1772</v>
      </c>
      <c r="AC4" s="3369" t="s">
        <v>1773</v>
      </c>
    </row>
    <row r="5" spans="1:29">
      <c r="A5" s="348"/>
      <c r="B5" s="349"/>
      <c r="C5" s="3400" t="s">
        <v>1673</v>
      </c>
      <c r="D5" s="3382"/>
      <c r="E5" s="3441" t="s">
        <v>1674</v>
      </c>
      <c r="F5" s="3380"/>
      <c r="G5" s="3400" t="s">
        <v>1675</v>
      </c>
      <c r="H5" s="3382"/>
      <c r="I5" s="3400" t="s">
        <v>1676</v>
      </c>
      <c r="J5" s="3382"/>
      <c r="K5" s="537"/>
      <c r="L5" s="2485"/>
      <c r="M5" s="2486"/>
      <c r="N5" s="2486"/>
      <c r="O5" s="2486"/>
      <c r="P5" s="3394"/>
      <c r="Q5" s="3395"/>
      <c r="R5" s="3377"/>
      <c r="S5" s="3378"/>
      <c r="T5" s="3377"/>
      <c r="U5" s="3378"/>
      <c r="V5" s="3372"/>
      <c r="W5" s="3372"/>
      <c r="X5" s="1265"/>
      <c r="Y5" s="3377"/>
      <c r="Z5" s="3378"/>
      <c r="AA5" s="3370"/>
      <c r="AB5" s="3370"/>
      <c r="AC5" s="3370"/>
    </row>
    <row r="6" spans="1:29" ht="15" thickBot="1">
      <c r="A6" s="350"/>
      <c r="B6" s="351"/>
      <c r="C6" s="3383" t="s">
        <v>1677</v>
      </c>
      <c r="D6" s="3384"/>
      <c r="E6" s="3385" t="s">
        <v>1677</v>
      </c>
      <c r="F6" s="3386"/>
      <c r="G6" s="3383" t="s">
        <v>1677</v>
      </c>
      <c r="H6" s="3384"/>
      <c r="I6" s="3383" t="s">
        <v>1677</v>
      </c>
      <c r="J6" s="3384"/>
      <c r="K6" s="537" t="s">
        <v>1678</v>
      </c>
      <c r="L6" s="2485"/>
      <c r="M6" s="2486"/>
      <c r="N6" s="2486"/>
      <c r="O6" s="2486"/>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8"/>
      <c r="M10" s="2489"/>
      <c r="N10" s="2489"/>
      <c r="O10" s="2540"/>
      <c r="P10" s="3411"/>
      <c r="Q10" s="530" t="str">
        <f t="shared" si="6"/>
        <v>土地使用年限（年）</v>
      </c>
      <c r="R10" s="664" t="s">
        <v>14</v>
      </c>
      <c r="S10" s="665">
        <f t="shared" si="0"/>
        <v>156</v>
      </c>
      <c r="T10" s="664" t="s">
        <v>14</v>
      </c>
      <c r="U10" s="665">
        <f t="shared" si="1"/>
        <v>156</v>
      </c>
      <c r="V10" s="664" t="s">
        <v>14</v>
      </c>
      <c r="W10" s="665">
        <f t="shared" si="2"/>
        <v>156</v>
      </c>
      <c r="X10" s="666"/>
      <c r="Y10" s="3340"/>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1"/>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5"/>
      <c r="Q20" s="1263"/>
      <c r="R20" s="667"/>
      <c r="S20" s="668"/>
      <c r="T20" s="667"/>
      <c r="U20" s="668"/>
      <c r="V20" s="667"/>
      <c r="W20" s="668"/>
      <c r="X20" s="1265"/>
      <c r="Y20" s="340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5"/>
      <c r="Q24" s="1263"/>
      <c r="R24" s="667"/>
      <c r="S24" s="668"/>
      <c r="T24" s="667"/>
      <c r="U24" s="668"/>
      <c r="V24" s="667"/>
      <c r="W24" s="668"/>
      <c r="X24" s="1265"/>
      <c r="Y24" s="340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5"/>
      <c r="Q26" s="1263"/>
      <c r="R26" s="667"/>
      <c r="S26" s="668"/>
      <c r="T26" s="667"/>
      <c r="U26" s="668"/>
      <c r="V26" s="667"/>
      <c r="W26" s="668"/>
      <c r="X26" s="1265"/>
      <c r="Y26" s="340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5"/>
      <c r="Q28" s="530"/>
      <c r="R28" s="664"/>
      <c r="S28" s="665"/>
      <c r="T28" s="664"/>
      <c r="U28" s="665"/>
      <c r="V28" s="664"/>
      <c r="W28" s="665"/>
      <c r="X28" s="666"/>
      <c r="Y28" s="340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7"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1" t="str">
        <f>A46</f>
        <v>成交单价</v>
      </c>
      <c r="Q46" s="3411"/>
      <c r="R46" s="3372">
        <f>E46</f>
        <v>0</v>
      </c>
      <c r="S46" s="3372"/>
      <c r="T46" s="3372">
        <f>G46</f>
        <v>0</v>
      </c>
      <c r="U46" s="3372"/>
      <c r="V46" s="3372">
        <f>I46</f>
        <v>0</v>
      </c>
      <c r="W46" s="3372"/>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411" t="str">
        <f>A47</f>
        <v>比较价值（元/平方米）</v>
      </c>
      <c r="Q47" s="3411"/>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2" t="str">
        <f>A48</f>
        <v>估价对象XX用房的比较价值（楼面单价，元/平方米）</v>
      </c>
      <c r="Q48" s="3413"/>
      <c r="R48" s="3460" t="e">
        <f>ROUND(IF(D47="简单平均",AVERAGE(R47:W47),R47*F47+T47*H47+V47*J47),0)</f>
        <v>#DIV/0!</v>
      </c>
      <c r="S48" s="3460"/>
      <c r="T48" s="3460"/>
      <c r="U48" s="3460"/>
      <c r="V48" s="3460"/>
      <c r="W48" s="346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6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812.22000000000014</v>
      </c>
      <c r="F56" s="833" t="e">
        <f t="shared" ref="F56:F64" si="15">ROUND(B56*E56/10000,0)</f>
        <v>#DIV/0!</v>
      </c>
      <c r="G56" s="3387"/>
      <c r="H56" s="341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812.22000000000014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5" t="s">
        <v>1771</v>
      </c>
      <c r="S4" s="3376"/>
      <c r="T4" s="3375" t="s">
        <v>1772</v>
      </c>
      <c r="U4" s="3376"/>
      <c r="V4" s="3372" t="s">
        <v>1773</v>
      </c>
      <c r="W4" s="3372"/>
      <c r="X4" s="1265"/>
      <c r="Y4" s="3375" t="s">
        <v>1775</v>
      </c>
      <c r="Z4" s="3376"/>
      <c r="AA4" s="3369" t="s">
        <v>1771</v>
      </c>
      <c r="AB4" s="3370" t="s">
        <v>1772</v>
      </c>
      <c r="AC4" s="3369" t="s">
        <v>1773</v>
      </c>
    </row>
    <row r="5" spans="1:29">
      <c r="A5" s="348"/>
      <c r="B5" s="349"/>
      <c r="C5" s="3400" t="s">
        <v>1673</v>
      </c>
      <c r="D5" s="3382"/>
      <c r="E5" s="3441" t="s">
        <v>1674</v>
      </c>
      <c r="F5" s="3380"/>
      <c r="G5" s="3400" t="s">
        <v>1675</v>
      </c>
      <c r="H5" s="3382"/>
      <c r="I5" s="3400" t="s">
        <v>1676</v>
      </c>
      <c r="J5" s="3382"/>
      <c r="K5" s="537"/>
      <c r="L5" s="2485"/>
      <c r="M5" s="2486"/>
      <c r="N5" s="2486"/>
      <c r="O5" s="2486"/>
      <c r="P5" s="3394"/>
      <c r="Q5" s="3395"/>
      <c r="R5" s="3377"/>
      <c r="S5" s="3378"/>
      <c r="T5" s="3377"/>
      <c r="U5" s="3378"/>
      <c r="V5" s="3372"/>
      <c r="W5" s="3372"/>
      <c r="X5" s="1265"/>
      <c r="Y5" s="3377"/>
      <c r="Z5" s="3378"/>
      <c r="AA5" s="3370"/>
      <c r="AB5" s="3370"/>
      <c r="AC5" s="3370"/>
    </row>
    <row r="6" spans="1:29" ht="15" thickBot="1">
      <c r="A6" s="350"/>
      <c r="B6" s="351"/>
      <c r="C6" s="3462" t="s">
        <v>1919</v>
      </c>
      <c r="D6" s="3463"/>
      <c r="E6" s="3464" t="s">
        <v>1919</v>
      </c>
      <c r="F6" s="3465"/>
      <c r="G6" s="3462" t="s">
        <v>1919</v>
      </c>
      <c r="H6" s="3463"/>
      <c r="I6" s="3462" t="s">
        <v>1919</v>
      </c>
      <c r="J6" s="3463"/>
      <c r="K6" s="537" t="s">
        <v>1678</v>
      </c>
      <c r="L6" s="2485"/>
      <c r="M6" s="2486"/>
      <c r="N6" s="2486"/>
      <c r="O6" s="2486"/>
      <c r="P6" s="3396"/>
      <c r="Q6" s="3397"/>
      <c r="R6" s="3377"/>
      <c r="S6" s="3378"/>
      <c r="T6" s="3398"/>
      <c r="U6" s="3399"/>
      <c r="V6" s="3372"/>
      <c r="W6" s="3372"/>
      <c r="X6" s="1265"/>
      <c r="Y6" s="3398"/>
      <c r="Z6" s="3399"/>
      <c r="AA6" s="3371"/>
      <c r="AB6" s="3371"/>
      <c r="AC6" s="3371"/>
    </row>
    <row r="7" spans="1:29" s="102" customFormat="1" ht="15" thickBot="1">
      <c r="A7" s="352" t="s">
        <v>1679</v>
      </c>
      <c r="B7" s="353"/>
      <c r="C7" s="354">
        <f>'数据-取费表'!B2</f>
        <v>45761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8"/>
      <c r="M10" s="2489"/>
      <c r="N10" s="2489"/>
      <c r="O10" s="2540"/>
      <c r="P10" s="3411"/>
      <c r="Q10" s="530" t="str">
        <f t="shared" si="6"/>
        <v>土地使用年限（年）</v>
      </c>
      <c r="R10" s="664" t="s">
        <v>14</v>
      </c>
      <c r="S10" s="665">
        <f t="shared" si="0"/>
        <v>156</v>
      </c>
      <c r="T10" s="664" t="s">
        <v>14</v>
      </c>
      <c r="U10" s="665">
        <f t="shared" si="1"/>
        <v>156</v>
      </c>
      <c r="V10" s="664" t="s">
        <v>14</v>
      </c>
      <c r="W10" s="665">
        <f t="shared" si="2"/>
        <v>156</v>
      </c>
      <c r="X10" s="666"/>
      <c r="Y10" s="3340"/>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5"/>
      <c r="Q20" s="1263"/>
      <c r="R20" s="667"/>
      <c r="S20" s="668"/>
      <c r="T20" s="667"/>
      <c r="U20" s="668"/>
      <c r="V20" s="667"/>
      <c r="W20" s="668"/>
      <c r="X20" s="1265"/>
      <c r="Y20" s="340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5"/>
      <c r="Q24" s="530"/>
      <c r="R24" s="664"/>
      <c r="S24" s="665"/>
      <c r="T24" s="664"/>
      <c r="U24" s="665"/>
      <c r="V24" s="664"/>
      <c r="W24" s="665"/>
      <c r="X24" s="666"/>
      <c r="Y24" s="340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7"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1" t="str">
        <f>A41</f>
        <v>成交单价</v>
      </c>
      <c r="Q41" s="3411"/>
      <c r="R41" s="3372">
        <f>E41</f>
        <v>0</v>
      </c>
      <c r="S41" s="3372"/>
      <c r="T41" s="3372">
        <f>G41</f>
        <v>0</v>
      </c>
      <c r="U41" s="3372"/>
      <c r="V41" s="3372">
        <f>I41</f>
        <v>0</v>
      </c>
      <c r="W41" s="3372"/>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411" t="str">
        <f>A42</f>
        <v>比较价值（元/平方米）</v>
      </c>
      <c r="Q42" s="3411"/>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2" t="str">
        <f>A43</f>
        <v>估价对象XX用房的比较价值（楼面单价，元/平方米）</v>
      </c>
      <c r="Q43" s="3413"/>
      <c r="R43" s="3460" t="e">
        <f>ROUND(IF(D42="简单平均",AVERAGE(R42:W42),R42*F42+T42*H42+V42*J42),0)</f>
        <v>#DIV/0!</v>
      </c>
      <c r="S43" s="3460"/>
      <c r="T43" s="3460"/>
      <c r="U43" s="3460"/>
      <c r="V43" s="3460"/>
      <c r="W43" s="346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8" t="s">
        <v>1887</v>
      </c>
      <c r="H50" s="346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812.22000000000014</v>
      </c>
      <c r="F51" s="611" t="e">
        <f t="shared" ref="F51:F60" si="15">ROUND(B51*E51/10000,0)</f>
        <v>#DIV/0!</v>
      </c>
      <c r="G51" s="3387"/>
      <c r="H51" s="341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ht="39.6">
      <c r="A2" s="930"/>
      <c r="B2" s="622" t="s">
        <v>2086</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100</v>
      </c>
      <c r="E3" s="627">
        <f>'比较法-商业'!E103</f>
        <v>200</v>
      </c>
      <c r="F3" s="627">
        <f>'比较法-商业'!F103</f>
        <v>300</v>
      </c>
      <c r="G3" s="627">
        <f>'比较法-商业'!G103</f>
        <v>400</v>
      </c>
      <c r="H3" s="627">
        <f>'比较法-商业'!H103</f>
        <v>500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80" t="s">
        <v>3520</v>
      </c>
      <c r="C5" s="940" t="str">
        <f>'比较法-商业'!C122</f>
        <v>精装修</v>
      </c>
      <c r="D5" s="940" t="str">
        <f>'比较法-商业'!D122</f>
        <v>普通装修</v>
      </c>
      <c r="E5" s="940" t="str">
        <f>'比较法-商业'!E122</f>
        <v>简单装修</v>
      </c>
      <c r="F5" s="940" t="str">
        <f>'比较法-商业'!F122</f>
        <v>毛坯</v>
      </c>
      <c r="G5" s="1227"/>
      <c r="H5" s="1227"/>
      <c r="I5" s="1227"/>
      <c r="J5" s="1227"/>
      <c r="K5" s="1227"/>
      <c r="L5" s="1228"/>
      <c r="M5" s="1229"/>
      <c r="N5" s="1229"/>
      <c r="O5" s="1227"/>
      <c r="P5" s="1227"/>
      <c r="Q5" s="1227"/>
      <c r="R5" s="1227"/>
      <c r="S5" s="1230"/>
      <c r="T5" s="943">
        <f>'比较法-商业'!K42</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1061</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13063</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812.22000000000014</v>
      </c>
      <c r="C22" s="3466" t="s">
        <v>27</v>
      </c>
      <c r="D22" s="3467"/>
      <c r="E22" s="3467"/>
      <c r="F22" s="3467"/>
      <c r="G22" s="3467"/>
      <c r="H22" s="3467"/>
      <c r="I22" s="3467"/>
      <c r="J22" s="3467"/>
      <c r="K22" s="3467"/>
      <c r="L22" s="3467"/>
      <c r="M22" s="3467"/>
      <c r="N22" s="3467"/>
      <c r="O22" s="3467"/>
      <c r="P22" s="3467"/>
      <c r="Q22" s="3468"/>
      <c r="R22" s="21">
        <f ca="1">ROUND(S22*10000/B22,0)</f>
        <v>13063</v>
      </c>
      <c r="S22" s="21">
        <f ca="1">SUM(S24:S10000)</f>
        <v>1061</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9" t="s">
        <v>3519</v>
      </c>
      <c r="B24" s="633">
        <f>'数据-汇总表'!E19</f>
        <v>440.62000000000018</v>
      </c>
      <c r="C24" s="2569">
        <v>1</v>
      </c>
      <c r="D24" s="2570" t="s">
        <v>3513</v>
      </c>
      <c r="E24" s="2569">
        <v>1</v>
      </c>
      <c r="F24" s="2570"/>
      <c r="G24" s="2569">
        <v>1</v>
      </c>
      <c r="H24" s="2570"/>
      <c r="I24" s="2569">
        <v>1</v>
      </c>
      <c r="J24" s="2570"/>
      <c r="K24" s="2569">
        <v>1</v>
      </c>
      <c r="L24" s="2570"/>
      <c r="M24" s="2569">
        <v>1</v>
      </c>
      <c r="N24" s="2570"/>
      <c r="O24" s="2569">
        <v>1</v>
      </c>
      <c r="P24" s="2570"/>
      <c r="Q24" s="2569">
        <v>1</v>
      </c>
      <c r="R24" s="633">
        <f ca="1">结果表!H102</f>
        <v>13001</v>
      </c>
      <c r="S24" s="634">
        <f t="shared" ref="S24:S54" ca="1" si="11">ROUND(R24*B24/10000,0)</f>
        <v>573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3518</v>
      </c>
      <c r="B25" s="52">
        <f>'数据-汇总表'!E20</f>
        <v>371.59999999999997</v>
      </c>
      <c r="C25" s="21">
        <f>IF(B25="",1,(LOOKUP(B25,$3:$3,$4:$4)-LOOKUP($B$24,$3:$3,$4:$4)+100)/100)</f>
        <v>1.01</v>
      </c>
      <c r="D25" s="635" t="s">
        <v>3513</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13131</v>
      </c>
      <c r="S25" s="308">
        <f t="shared" ca="1" si="11"/>
        <v>488</v>
      </c>
    </row>
    <row r="26" spans="1:45">
      <c r="A26" s="142"/>
      <c r="B26" s="52"/>
      <c r="C26" s="21">
        <f t="shared" ref="C26:C89" si="12">IF(B26="",1,(LOOKUP(B26,$3:$3,$4:$4)-LOOKUP($B$24,$3:$3,$4:$4)+100)/100)</f>
        <v>1</v>
      </c>
      <c r="D26" s="635"/>
      <c r="E26" s="21">
        <f t="shared" ref="E26:E89" si="13">(SUMIF($5:$5,D26,$6:$6)-SUMIF($5:$5,$D$24,$6:$6)+100)/100</f>
        <v>0.06</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0.06</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0.06</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0.06</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0.06</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0.06</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0.06</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0.06</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0.06</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0.06</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438.11759999999998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9943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2158632</v>
      </c>
      <c r="D5" s="203" t="s">
        <v>1469</v>
      </c>
      <c r="E5" s="204" t="s">
        <v>1470</v>
      </c>
      <c r="F5" s="204" t="s">
        <v>1471</v>
      </c>
      <c r="G5" s="205"/>
    </row>
    <row r="6" spans="1:8" s="206" customFormat="1" ht="13.5" customHeight="1">
      <c r="A6" s="732" t="s">
        <v>1472</v>
      </c>
      <c r="B6" s="207" t="s">
        <v>1473</v>
      </c>
      <c r="C6" s="208">
        <f>ROUND(基准地价修正!C33*基准地价修正!D33,0)</f>
        <v>2009227</v>
      </c>
      <c r="D6" s="209"/>
      <c r="E6" s="210"/>
      <c r="F6" s="210"/>
      <c r="G6" s="211"/>
    </row>
    <row r="7" spans="1:8" s="206" customFormat="1" ht="13.5" customHeight="1">
      <c r="A7" s="732" t="s">
        <v>1474</v>
      </c>
      <c r="B7" s="207" t="s">
        <v>1475</v>
      </c>
      <c r="C7" s="212">
        <f>ROUND(C6*F7,0)</f>
        <v>61281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88124</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88124</v>
      </c>
      <c r="D10" s="795">
        <f ca="1">IF(B1="",'数据-汇总表'!E6,IF(INDIRECT("'数据-取费表'!c"&amp;$G$1)="住宅",INDIRECT("'数据-取费表'!s"&amp;$G$1),INDIRECT("'数据-取费表'!k"&amp;$G$1)+INDIRECT("'数据-取费表'!s"&amp;$G$1)))</f>
        <v>440.62000000000018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440.62000000000018</v>
      </c>
      <c r="E19" s="203">
        <f>'数据-取费表'!B31</f>
        <v>200</v>
      </c>
      <c r="F19" s="223"/>
      <c r="G19" s="1714" t="s">
        <v>3435</v>
      </c>
    </row>
    <row r="20" spans="1:7" s="206" customFormat="1" ht="13.5" customHeight="1">
      <c r="A20" s="247" t="s">
        <v>1574</v>
      </c>
      <c r="B20" s="202" t="s">
        <v>1575</v>
      </c>
      <c r="C20" s="224">
        <f ca="1">ROUND((C5+C19)*F20,0)</f>
        <v>43173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102150</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101150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1000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330271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330271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2850585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1738246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1542170</v>
      </c>
      <c r="D34" s="209"/>
      <c r="E34" s="212"/>
      <c r="F34" s="249"/>
      <c r="G34" s="211"/>
    </row>
    <row r="35" spans="1:7" ht="13.5" customHeight="1">
      <c r="A35" s="734" t="s">
        <v>351</v>
      </c>
      <c r="B35" s="207" t="s">
        <v>1527</v>
      </c>
      <c r="C35" s="212">
        <f ca="1">ROUND(C34*F35,0)</f>
        <v>77109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88124</v>
      </c>
      <c r="D37" s="209">
        <f ca="1">D19</f>
        <v>440.62000000000018</v>
      </c>
      <c r="E37" s="241">
        <f>'数据-取费表'!B35</f>
        <v>200</v>
      </c>
      <c r="F37" s="251"/>
      <c r="G37" s="253"/>
    </row>
    <row r="38" spans="1:7" ht="13.5" customHeight="1">
      <c r="A38" s="734" t="s">
        <v>354</v>
      </c>
      <c r="B38" s="207" t="s">
        <v>1533</v>
      </c>
      <c r="C38" s="212">
        <f ca="1">ROUND(C34*F38,0)</f>
        <v>30843</v>
      </c>
      <c r="D38" s="212"/>
      <c r="E38" s="212"/>
      <c r="F38" s="251">
        <f>'数据-取费表'!B36</f>
        <v>0.02</v>
      </c>
      <c r="G38" s="211" t="s">
        <v>1528</v>
      </c>
    </row>
    <row r="39" spans="1:7" s="206" customFormat="1" ht="13.5" customHeight="1">
      <c r="A39" s="247" t="s">
        <v>1534</v>
      </c>
      <c r="B39" s="202" t="s">
        <v>1535</v>
      </c>
      <c r="C39" s="224">
        <f ca="1">ROUND(C33*F20,0)</f>
        <v>34765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41065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40260</v>
      </c>
      <c r="D42" s="230"/>
      <c r="E42" s="230"/>
      <c r="F42" s="231"/>
      <c r="G42" s="3364" t="s">
        <v>1591</v>
      </c>
    </row>
    <row r="43" spans="1:7" ht="13.5" customHeight="1">
      <c r="A43" s="734" t="s">
        <v>347</v>
      </c>
      <c r="B43" s="207" t="s">
        <v>1545</v>
      </c>
      <c r="C43" s="230">
        <f ca="1">ROUND(IF('数据-取费表'!B22&lt;=1,C39*F22*'数据-取费表'!B20/2,C39*(POWER((1+F22),'数据-取费表'!B20/2)-1)),0)</f>
        <v>805</v>
      </c>
      <c r="D43" s="230"/>
      <c r="E43" s="230"/>
      <c r="F43" s="231"/>
      <c r="G43" s="3365"/>
    </row>
    <row r="44" spans="1:7" ht="13.5" customHeight="1">
      <c r="A44" s="734" t="s">
        <v>348</v>
      </c>
      <c r="B44" s="207" t="s">
        <v>1546</v>
      </c>
      <c r="C44" s="230">
        <f ca="1">ROUND(IF('数据-取费表'!B22&lt;=1,C40*F22*'数据-取费表'!B20/2,C40*(POWER((1+F22),'数据-取费表'!B20/2)-1)),4)</f>
        <v>5.0000000000000001E-4</v>
      </c>
      <c r="D44" s="230"/>
      <c r="E44" s="230"/>
      <c r="F44" s="231"/>
      <c r="G44" s="3366"/>
    </row>
    <row r="45" spans="1:7" s="206" customFormat="1" ht="13.5" customHeight="1">
      <c r="A45" s="247" t="s">
        <v>1547</v>
      </c>
      <c r="B45" s="236" t="s">
        <v>1513</v>
      </c>
      <c r="C45" s="237">
        <f ca="1">C46</f>
        <v>265952</v>
      </c>
      <c r="D45" s="227">
        <f ca="1">C47</f>
        <v>3.0000000000000001E-3</v>
      </c>
      <c r="E45" s="228" t="s">
        <v>1539</v>
      </c>
      <c r="F45" s="238">
        <f ca="1">F27</f>
        <v>0.15</v>
      </c>
      <c r="G45" s="239" t="s">
        <v>1548</v>
      </c>
    </row>
    <row r="46" spans="1:7" s="206" customFormat="1" ht="13.5" customHeight="1">
      <c r="A46" s="734" t="s">
        <v>346</v>
      </c>
      <c r="B46" s="240" t="s">
        <v>1549</v>
      </c>
      <c r="C46" s="241">
        <f ca="1">ROUND((C33+C39)*F27,0)</f>
        <v>265952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2250869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1530591</v>
      </c>
      <c r="D51" s="224"/>
      <c r="E51" s="224"/>
      <c r="F51" s="256"/>
      <c r="G51" s="226" t="s">
        <v>1560</v>
      </c>
    </row>
    <row r="52" spans="1:7" s="200" customFormat="1" ht="16.8" thickBot="1">
      <c r="A52" s="257" t="s">
        <v>1561</v>
      </c>
      <c r="B52" s="258"/>
      <c r="C52" s="259">
        <f ca="1">C31+C51</f>
        <v>4381176</v>
      </c>
      <c r="D52" s="258"/>
      <c r="E52" s="258"/>
      <c r="F52" s="258"/>
      <c r="G52" s="260"/>
    </row>
    <row r="55" spans="1:7" ht="15">
      <c r="B55" s="262" t="s">
        <v>1562</v>
      </c>
      <c r="C55" s="263"/>
    </row>
    <row r="56" spans="1:7">
      <c r="B56" s="265" t="s">
        <v>802</v>
      </c>
      <c r="C56" s="267">
        <f ca="1">1-C57</f>
        <v>0.65100000000000002</v>
      </c>
    </row>
    <row r="57" spans="1:7">
      <c r="B57" s="265" t="s">
        <v>803</v>
      </c>
      <c r="C57" s="266">
        <f ca="1">ROUND(C51/C52,3)</f>
        <v>0.34899999999999998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B25" sqref="B2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440.62000000000018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7252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2437</v>
      </c>
      <c r="F3" s="1848" t="s">
        <v>3436</v>
      </c>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5590</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4560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3871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3527</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8"/>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3236</v>
      </c>
      <c r="B12" s="3012" t="s">
        <v>3237</v>
      </c>
      <c r="C12" s="3013"/>
      <c r="D12" s="3014" t="s">
        <v>3238</v>
      </c>
      <c r="E12" s="3015" t="s">
        <v>3239</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3240</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3246</v>
      </c>
      <c r="E18" s="2356"/>
      <c r="F18" s="3029" t="s">
        <v>3249</v>
      </c>
      <c r="G18" s="3033">
        <f>ROUND(1-(1/(POWER(1+G24,E18))),4)</f>
        <v>0</v>
      </c>
      <c r="H18" s="3029" t="s">
        <v>3251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3247</v>
      </c>
      <c r="E19" s="3042"/>
      <c r="F19" s="3043" t="s">
        <v>3250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3" t="s">
        <v>3252</v>
      </c>
      <c r="B20" s="159" t="s">
        <v>1994</v>
      </c>
      <c r="C20" s="3030">
        <f>ROUND(IF(F21="与级别开发程度一致",0,(G21-E21)/C21),0)</f>
        <v>0</v>
      </c>
      <c r="D20" s="3045" t="s">
        <v>1998</v>
      </c>
      <c r="E20" s="3046"/>
      <c r="F20" s="3489" t="s">
        <v>1995</v>
      </c>
      <c r="G20" s="349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8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45761</v>
      </c>
      <c r="H23" s="3047" t="s">
        <v>3253</v>
      </c>
      <c r="I23" s="3048" t="str">
        <f>IF(H23="季度增幅（自定义）",SUMIF(N25:N28,E2,O25:O28),"")</f>
        <v/>
      </c>
      <c r="J23" s="3140" t="s">
        <v>3439</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0.66369999999999996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16.46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3443</v>
      </c>
      <c r="C25" s="461">
        <f>IF(B25="容积率修正",IF(G3&lt;10,D26,J26),C27)</f>
        <v>0.96940000000000004</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0.96940000000000004</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1.0149999999999999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4560</v>
      </c>
      <c r="D33" s="1940">
        <f>'数据-汇总表'!E19</f>
        <v>440.62000000000018</v>
      </c>
      <c r="E33" s="727">
        <f>ROUND(C33*D33/10000,0)</f>
        <v>201</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7"/>
      <c r="B37" s="1955" t="s">
        <v>2036</v>
      </c>
      <c r="C37" s="167">
        <f>ROUND(D5*C22*C23*C24*C28*F37,0)</f>
        <v>2352</v>
      </c>
      <c r="D37" s="1940"/>
      <c r="E37" s="163">
        <f>ROUND(C37*D37/10000,0)</f>
        <v>0</v>
      </c>
      <c r="F37" s="163">
        <f>SUMIF(修正!A57:A68,G2,修正!B57:B68)</f>
        <v>0.5</v>
      </c>
      <c r="G37" s="163">
        <f>ROUND(IF(E2="工业",C37*$M$42,C37*$M$41),0)</f>
        <v>588</v>
      </c>
      <c r="H37" s="163">
        <f>D37</f>
        <v>0</v>
      </c>
      <c r="I37" s="163">
        <f>ROUND(G37*H37/10000,0)</f>
        <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8"/>
      <c r="B38" s="1884" t="s">
        <v>2037</v>
      </c>
      <c r="C38" s="167">
        <f>ROUND(D5*C22*C23*C24*C28*F38,0)</f>
        <v>941</v>
      </c>
      <c r="D38" s="1940"/>
      <c r="E38" s="163">
        <f t="shared" ref="E38:E42" si="4">ROUND(C38*D38/10000,0)</f>
        <v>0</v>
      </c>
      <c r="F38" s="163">
        <f>SUMIF(修正!A57:A68,G2,修正!C57:C68)</f>
        <v>0.2</v>
      </c>
      <c r="G38" s="163">
        <f>ROUND(IF(E2="工业",C38*$M$42,C38*$M$41),0)</f>
        <v>235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8"/>
      <c r="B39" s="1884" t="s">
        <v>3256</v>
      </c>
      <c r="C39" s="167">
        <f>ROUND(D5*C22*C23*C24*C28*F39,0)</f>
        <v>941</v>
      </c>
      <c r="D39" s="1940"/>
      <c r="E39" s="163">
        <f t="shared" si="4"/>
        <v>0</v>
      </c>
      <c r="F39" s="163">
        <f>SUMIF(修正!A57:A68,G2,修正!D57:D68)</f>
        <v>0.2</v>
      </c>
      <c r="G39" s="163">
        <f>ROUND(IF(E2="工业",C39*$M$42,C39*$M$41),0)</f>
        <v>235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941</v>
      </c>
      <c r="D40" s="1940"/>
      <c r="E40" s="163">
        <f t="shared" si="4"/>
        <v>0</v>
      </c>
      <c r="F40" s="167">
        <f>SUMIF(修正!A57:A68,G2,修正!E57:E68)</f>
        <v>0.2</v>
      </c>
      <c r="G40" s="163">
        <f>ROUND(IF(E2="工业",C40*$M$42,C40*$M$41),0)</f>
        <v>235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1.0149999999999999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3440</v>
      </c>
      <c r="D50" s="1002">
        <f t="shared" ref="D50:D58" si="7">SUMIF($J$49:$N$49,C50,J50:N50)</f>
        <v>0</v>
      </c>
      <c r="E50" s="702">
        <f>ROUND(SUM(D50:D58),4)</f>
        <v>1.4999999999999999E-2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3440</v>
      </c>
      <c r="D51" s="1002">
        <f t="shared" si="7"/>
        <v>0</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t="s">
        <v>3440</v>
      </c>
      <c r="D52" s="1002">
        <f t="shared" si="7"/>
        <v>0</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3440</v>
      </c>
      <c r="D53" s="1002">
        <f t="shared" si="7"/>
        <v>0</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3441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3440</v>
      </c>
      <c r="D56" s="1002">
        <f t="shared" si="7"/>
        <v>0</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3442</v>
      </c>
      <c r="D57" s="1002">
        <f t="shared" si="7"/>
        <v>1.14E-2</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3440</v>
      </c>
      <c r="D58" s="1002">
        <f t="shared" si="7"/>
        <v>0</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2610</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5" t="s">
        <v>3291</v>
      </c>
      <c r="B103" s="3485"/>
      <c r="C103" s="3485"/>
      <c r="D103" s="3485"/>
      <c r="E103" s="3485"/>
      <c r="F103" s="3485"/>
      <c r="G103" s="3485"/>
      <c r="H103" s="3485"/>
      <c r="I103" s="3485"/>
      <c r="J103" s="3485"/>
      <c r="K103" s="1667"/>
      <c r="L103" s="1667"/>
      <c r="M103" s="1667"/>
      <c r="N103" s="1667"/>
    </row>
    <row r="104" spans="1:14">
      <c r="A104" s="3486" t="s">
        <v>3292</v>
      </c>
      <c r="B104" s="3486" t="s">
        <v>3293</v>
      </c>
      <c r="C104" s="3089" t="s">
        <v>3294</v>
      </c>
      <c r="D104" s="3090"/>
      <c r="E104" s="3090"/>
      <c r="F104" s="3090"/>
      <c r="G104" s="3090"/>
      <c r="H104" s="3090"/>
      <c r="I104" s="3090"/>
      <c r="J104" s="3091"/>
      <c r="K104" s="3092"/>
      <c r="L104" s="3092"/>
      <c r="M104" s="3092"/>
      <c r="N104" s="3092"/>
    </row>
    <row r="105" spans="1:14">
      <c r="A105" s="3486"/>
      <c r="B105" s="3486"/>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2"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3"/>
      <c r="B111" s="3093" t="s">
        <v>3265</v>
      </c>
      <c r="C111" s="3094">
        <f>$I$3</f>
        <v>3</v>
      </c>
      <c r="D111" s="3094">
        <f t="shared" ref="D111:M111" si="32">$I$3</f>
        <v>3</v>
      </c>
      <c r="E111" s="3094">
        <f t="shared" si="32"/>
        <v>3</v>
      </c>
      <c r="F111" s="3094">
        <f t="shared" si="32"/>
        <v>3</v>
      </c>
      <c r="G111" s="3094">
        <f t="shared" si="32"/>
        <v>3</v>
      </c>
      <c r="H111" s="3094">
        <f t="shared" si="32"/>
        <v>3</v>
      </c>
      <c r="I111" s="3094">
        <f t="shared" si="32"/>
        <v>3</v>
      </c>
      <c r="J111" s="3094">
        <f t="shared" si="32"/>
        <v>3</v>
      </c>
      <c r="K111" s="3094">
        <f t="shared" si="32"/>
        <v>3</v>
      </c>
      <c r="L111" s="3094">
        <f t="shared" si="32"/>
        <v>3</v>
      </c>
      <c r="M111" s="3094">
        <f t="shared" si="32"/>
        <v>3</v>
      </c>
      <c r="N111" s="3094">
        <f>$I$3</f>
        <v>3</v>
      </c>
    </row>
    <row r="112" spans="1:14">
      <c r="A112" s="3474"/>
      <c r="B112" s="3093">
        <v>6</v>
      </c>
      <c r="C112" s="3088">
        <f>(-0.5556*(C111^2)-0.2719*C111+8944)*(10^(-4))</f>
        <v>0.89381839000000007</v>
      </c>
      <c r="D112" s="3088">
        <f>(-0.5556*(D111^2)-0.2719*D111+8944)*(10^(-4))</f>
        <v>0.89381839000000007</v>
      </c>
      <c r="E112" s="3088">
        <f>(-0.7912*(E111^2)-11.3794*E111+8482)*(10^(-4))</f>
        <v>0.84407410000000005</v>
      </c>
      <c r="F112" s="3088">
        <f t="shared" ref="F112:I112" si="33">(-0.7912*(F111^2)-11.3794*F111+8482)*(10^(-4))</f>
        <v>0.84407410000000005</v>
      </c>
      <c r="G112" s="3088">
        <f t="shared" si="33"/>
        <v>0.84407410000000005</v>
      </c>
      <c r="H112" s="3088">
        <f t="shared" si="33"/>
        <v>0.84407410000000005</v>
      </c>
      <c r="I112" s="3088">
        <f t="shared" si="33"/>
        <v>0.84407410000000005</v>
      </c>
      <c r="J112" s="3088">
        <f>(-0.989*(J111^2)-63.78*J111+7771)*(10^(-4))</f>
        <v>0.75707590000000002</v>
      </c>
      <c r="K112" s="3088">
        <f t="shared" ref="K112:N112" si="34">(-0.989*(K111^2)-63.78*K111+7771)*(10^(-4))</f>
        <v>0.75707590000000002</v>
      </c>
      <c r="L112" s="3088">
        <f t="shared" si="34"/>
        <v>0.75707590000000002</v>
      </c>
      <c r="M112" s="3088">
        <f t="shared" si="34"/>
        <v>0.75707590000000002</v>
      </c>
      <c r="N112" s="3088">
        <f t="shared" si="34"/>
        <v>0.75707590000000002</v>
      </c>
    </row>
    <row r="113" spans="1:14">
      <c r="A113" s="3475" t="s">
        <v>3308</v>
      </c>
      <c r="B113" s="3475"/>
      <c r="C113" s="3475"/>
      <c r="D113" s="3475"/>
      <c r="E113" s="3475"/>
      <c r="F113" s="3475"/>
      <c r="G113" s="3475"/>
      <c r="H113" s="3475"/>
      <c r="I113" s="3475"/>
      <c r="J113" s="347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0.84860000000000002</v>
      </c>
      <c r="E116" s="162" t="s">
        <v>3311</v>
      </c>
      <c r="F116" s="3100" t="str">
        <f>E2</f>
        <v>商业</v>
      </c>
      <c r="G116" s="162" t="s">
        <v>3312</v>
      </c>
      <c r="H116" s="3100" t="str">
        <f>G2</f>
        <v>八级</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2610</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440.62000000000018</v>
      </c>
      <c r="F2" s="2543"/>
      <c r="G2" s="2543"/>
      <c r="H2" s="2543"/>
      <c r="I2" s="2543"/>
      <c r="J2" s="2543"/>
      <c r="K2" s="2543"/>
      <c r="L2" s="2543"/>
      <c r="M2" s="2543"/>
      <c r="N2" s="2543"/>
      <c r="O2" s="2543"/>
      <c r="P2" s="2543"/>
    </row>
    <row r="3" spans="1:16" ht="15.6">
      <c r="A3" s="1984" t="s">
        <v>2076</v>
      </c>
      <c r="B3" s="2387">
        <f ca="1">ROUND(B2*10000/E2,0)</f>
        <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0</v>
      </c>
      <c r="C6" s="1984" t="s">
        <v>2074</v>
      </c>
      <c r="D6" s="2543"/>
      <c r="E6" s="2397">
        <f ca="1">SUMIF(INDIRECT("'"&amp;A6&amp;"'"&amp;"!C:C"),"建筑面积",INDIRECT("'"&amp;A6&amp;"'"&amp;"!D:D"))</f>
        <v>440.62000000000018</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8" t="s">
        <v>2605</v>
      </c>
      <c r="B20" s="3491" t="s">
        <v>2626</v>
      </c>
      <c r="C20" s="2841" t="s">
        <v>2437</v>
      </c>
      <c r="D20" s="2842"/>
      <c r="E20" s="2843">
        <v>1</v>
      </c>
      <c r="F20" s="2844" t="s">
        <v>2438</v>
      </c>
      <c r="G20" s="2844"/>
    </row>
    <row r="21" spans="1:13" ht="19.5" customHeight="1">
      <c r="A21" s="3499"/>
      <c r="B21" s="3492"/>
      <c r="C21" s="2845" t="s">
        <v>2439</v>
      </c>
      <c r="D21" s="2846"/>
      <c r="E21" s="2847">
        <v>1</v>
      </c>
      <c r="F21" s="2844" t="s">
        <v>2440</v>
      </c>
      <c r="G21" s="2844"/>
    </row>
    <row r="22" spans="1:13" ht="19.5" customHeight="1">
      <c r="A22" s="3499"/>
      <c r="B22" s="3492"/>
      <c r="C22" s="2845" t="s">
        <v>2441</v>
      </c>
      <c r="D22" s="2846"/>
      <c r="E22" s="2847">
        <v>0.9</v>
      </c>
      <c r="F22" s="2844" t="s">
        <v>2442</v>
      </c>
      <c r="G22" s="2844"/>
    </row>
    <row r="23" spans="1:13" ht="19.5" customHeight="1">
      <c r="A23" s="3499"/>
      <c r="B23" s="3492"/>
      <c r="C23" s="2845" t="s">
        <v>2443</v>
      </c>
      <c r="D23" s="2846"/>
      <c r="E23" s="2847">
        <v>0.9</v>
      </c>
      <c r="F23" s="2844" t="s">
        <v>2444</v>
      </c>
      <c r="G23" s="2844"/>
    </row>
    <row r="24" spans="1:13" ht="19.5" customHeight="1">
      <c r="A24" s="3499"/>
      <c r="B24" s="3492"/>
      <c r="C24" s="2845" t="s">
        <v>2445</v>
      </c>
      <c r="D24" s="2846"/>
      <c r="E24" s="2847">
        <v>0.8</v>
      </c>
      <c r="F24" s="2844" t="s">
        <v>2446</v>
      </c>
      <c r="G24" s="2844"/>
    </row>
    <row r="25" spans="1:13" ht="19.5" customHeight="1" thickBot="1">
      <c r="A25" s="3500"/>
      <c r="B25" s="3493"/>
      <c r="C25" s="2848" t="s">
        <v>2447</v>
      </c>
      <c r="D25" s="2849"/>
      <c r="E25" s="2850">
        <v>0.8</v>
      </c>
      <c r="F25" s="2844" t="s">
        <v>2448</v>
      </c>
      <c r="G25" s="2844"/>
    </row>
    <row r="26" spans="1:13" ht="19.5" customHeight="1" thickBot="1">
      <c r="A26" s="2851" t="s">
        <v>2627</v>
      </c>
      <c r="B26" s="2852" t="s">
        <v>2626</v>
      </c>
      <c r="C26" s="2853" t="s">
        <v>2628</v>
      </c>
      <c r="D26" s="2854"/>
      <c r="E26" s="2855">
        <v>1</v>
      </c>
      <c r="F26" s="2844" t="s">
        <v>2449</v>
      </c>
      <c r="G26" s="2844"/>
    </row>
    <row r="27" spans="1:13" ht="19.5" customHeight="1">
      <c r="A27" s="3494" t="s">
        <v>2629</v>
      </c>
      <c r="B27" s="3491" t="s">
        <v>2610</v>
      </c>
      <c r="C27" s="2841" t="s">
        <v>2450</v>
      </c>
      <c r="D27" s="2842"/>
      <c r="E27" s="2843">
        <v>1</v>
      </c>
      <c r="F27" s="2844" t="s">
        <v>2451</v>
      </c>
      <c r="G27" s="2844"/>
    </row>
    <row r="28" spans="1:13" ht="19.5" customHeight="1">
      <c r="A28" s="3495"/>
      <c r="B28" s="3492"/>
      <c r="C28" s="2845" t="s">
        <v>2452</v>
      </c>
      <c r="D28" s="2846"/>
      <c r="E28" s="2847">
        <v>1</v>
      </c>
      <c r="F28" s="2844" t="s">
        <v>2453</v>
      </c>
      <c r="G28" s="2844"/>
    </row>
    <row r="29" spans="1:13" ht="19.5" customHeight="1">
      <c r="A29" s="3495"/>
      <c r="B29" s="3492"/>
      <c r="C29" s="2845" t="s">
        <v>2454</v>
      </c>
      <c r="D29" s="2846"/>
      <c r="E29" s="2847">
        <v>0.8</v>
      </c>
      <c r="F29" s="2844" t="s">
        <v>2455</v>
      </c>
      <c r="G29" s="2844"/>
    </row>
    <row r="30" spans="1:13" ht="19.5" customHeight="1">
      <c r="A30" s="3495"/>
      <c r="B30" s="3492"/>
      <c r="C30" s="2845" t="s">
        <v>2456</v>
      </c>
      <c r="D30" s="2846"/>
      <c r="E30" s="2847">
        <v>0.8</v>
      </c>
      <c r="F30" s="2844" t="s">
        <v>2457</v>
      </c>
      <c r="G30" s="2844"/>
    </row>
    <row r="31" spans="1:13" ht="19.5" customHeight="1">
      <c r="A31" s="3495"/>
      <c r="B31" s="3492"/>
      <c r="C31" s="2845" t="s">
        <v>2458</v>
      </c>
      <c r="D31" s="2846"/>
      <c r="E31" s="2847">
        <v>0.8</v>
      </c>
      <c r="F31" s="2844" t="s">
        <v>2459</v>
      </c>
      <c r="G31" s="2844"/>
    </row>
    <row r="32" spans="1:13" ht="19.5" customHeight="1">
      <c r="A32" s="3495"/>
      <c r="B32" s="3492"/>
      <c r="C32" s="2845" t="s">
        <v>2460</v>
      </c>
      <c r="D32" s="2846"/>
      <c r="E32" s="2847">
        <v>0.7</v>
      </c>
      <c r="F32" s="2844" t="s">
        <v>2461</v>
      </c>
      <c r="G32" s="2844"/>
    </row>
    <row r="33" spans="1:7" ht="19.5" customHeight="1">
      <c r="A33" s="3495"/>
      <c r="B33" s="3492"/>
      <c r="C33" s="2845" t="s">
        <v>2462</v>
      </c>
      <c r="D33" s="2846"/>
      <c r="E33" s="2847">
        <v>0.8</v>
      </c>
      <c r="F33" s="2844" t="s">
        <v>2463</v>
      </c>
      <c r="G33" s="2844"/>
    </row>
    <row r="34" spans="1:7" ht="19.5" customHeight="1">
      <c r="A34" s="3495"/>
      <c r="B34" s="3492"/>
      <c r="C34" s="2845" t="s">
        <v>2464</v>
      </c>
      <c r="D34" s="2846"/>
      <c r="E34" s="2847">
        <v>0.6</v>
      </c>
      <c r="F34" s="2844" t="s">
        <v>2465</v>
      </c>
      <c r="G34" s="2844"/>
    </row>
    <row r="35" spans="1:7" ht="19.5" customHeight="1">
      <c r="A35" s="3495"/>
      <c r="B35" s="3492"/>
      <c r="C35" s="2845" t="s">
        <v>2466</v>
      </c>
      <c r="D35" s="2846"/>
      <c r="E35" s="2847">
        <v>0.2</v>
      </c>
      <c r="F35" s="2844" t="s">
        <v>2467</v>
      </c>
      <c r="G35" s="2844"/>
    </row>
    <row r="36" spans="1:7" ht="19.5" customHeight="1">
      <c r="A36" s="3495"/>
      <c r="B36" s="3492"/>
      <c r="C36" s="2845" t="s">
        <v>2468</v>
      </c>
      <c r="D36" s="2846"/>
      <c r="E36" s="2847">
        <v>0.2</v>
      </c>
      <c r="F36" s="2844" t="s">
        <v>2469</v>
      </c>
      <c r="G36" s="2844"/>
    </row>
    <row r="37" spans="1:7" ht="19.5" customHeight="1">
      <c r="A37" s="3495"/>
      <c r="B37" s="3497" t="s">
        <v>2630</v>
      </c>
      <c r="C37" s="2845" t="s">
        <v>2470</v>
      </c>
      <c r="D37" s="2846"/>
      <c r="E37" s="2847">
        <v>0.6</v>
      </c>
      <c r="F37" s="2844" t="s">
        <v>2471</v>
      </c>
      <c r="G37" s="2844"/>
    </row>
    <row r="38" spans="1:7" ht="19.5" customHeight="1">
      <c r="A38" s="3495"/>
      <c r="B38" s="3492"/>
      <c r="C38" s="2845" t="s">
        <v>2472</v>
      </c>
      <c r="D38" s="2846"/>
      <c r="E38" s="2847">
        <v>0.6</v>
      </c>
      <c r="F38" s="2844" t="s">
        <v>2473</v>
      </c>
      <c r="G38" s="2844"/>
    </row>
    <row r="39" spans="1:7" ht="19.5" customHeight="1" thickBot="1">
      <c r="A39" s="3496"/>
      <c r="B39" s="3493"/>
      <c r="C39" s="2848" t="s">
        <v>2474</v>
      </c>
      <c r="D39" s="2849"/>
      <c r="E39" s="2850">
        <v>0.6</v>
      </c>
      <c r="F39" s="2844" t="s">
        <v>2475</v>
      </c>
      <c r="G39" s="2844"/>
    </row>
    <row r="40" spans="1:7" ht="19.5" customHeight="1" thickBot="1">
      <c r="A40" s="2851" t="s">
        <v>2607</v>
      </c>
      <c r="B40" s="2852" t="s">
        <v>2607</v>
      </c>
      <c r="C40" s="2853" t="s">
        <v>2631</v>
      </c>
      <c r="D40" s="2854"/>
      <c r="E40" s="2855">
        <v>1</v>
      </c>
      <c r="F40" s="2844" t="s">
        <v>2476</v>
      </c>
      <c r="G40" s="2844"/>
    </row>
    <row r="41" spans="1:7" ht="19.5" customHeight="1">
      <c r="A41" s="3498" t="s">
        <v>2608</v>
      </c>
      <c r="B41" s="3491" t="s">
        <v>2632</v>
      </c>
      <c r="C41" s="2841" t="s">
        <v>2477</v>
      </c>
      <c r="D41" s="2842"/>
      <c r="E41" s="2843">
        <v>1</v>
      </c>
      <c r="F41" s="2844" t="s">
        <v>2478</v>
      </c>
      <c r="G41" s="2844"/>
    </row>
    <row r="42" spans="1:7" ht="19.5" customHeight="1">
      <c r="A42" s="3499"/>
      <c r="B42" s="3492"/>
      <c r="C42" s="2845" t="s">
        <v>2479</v>
      </c>
      <c r="D42" s="2846"/>
      <c r="E42" s="2847">
        <v>1</v>
      </c>
      <c r="F42" s="2844" t="s">
        <v>2480</v>
      </c>
      <c r="G42" s="2844"/>
    </row>
    <row r="43" spans="1:7" ht="19.5" customHeight="1">
      <c r="A43" s="3499"/>
      <c r="B43" s="3501"/>
      <c r="C43" s="2845" t="s">
        <v>2481</v>
      </c>
      <c r="D43" s="2846"/>
      <c r="E43" s="2847">
        <v>1.5</v>
      </c>
      <c r="F43" s="2844" t="s">
        <v>2482</v>
      </c>
      <c r="G43" s="2844"/>
    </row>
    <row r="44" spans="1:7" ht="19.5" customHeight="1">
      <c r="A44" s="3499"/>
      <c r="B44" s="2856" t="s">
        <v>2633</v>
      </c>
      <c r="C44" s="2845" t="s">
        <v>2634</v>
      </c>
      <c r="D44" s="2846"/>
      <c r="E44" s="2847">
        <v>2</v>
      </c>
      <c r="F44" s="2844" t="s">
        <v>2483</v>
      </c>
      <c r="G44" s="2844"/>
    </row>
    <row r="45" spans="1:7" ht="19.5" customHeight="1">
      <c r="A45" s="3499"/>
      <c r="B45" s="3497" t="s">
        <v>2635</v>
      </c>
      <c r="C45" s="2845" t="s">
        <v>2484</v>
      </c>
      <c r="D45" s="2846"/>
      <c r="E45" s="2847">
        <v>1</v>
      </c>
      <c r="F45" s="2844" t="s">
        <v>2485</v>
      </c>
      <c r="G45" s="2844"/>
    </row>
    <row r="46" spans="1:7" ht="19.5" customHeight="1">
      <c r="A46" s="3499"/>
      <c r="B46" s="3492"/>
      <c r="C46" s="2845" t="s">
        <v>2486</v>
      </c>
      <c r="D46" s="2846"/>
      <c r="E46" s="2847">
        <v>1</v>
      </c>
      <c r="F46" s="2844" t="s">
        <v>2487</v>
      </c>
      <c r="G46" s="2844"/>
    </row>
    <row r="47" spans="1:7" ht="19.5" customHeight="1">
      <c r="A47" s="3499"/>
      <c r="B47" s="3492"/>
      <c r="C47" s="2845" t="s">
        <v>2488</v>
      </c>
      <c r="D47" s="2846"/>
      <c r="E47" s="2847">
        <v>1</v>
      </c>
      <c r="F47" s="2844" t="s">
        <v>2489</v>
      </c>
      <c r="G47" s="2844"/>
    </row>
    <row r="48" spans="1:7" ht="19.5" customHeight="1">
      <c r="A48" s="3499"/>
      <c r="B48" s="3492"/>
      <c r="C48" s="2845" t="s">
        <v>2490</v>
      </c>
      <c r="D48" s="2846"/>
      <c r="E48" s="2847">
        <v>1</v>
      </c>
      <c r="F48" s="2844" t="s">
        <v>2491</v>
      </c>
      <c r="G48" s="2844"/>
    </row>
    <row r="49" spans="1:7" ht="19.5" customHeight="1">
      <c r="A49" s="3499"/>
      <c r="B49" s="3492"/>
      <c r="C49" s="2845" t="s">
        <v>2492</v>
      </c>
      <c r="D49" s="2846"/>
      <c r="E49" s="2847">
        <v>1</v>
      </c>
      <c r="F49" s="2844" t="s">
        <v>2493</v>
      </c>
      <c r="G49" s="2844"/>
    </row>
    <row r="50" spans="1:7" ht="19.5" customHeight="1">
      <c r="A50" s="3499"/>
      <c r="B50" s="3492"/>
      <c r="C50" s="2845" t="s">
        <v>2494</v>
      </c>
      <c r="D50" s="2846"/>
      <c r="E50" s="2847">
        <v>1</v>
      </c>
      <c r="F50" s="2844" t="s">
        <v>2495</v>
      </c>
      <c r="G50" s="2844"/>
    </row>
    <row r="51" spans="1:7" ht="19.5" customHeight="1" thickBot="1">
      <c r="A51" s="3500"/>
      <c r="B51" s="3493"/>
      <c r="C51" s="2848" t="s">
        <v>2496</v>
      </c>
      <c r="D51" s="2849"/>
      <c r="E51" s="2850">
        <v>1</v>
      </c>
      <c r="F51" s="2844" t="s">
        <v>2497</v>
      </c>
      <c r="G51" s="2844"/>
    </row>
    <row r="52" spans="1:7" ht="19.5" customHeight="1">
      <c r="A52" s="2857"/>
      <c r="B52" s="2857"/>
      <c r="C52" s="2857"/>
      <c r="D52" s="2857"/>
      <c r="E52" s="2857"/>
      <c r="F52" s="2857"/>
      <c r="G52" s="2857"/>
    </row>
    <row r="54" spans="1:7" ht="19.5" customHeight="1">
      <c r="A54" s="2858"/>
      <c r="B54" s="2830" t="s">
        <v>2636</v>
      </c>
      <c r="C54" s="2830" t="s">
        <v>2636</v>
      </c>
      <c r="D54" s="2830" t="s">
        <v>2636</v>
      </c>
      <c r="E54" s="2833" t="s">
        <v>2636</v>
      </c>
      <c r="F54" s="2833" t="s">
        <v>2637</v>
      </c>
      <c r="G54" s="2833" t="s">
        <v>2638</v>
      </c>
    </row>
    <row r="55" spans="1:7" ht="19.5" customHeight="1">
      <c r="A55" s="2859"/>
      <c r="B55" s="2833" t="s">
        <v>2605</v>
      </c>
      <c r="C55" s="2833" t="s">
        <v>2605</v>
      </c>
      <c r="D55" s="2833" t="s">
        <v>2605</v>
      </c>
      <c r="E55" s="2830" t="s">
        <v>2606</v>
      </c>
      <c r="F55" s="2830" t="s">
        <v>2608</v>
      </c>
      <c r="G55" s="2830" t="s">
        <v>2639</v>
      </c>
    </row>
    <row r="56" spans="1:7" ht="19.5" customHeight="1">
      <c r="A56" s="2860"/>
      <c r="B56" s="2830">
        <v>1</v>
      </c>
      <c r="C56" s="2830">
        <v>2</v>
      </c>
      <c r="D56" s="2830">
        <v>3</v>
      </c>
      <c r="E56" s="2861" t="s">
        <v>2640</v>
      </c>
      <c r="F56" s="2861" t="s">
        <v>2640</v>
      </c>
      <c r="G56" s="2861" t="s">
        <v>2640</v>
      </c>
    </row>
    <row r="57" spans="1:7" ht="19.5" customHeight="1">
      <c r="A57" s="2862" t="s">
        <v>2593</v>
      </c>
      <c r="B57" s="2830">
        <v>0.7</v>
      </c>
      <c r="C57" s="2830">
        <v>0.4</v>
      </c>
      <c r="D57" s="2830">
        <v>0.3</v>
      </c>
      <c r="E57" s="2861">
        <v>0.3</v>
      </c>
      <c r="F57" s="2830">
        <v>0.3</v>
      </c>
      <c r="G57" s="2830">
        <v>0.2</v>
      </c>
    </row>
    <row r="58" spans="1:7" ht="19.5" customHeight="1">
      <c r="A58" s="2862" t="s">
        <v>2594</v>
      </c>
      <c r="B58" s="2830">
        <v>0.7</v>
      </c>
      <c r="C58" s="2830">
        <v>0.4</v>
      </c>
      <c r="D58" s="2830">
        <v>0.3</v>
      </c>
      <c r="E58" s="2830">
        <v>0.3</v>
      </c>
      <c r="F58" s="2830">
        <v>0.3</v>
      </c>
      <c r="G58" s="2830">
        <v>0.2</v>
      </c>
    </row>
    <row r="59" spans="1:7" ht="19.5" customHeight="1">
      <c r="A59" s="2862" t="s">
        <v>2595</v>
      </c>
      <c r="B59" s="2830">
        <v>0.6</v>
      </c>
      <c r="C59" s="2830">
        <v>0.3</v>
      </c>
      <c r="D59" s="2830">
        <v>0.25</v>
      </c>
      <c r="E59" s="2830">
        <v>0.25</v>
      </c>
      <c r="F59" s="2830">
        <v>0.25</v>
      </c>
      <c r="G59" s="2830">
        <v>0.15</v>
      </c>
    </row>
    <row r="60" spans="1:7" ht="19.5" customHeight="1">
      <c r="A60" s="2862" t="s">
        <v>2596</v>
      </c>
      <c r="B60" s="2830">
        <v>0.6</v>
      </c>
      <c r="C60" s="2830">
        <v>0.3</v>
      </c>
      <c r="D60" s="2830">
        <v>0.25</v>
      </c>
      <c r="E60" s="2830">
        <v>0.25</v>
      </c>
      <c r="F60" s="2830">
        <v>0.25</v>
      </c>
      <c r="G60" s="2830">
        <v>0.15</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0.5</v>
      </c>
      <c r="C64" s="2830">
        <v>0.2</v>
      </c>
      <c r="D64" s="2830">
        <v>0.2</v>
      </c>
      <c r="E64" s="2830">
        <v>0.2</v>
      </c>
      <c r="F64" s="2830">
        <v>0.2</v>
      </c>
      <c r="G64" s="2830">
        <v>0.1</v>
      </c>
    </row>
    <row r="65" spans="1:7" ht="19.5" customHeight="1">
      <c r="A65" s="2862" t="s">
        <v>2601</v>
      </c>
      <c r="B65" s="2830">
        <v>0.5</v>
      </c>
      <c r="C65" s="2830">
        <v>0.2</v>
      </c>
      <c r="D65" s="2830">
        <v>0.2</v>
      </c>
      <c r="E65" s="2830">
        <v>0.2</v>
      </c>
      <c r="F65" s="2830">
        <v>0.2</v>
      </c>
      <c r="G65" s="2830">
        <v>0.1</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70" spans="1:7" ht="19.5" customHeight="1">
      <c r="A70" s="2844"/>
      <c r="B70" s="2863"/>
      <c r="C70" s="2863"/>
      <c r="D70" s="2863" t="s">
        <v>2641</v>
      </c>
      <c r="E70" s="2863"/>
      <c r="F70" s="2863"/>
    </row>
    <row r="71" spans="1:7" ht="19.5" customHeight="1">
      <c r="A71" s="2856" t="s">
        <v>2642</v>
      </c>
      <c r="B71" s="2856" t="s">
        <v>2643</v>
      </c>
      <c r="C71" s="2856" t="s">
        <v>2644</v>
      </c>
      <c r="D71" s="2856" t="s">
        <v>2645</v>
      </c>
      <c r="E71" s="2856" t="s">
        <v>2646</v>
      </c>
      <c r="F71" s="2856" t="s">
        <v>2647</v>
      </c>
    </row>
    <row r="72" spans="1:7" ht="14.4">
      <c r="A72" s="2856"/>
      <c r="B72" s="2856"/>
      <c r="C72" s="2856" t="s">
        <v>2648</v>
      </c>
      <c r="D72" s="2856"/>
      <c r="E72" s="2856" t="s">
        <v>2619</v>
      </c>
      <c r="F72" s="2856" t="s">
        <v>2619</v>
      </c>
    </row>
    <row r="73" spans="1:7" ht="14.4">
      <c r="A73" s="2856">
        <v>1</v>
      </c>
      <c r="B73" s="3497" t="s">
        <v>2649</v>
      </c>
      <c r="C73" s="2830" t="s">
        <v>2650</v>
      </c>
      <c r="D73" s="2830" t="s">
        <v>2651</v>
      </c>
      <c r="E73" s="2856">
        <v>0.2</v>
      </c>
      <c r="F73" s="2856">
        <v>25</v>
      </c>
    </row>
    <row r="74" spans="1:7" ht="24">
      <c r="A74" s="2856">
        <v>2</v>
      </c>
      <c r="B74" s="3492"/>
      <c r="C74" s="2830" t="s">
        <v>2652</v>
      </c>
      <c r="D74" s="2830" t="s">
        <v>2653</v>
      </c>
      <c r="E74" s="2856">
        <v>0.2</v>
      </c>
      <c r="F74" s="2856">
        <v>25</v>
      </c>
    </row>
    <row r="75" spans="1:7" ht="24">
      <c r="A75" s="2856">
        <v>3</v>
      </c>
      <c r="B75" s="3492"/>
      <c r="C75" s="2830" t="s">
        <v>2654</v>
      </c>
      <c r="D75" s="2830" t="s">
        <v>2655</v>
      </c>
      <c r="E75" s="2856">
        <v>0.2</v>
      </c>
      <c r="F75" s="2856">
        <v>25</v>
      </c>
    </row>
    <row r="76" spans="1:7" ht="14.4">
      <c r="A76" s="2856">
        <v>4</v>
      </c>
      <c r="B76" s="3492"/>
      <c r="C76" s="2830" t="s">
        <v>2656</v>
      </c>
      <c r="D76" s="2830" t="s">
        <v>2657</v>
      </c>
      <c r="E76" s="2856">
        <v>0.15</v>
      </c>
      <c r="F76" s="2856">
        <v>20</v>
      </c>
    </row>
    <row r="77" spans="1:7" ht="24">
      <c r="A77" s="2856">
        <v>5</v>
      </c>
      <c r="B77" s="3492"/>
      <c r="C77" s="2830" t="s">
        <v>2658</v>
      </c>
      <c r="D77" s="2830" t="s">
        <v>2659</v>
      </c>
      <c r="E77" s="2856">
        <v>0.15</v>
      </c>
      <c r="F77" s="2856">
        <v>20</v>
      </c>
    </row>
    <row r="78" spans="1:7" ht="24">
      <c r="A78" s="2856">
        <v>6</v>
      </c>
      <c r="B78" s="3492"/>
      <c r="C78" s="2830" t="s">
        <v>2660</v>
      </c>
      <c r="D78" s="2830" t="s">
        <v>2661</v>
      </c>
      <c r="E78" s="2856">
        <v>0.15</v>
      </c>
      <c r="F78" s="2856">
        <v>20</v>
      </c>
    </row>
    <row r="79" spans="1:7" ht="24">
      <c r="A79" s="2856">
        <v>7</v>
      </c>
      <c r="B79" s="3492"/>
      <c r="C79" s="2830" t="s">
        <v>2662</v>
      </c>
      <c r="D79" s="2830" t="s">
        <v>2663</v>
      </c>
      <c r="E79" s="2856">
        <v>0.15</v>
      </c>
      <c r="F79" s="2856">
        <v>20</v>
      </c>
    </row>
    <row r="80" spans="1:7" ht="24">
      <c r="A80" s="2856">
        <v>8</v>
      </c>
      <c r="B80" s="3492"/>
      <c r="C80" s="2830" t="s">
        <v>2664</v>
      </c>
      <c r="D80" s="2830" t="s">
        <v>2665</v>
      </c>
      <c r="E80" s="2856">
        <v>0.1</v>
      </c>
      <c r="F80" s="2856">
        <v>15</v>
      </c>
    </row>
    <row r="81" spans="1:6" ht="24">
      <c r="A81" s="2856">
        <v>9</v>
      </c>
      <c r="B81" s="3492"/>
      <c r="C81" s="2830" t="s">
        <v>2666</v>
      </c>
      <c r="D81" s="2830" t="s">
        <v>2667</v>
      </c>
      <c r="E81" s="2856">
        <v>0.1</v>
      </c>
      <c r="F81" s="2856">
        <v>15</v>
      </c>
    </row>
    <row r="82" spans="1:6" ht="24">
      <c r="A82" s="2856">
        <v>10</v>
      </c>
      <c r="B82" s="3492"/>
      <c r="C82" s="2830" t="s">
        <v>2668</v>
      </c>
      <c r="D82" s="2830" t="s">
        <v>2669</v>
      </c>
      <c r="E82" s="2856">
        <v>0.1</v>
      </c>
      <c r="F82" s="2856">
        <v>15</v>
      </c>
    </row>
    <row r="83" spans="1:6" ht="24">
      <c r="A83" s="2856">
        <v>11</v>
      </c>
      <c r="B83" s="3492"/>
      <c r="C83" s="2830" t="s">
        <v>2670</v>
      </c>
      <c r="D83" s="2830" t="s">
        <v>2671</v>
      </c>
      <c r="E83" s="2856">
        <v>0.1</v>
      </c>
      <c r="F83" s="2856">
        <v>15</v>
      </c>
    </row>
    <row r="84" spans="1:6" ht="24">
      <c r="A84" s="2856">
        <v>12</v>
      </c>
      <c r="B84" s="3492"/>
      <c r="C84" s="2830" t="s">
        <v>2672</v>
      </c>
      <c r="D84" s="2830" t="s">
        <v>2673</v>
      </c>
      <c r="E84" s="2856">
        <v>0.1</v>
      </c>
      <c r="F84" s="2856">
        <v>15</v>
      </c>
    </row>
    <row r="85" spans="1:6" ht="24">
      <c r="A85" s="2856">
        <v>13</v>
      </c>
      <c r="B85" s="3492"/>
      <c r="C85" s="2830" t="s">
        <v>2674</v>
      </c>
      <c r="D85" s="2830" t="s">
        <v>2675</v>
      </c>
      <c r="E85" s="2856">
        <v>0.1</v>
      </c>
      <c r="F85" s="2856">
        <v>15</v>
      </c>
    </row>
    <row r="86" spans="1:6" ht="24">
      <c r="A86" s="2856">
        <v>14</v>
      </c>
      <c r="B86" s="3492"/>
      <c r="C86" s="2830" t="s">
        <v>2676</v>
      </c>
      <c r="D86" s="2830" t="s">
        <v>2677</v>
      </c>
      <c r="E86" s="2856">
        <v>0.1</v>
      </c>
      <c r="F86" s="2856">
        <v>15</v>
      </c>
    </row>
    <row r="87" spans="1:6" ht="24">
      <c r="A87" s="2856">
        <v>15</v>
      </c>
      <c r="B87" s="3492"/>
      <c r="C87" s="2830" t="s">
        <v>2678</v>
      </c>
      <c r="D87" s="2830" t="s">
        <v>2679</v>
      </c>
      <c r="E87" s="2856">
        <v>0.1</v>
      </c>
      <c r="F87" s="2856">
        <v>15</v>
      </c>
    </row>
    <row r="88" spans="1:6" ht="24">
      <c r="A88" s="2856">
        <v>16</v>
      </c>
      <c r="B88" s="3492"/>
      <c r="C88" s="2830" t="s">
        <v>2680</v>
      </c>
      <c r="D88" s="2830" t="s">
        <v>2681</v>
      </c>
      <c r="E88" s="2856">
        <v>0.1</v>
      </c>
      <c r="F88" s="2856">
        <v>15</v>
      </c>
    </row>
    <row r="89" spans="1:6" ht="24">
      <c r="A89" s="2856">
        <v>17</v>
      </c>
      <c r="B89" s="3501"/>
      <c r="C89" s="2830" t="s">
        <v>2682</v>
      </c>
      <c r="D89" s="2830" t="s">
        <v>2683</v>
      </c>
      <c r="E89" s="2856">
        <v>0.1</v>
      </c>
      <c r="F89" s="2856">
        <v>15</v>
      </c>
    </row>
    <row r="90" spans="1:6" ht="14.4">
      <c r="A90" s="2856">
        <v>18</v>
      </c>
      <c r="B90" s="3497" t="s">
        <v>2684</v>
      </c>
      <c r="C90" s="2830" t="s">
        <v>2685</v>
      </c>
      <c r="D90" s="2830" t="s">
        <v>2686</v>
      </c>
      <c r="E90" s="2856">
        <v>0.2</v>
      </c>
      <c r="F90" s="2856">
        <v>25</v>
      </c>
    </row>
    <row r="91" spans="1:6" ht="24">
      <c r="A91" s="2856">
        <v>19</v>
      </c>
      <c r="B91" s="3492"/>
      <c r="C91" s="2830" t="s">
        <v>2687</v>
      </c>
      <c r="D91" s="2830" t="s">
        <v>2688</v>
      </c>
      <c r="E91" s="2856">
        <v>0.2</v>
      </c>
      <c r="F91" s="2856">
        <v>25</v>
      </c>
    </row>
    <row r="92" spans="1:6" ht="14.4">
      <c r="A92" s="2856">
        <v>20</v>
      </c>
      <c r="B92" s="3492"/>
      <c r="C92" s="2830" t="s">
        <v>2689</v>
      </c>
      <c r="D92" s="2830" t="s">
        <v>2690</v>
      </c>
      <c r="E92" s="2856">
        <v>0.15</v>
      </c>
      <c r="F92" s="2856">
        <v>20</v>
      </c>
    </row>
    <row r="93" spans="1:6" ht="24">
      <c r="A93" s="2856">
        <v>21</v>
      </c>
      <c r="B93" s="3492"/>
      <c r="C93" s="2830" t="s">
        <v>2691</v>
      </c>
      <c r="D93" s="2830" t="s">
        <v>2692</v>
      </c>
      <c r="E93" s="2856">
        <v>0.15</v>
      </c>
      <c r="F93" s="2856">
        <v>20</v>
      </c>
    </row>
    <row r="94" spans="1:6" ht="24">
      <c r="A94" s="2856">
        <v>22</v>
      </c>
      <c r="B94" s="3492"/>
      <c r="C94" s="2830" t="s">
        <v>2693</v>
      </c>
      <c r="D94" s="2830" t="s">
        <v>2694</v>
      </c>
      <c r="E94" s="2856">
        <v>0.15</v>
      </c>
      <c r="F94" s="2856">
        <v>20</v>
      </c>
    </row>
    <row r="95" spans="1:6" ht="36">
      <c r="A95" s="2856">
        <v>23</v>
      </c>
      <c r="B95" s="3492"/>
      <c r="C95" s="2830" t="s">
        <v>2695</v>
      </c>
      <c r="D95" s="2830" t="s">
        <v>2696</v>
      </c>
      <c r="E95" s="2856">
        <v>0.15</v>
      </c>
      <c r="F95" s="2856">
        <v>20</v>
      </c>
    </row>
    <row r="96" spans="1:6" ht="24">
      <c r="A96" s="2856">
        <v>24</v>
      </c>
      <c r="B96" s="3492"/>
      <c r="C96" s="2830" t="s">
        <v>2697</v>
      </c>
      <c r="D96" s="2830" t="s">
        <v>2698</v>
      </c>
      <c r="E96" s="2856">
        <v>0.1</v>
      </c>
      <c r="F96" s="2856">
        <v>15</v>
      </c>
    </row>
    <row r="97" spans="1:6" ht="24">
      <c r="A97" s="2856">
        <v>25</v>
      </c>
      <c r="B97" s="3492"/>
      <c r="C97" s="2830" t="s">
        <v>2699</v>
      </c>
      <c r="D97" s="2830" t="s">
        <v>2700</v>
      </c>
      <c r="E97" s="2856">
        <v>0.1</v>
      </c>
      <c r="F97" s="2856">
        <v>15</v>
      </c>
    </row>
    <row r="98" spans="1:6" ht="24">
      <c r="A98" s="2856">
        <v>26</v>
      </c>
      <c r="B98" s="3492"/>
      <c r="C98" s="2830" t="s">
        <v>2701</v>
      </c>
      <c r="D98" s="2830" t="s">
        <v>2702</v>
      </c>
      <c r="E98" s="2856">
        <v>0.1</v>
      </c>
      <c r="F98" s="2856">
        <v>15</v>
      </c>
    </row>
    <row r="99" spans="1:6" ht="24">
      <c r="A99" s="2856">
        <v>27</v>
      </c>
      <c r="B99" s="3492"/>
      <c r="C99" s="2830" t="s">
        <v>2703</v>
      </c>
      <c r="D99" s="2830" t="s">
        <v>2704</v>
      </c>
      <c r="E99" s="2856">
        <v>0.1</v>
      </c>
      <c r="F99" s="2856">
        <v>15</v>
      </c>
    </row>
    <row r="100" spans="1:6" ht="24">
      <c r="A100" s="2856">
        <v>28</v>
      </c>
      <c r="B100" s="3492"/>
      <c r="C100" s="2830" t="s">
        <v>2705</v>
      </c>
      <c r="D100" s="2830" t="s">
        <v>2706</v>
      </c>
      <c r="E100" s="2856">
        <v>0.1</v>
      </c>
      <c r="F100" s="2856">
        <v>15</v>
      </c>
    </row>
    <row r="101" spans="1:6" ht="24">
      <c r="A101" s="2856">
        <v>29</v>
      </c>
      <c r="B101" s="3492"/>
      <c r="C101" s="2830" t="s">
        <v>2707</v>
      </c>
      <c r="D101" s="2830" t="s">
        <v>2708</v>
      </c>
      <c r="E101" s="2856">
        <v>0.1</v>
      </c>
      <c r="F101" s="2856">
        <v>15</v>
      </c>
    </row>
    <row r="102" spans="1:6" ht="24">
      <c r="A102" s="2856">
        <v>30</v>
      </c>
      <c r="B102" s="3492"/>
      <c r="C102" s="2830" t="s">
        <v>2709</v>
      </c>
      <c r="D102" s="2830" t="s">
        <v>2710</v>
      </c>
      <c r="E102" s="2856">
        <v>0.1</v>
      </c>
      <c r="F102" s="2856">
        <v>15</v>
      </c>
    </row>
    <row r="103" spans="1:6" ht="24">
      <c r="A103" s="2856">
        <v>31</v>
      </c>
      <c r="B103" s="3492"/>
      <c r="C103" s="2830" t="s">
        <v>2711</v>
      </c>
      <c r="D103" s="2830" t="s">
        <v>2712</v>
      </c>
      <c r="E103" s="2856">
        <v>0.1</v>
      </c>
      <c r="F103" s="2856">
        <v>15</v>
      </c>
    </row>
    <row r="104" spans="1:6" ht="24">
      <c r="A104" s="2856">
        <v>32</v>
      </c>
      <c r="B104" s="3492"/>
      <c r="C104" s="2830" t="s">
        <v>2713</v>
      </c>
      <c r="D104" s="2830" t="s">
        <v>2714</v>
      </c>
      <c r="E104" s="2856">
        <v>0.1</v>
      </c>
      <c r="F104" s="2856">
        <v>15</v>
      </c>
    </row>
    <row r="105" spans="1:6" ht="24">
      <c r="A105" s="2856">
        <v>33</v>
      </c>
      <c r="B105" s="3492"/>
      <c r="C105" s="2830" t="s">
        <v>2715</v>
      </c>
      <c r="D105" s="2830" t="s">
        <v>2716</v>
      </c>
      <c r="E105" s="2856">
        <v>0.1</v>
      </c>
      <c r="F105" s="2856">
        <v>15</v>
      </c>
    </row>
    <row r="106" spans="1:6" ht="24">
      <c r="A106" s="2856">
        <v>34</v>
      </c>
      <c r="B106" s="3501"/>
      <c r="C106" s="2830" t="s">
        <v>2717</v>
      </c>
      <c r="D106" s="2830" t="s">
        <v>2718</v>
      </c>
      <c r="E106" s="2856">
        <v>0.1</v>
      </c>
      <c r="F106" s="2856">
        <v>15</v>
      </c>
    </row>
    <row r="107" spans="1:6" ht="36">
      <c r="A107" s="2856">
        <v>35</v>
      </c>
      <c r="B107" s="3497" t="s">
        <v>2719</v>
      </c>
      <c r="C107" s="2856" t="s">
        <v>2720</v>
      </c>
      <c r="D107" s="2830" t="s">
        <v>2721</v>
      </c>
      <c r="E107" s="2856">
        <v>0.15</v>
      </c>
      <c r="F107" s="2856">
        <v>20</v>
      </c>
    </row>
    <row r="108" spans="1:6" ht="24">
      <c r="A108" s="2856">
        <v>36</v>
      </c>
      <c r="B108" s="3492"/>
      <c r="C108" s="2856" t="s">
        <v>2722</v>
      </c>
      <c r="D108" s="2830" t="s">
        <v>2723</v>
      </c>
      <c r="E108" s="2856">
        <v>0.15</v>
      </c>
      <c r="F108" s="2856">
        <v>20</v>
      </c>
    </row>
    <row r="109" spans="1:6" ht="24">
      <c r="A109" s="2856">
        <v>37</v>
      </c>
      <c r="B109" s="3492"/>
      <c r="C109" s="2856" t="s">
        <v>2724</v>
      </c>
      <c r="D109" s="2830" t="s">
        <v>2725</v>
      </c>
      <c r="E109" s="2856">
        <v>0.15</v>
      </c>
      <c r="F109" s="2856">
        <v>20</v>
      </c>
    </row>
    <row r="110" spans="1:6" ht="24">
      <c r="A110" s="2856">
        <v>38</v>
      </c>
      <c r="B110" s="3492"/>
      <c r="C110" s="2856" t="s">
        <v>2726</v>
      </c>
      <c r="D110" s="2830" t="s">
        <v>2727</v>
      </c>
      <c r="E110" s="2856">
        <v>0.1</v>
      </c>
      <c r="F110" s="2856">
        <v>15</v>
      </c>
    </row>
    <row r="111" spans="1:6" ht="24">
      <c r="A111" s="2856">
        <v>39</v>
      </c>
      <c r="B111" s="3492"/>
      <c r="C111" s="2856" t="s">
        <v>2728</v>
      </c>
      <c r="D111" s="2830" t="s">
        <v>2729</v>
      </c>
      <c r="E111" s="2856">
        <v>0.1</v>
      </c>
      <c r="F111" s="2856">
        <v>15</v>
      </c>
    </row>
    <row r="112" spans="1:6" ht="24">
      <c r="A112" s="2856">
        <v>40</v>
      </c>
      <c r="B112" s="3501"/>
      <c r="C112" s="2856" t="s">
        <v>2730</v>
      </c>
      <c r="D112" s="2830" t="s">
        <v>2731</v>
      </c>
      <c r="E112" s="2856">
        <v>0.1</v>
      </c>
      <c r="F112" s="2856">
        <v>15</v>
      </c>
    </row>
    <row r="113" spans="1:6" ht="24">
      <c r="A113" s="2856">
        <v>41</v>
      </c>
      <c r="B113" s="3502" t="s">
        <v>2732</v>
      </c>
      <c r="C113" s="2856" t="s">
        <v>2733</v>
      </c>
      <c r="D113" s="2830" t="s">
        <v>2734</v>
      </c>
      <c r="E113" s="2856">
        <v>0.1</v>
      </c>
      <c r="F113" s="2856">
        <v>15</v>
      </c>
    </row>
    <row r="114" spans="1:6" ht="24">
      <c r="A114" s="2856">
        <v>42</v>
      </c>
      <c r="B114" s="3502"/>
      <c r="C114" s="2856" t="s">
        <v>2735</v>
      </c>
      <c r="D114" s="2830" t="s">
        <v>2736</v>
      </c>
      <c r="E114" s="2856">
        <v>0.1</v>
      </c>
      <c r="F114" s="2856">
        <v>15</v>
      </c>
    </row>
    <row r="115" spans="1:6" ht="24">
      <c r="A115" s="2856">
        <v>43</v>
      </c>
      <c r="B115" s="3502"/>
      <c r="C115" s="2856" t="s">
        <v>2737</v>
      </c>
      <c r="D115" s="2830" t="s">
        <v>2738</v>
      </c>
      <c r="E115" s="2856">
        <v>0.1</v>
      </c>
      <c r="F115" s="2856">
        <v>15</v>
      </c>
    </row>
    <row r="116" spans="1:6" ht="24">
      <c r="A116" s="2856">
        <v>44</v>
      </c>
      <c r="B116" s="3497" t="s">
        <v>2739</v>
      </c>
      <c r="C116" s="2856" t="s">
        <v>2740</v>
      </c>
      <c r="D116" s="2830" t="s">
        <v>2741</v>
      </c>
      <c r="E116" s="2856">
        <v>0.1</v>
      </c>
      <c r="F116" s="2856">
        <v>15</v>
      </c>
    </row>
    <row r="117" spans="1:6" ht="24">
      <c r="A117" s="2856">
        <v>45</v>
      </c>
      <c r="B117" s="3501"/>
      <c r="C117" s="2830" t="s">
        <v>2742</v>
      </c>
      <c r="D117" s="2830" t="s">
        <v>2743</v>
      </c>
      <c r="E117" s="2856">
        <v>0.1</v>
      </c>
      <c r="F117" s="2856">
        <v>15</v>
      </c>
    </row>
    <row r="118" spans="1:6" ht="24">
      <c r="A118" s="2856">
        <v>46</v>
      </c>
      <c r="B118" s="3497" t="s">
        <v>2744</v>
      </c>
      <c r="C118" s="2856" t="s">
        <v>2745</v>
      </c>
      <c r="D118" s="2830" t="s">
        <v>2746</v>
      </c>
      <c r="E118" s="2856">
        <v>0.1</v>
      </c>
      <c r="F118" s="2856">
        <v>15</v>
      </c>
    </row>
    <row r="119" spans="1:6" ht="24">
      <c r="A119" s="2856">
        <v>47</v>
      </c>
      <c r="B119" s="3501"/>
      <c r="C119" s="2856" t="s">
        <v>2747</v>
      </c>
      <c r="D119" s="2830" t="s">
        <v>2748</v>
      </c>
      <c r="E119" s="2856">
        <v>0.1</v>
      </c>
      <c r="F119" s="2856">
        <v>15</v>
      </c>
    </row>
    <row r="120" spans="1:6" ht="24">
      <c r="A120" s="2856">
        <v>48</v>
      </c>
      <c r="B120" s="3497" t="s">
        <v>2749</v>
      </c>
      <c r="C120" s="2856" t="s">
        <v>2750</v>
      </c>
      <c r="D120" s="2830" t="s">
        <v>2751</v>
      </c>
      <c r="E120" s="2856">
        <v>0.1</v>
      </c>
      <c r="F120" s="2856">
        <v>15</v>
      </c>
    </row>
    <row r="121" spans="1:6" ht="24">
      <c r="A121" s="2856">
        <v>49</v>
      </c>
      <c r="B121" s="3501"/>
      <c r="C121" s="2856" t="s">
        <v>2752</v>
      </c>
      <c r="D121" s="2830" t="s">
        <v>2753</v>
      </c>
      <c r="E121" s="2856">
        <v>0.1</v>
      </c>
      <c r="F121" s="2856">
        <v>15</v>
      </c>
    </row>
    <row r="122" spans="1:6" ht="24">
      <c r="A122" s="2856">
        <v>50</v>
      </c>
      <c r="B122" s="3502" t="s">
        <v>2754</v>
      </c>
      <c r="C122" s="2856" t="s">
        <v>2755</v>
      </c>
      <c r="D122" s="2830" t="s">
        <v>2756</v>
      </c>
      <c r="E122" s="2856">
        <v>0.1</v>
      </c>
      <c r="F122" s="2856">
        <v>15</v>
      </c>
    </row>
    <row r="123" spans="1:6" ht="24">
      <c r="A123" s="2856">
        <v>51</v>
      </c>
      <c r="B123" s="3502"/>
      <c r="C123" s="2856" t="s">
        <v>2757</v>
      </c>
      <c r="D123" s="2830" t="s">
        <v>2758</v>
      </c>
      <c r="E123" s="2856">
        <v>0.1</v>
      </c>
      <c r="F123" s="2856">
        <v>15</v>
      </c>
    </row>
    <row r="124" spans="1:6" ht="24">
      <c r="A124" s="2856">
        <v>52</v>
      </c>
      <c r="B124" s="3502" t="s">
        <v>2759</v>
      </c>
      <c r="C124" s="2856" t="s">
        <v>2760</v>
      </c>
      <c r="D124" s="2830" t="s">
        <v>2761</v>
      </c>
      <c r="E124" s="2856">
        <v>0.1</v>
      </c>
      <c r="F124" s="2856">
        <v>15</v>
      </c>
    </row>
    <row r="125" spans="1:6" ht="24">
      <c r="A125" s="2856">
        <v>53</v>
      </c>
      <c r="B125" s="3502"/>
      <c r="C125" s="2856" t="s">
        <v>2762</v>
      </c>
      <c r="D125" s="2830" t="s">
        <v>2763</v>
      </c>
      <c r="E125" s="2856">
        <v>0.1</v>
      </c>
      <c r="F125" s="2856">
        <v>15</v>
      </c>
    </row>
    <row r="126" spans="1:6" ht="24">
      <c r="A126" s="2856">
        <v>54</v>
      </c>
      <c r="B126" s="2856" t="s">
        <v>2764</v>
      </c>
      <c r="C126" s="2856" t="s">
        <v>2765</v>
      </c>
      <c r="D126" s="2830" t="s">
        <v>2766</v>
      </c>
      <c r="E126" s="2856">
        <v>0.1</v>
      </c>
      <c r="F126" s="2856">
        <v>15</v>
      </c>
    </row>
    <row r="127" spans="1:6" ht="24">
      <c r="A127" s="2856">
        <v>55</v>
      </c>
      <c r="B127" s="3502" t="s">
        <v>2767</v>
      </c>
      <c r="C127" s="2856" t="s">
        <v>2768</v>
      </c>
      <c r="D127" s="2830" t="s">
        <v>2769</v>
      </c>
      <c r="E127" s="2856">
        <v>0.1</v>
      </c>
      <c r="F127" s="2856">
        <v>15</v>
      </c>
    </row>
    <row r="128" spans="1:6" ht="24">
      <c r="A128" s="2856">
        <v>56</v>
      </c>
      <c r="B128" s="3502"/>
      <c r="C128" s="2856" t="s">
        <v>2770</v>
      </c>
      <c r="D128" s="2830" t="s">
        <v>2771</v>
      </c>
      <c r="E128" s="2856">
        <v>0.1</v>
      </c>
      <c r="F128" s="2856">
        <v>15</v>
      </c>
    </row>
    <row r="129" spans="1:6" ht="24">
      <c r="A129" s="2856">
        <v>57</v>
      </c>
      <c r="B129" s="3502"/>
      <c r="C129" s="2856" t="s">
        <v>2772</v>
      </c>
      <c r="D129" s="2830" t="s">
        <v>2773</v>
      </c>
      <c r="E129" s="2856">
        <v>0.1</v>
      </c>
      <c r="F129" s="2856">
        <v>15</v>
      </c>
    </row>
    <row r="130" spans="1:6" ht="24">
      <c r="A130" s="2856">
        <v>58</v>
      </c>
      <c r="B130" s="3502" t="s">
        <v>2774</v>
      </c>
      <c r="C130" s="2856" t="s">
        <v>2775</v>
      </c>
      <c r="D130" s="2830" t="s">
        <v>2776</v>
      </c>
      <c r="E130" s="2856">
        <v>0.1</v>
      </c>
      <c r="F130" s="2856">
        <v>15</v>
      </c>
    </row>
    <row r="131" spans="1:6" ht="24">
      <c r="A131" s="2856">
        <v>59</v>
      </c>
      <c r="B131" s="3502"/>
      <c r="C131" s="2856" t="s">
        <v>2777</v>
      </c>
      <c r="D131" s="2830" t="s">
        <v>2778</v>
      </c>
      <c r="E131" s="2856">
        <v>0.1</v>
      </c>
      <c r="F131" s="2856">
        <v>15</v>
      </c>
    </row>
    <row r="132" spans="1:6" ht="24">
      <c r="A132" s="2856">
        <v>60</v>
      </c>
      <c r="B132" s="3497" t="s">
        <v>2779</v>
      </c>
      <c r="C132" s="2856" t="s">
        <v>2780</v>
      </c>
      <c r="D132" s="2830" t="s">
        <v>2781</v>
      </c>
      <c r="E132" s="2856">
        <v>0.1</v>
      </c>
      <c r="F132" s="2856">
        <v>15</v>
      </c>
    </row>
    <row r="133" spans="1:6" ht="24">
      <c r="A133" s="2856">
        <v>61</v>
      </c>
      <c r="B133" s="3501"/>
      <c r="C133" s="2856" t="s">
        <v>2782</v>
      </c>
      <c r="D133" s="2830" t="s">
        <v>2783</v>
      </c>
      <c r="E133" s="2856">
        <v>0.1</v>
      </c>
      <c r="F133" s="2856">
        <v>15</v>
      </c>
    </row>
    <row r="134" spans="1:6" ht="24">
      <c r="A134" s="2856">
        <v>62</v>
      </c>
      <c r="B134" s="2856" t="s">
        <v>2784</v>
      </c>
      <c r="C134" s="2856" t="s">
        <v>2785</v>
      </c>
      <c r="D134" s="2830" t="s">
        <v>2786</v>
      </c>
      <c r="E134" s="2856">
        <v>0.1</v>
      </c>
      <c r="F134" s="2856">
        <v>15</v>
      </c>
    </row>
    <row r="135" spans="1:6" ht="24">
      <c r="A135" s="2856">
        <v>63</v>
      </c>
      <c r="B135" s="3502" t="s">
        <v>2787</v>
      </c>
      <c r="C135" s="2856" t="s">
        <v>2788</v>
      </c>
      <c r="D135" s="2830" t="s">
        <v>2789</v>
      </c>
      <c r="E135" s="2856">
        <v>0.1</v>
      </c>
      <c r="F135" s="2856">
        <v>15</v>
      </c>
    </row>
    <row r="136" spans="1:6" ht="24">
      <c r="A136" s="2856">
        <v>64</v>
      </c>
      <c r="B136" s="3502"/>
      <c r="C136" s="2856" t="s">
        <v>2790</v>
      </c>
      <c r="D136" s="2830" t="s">
        <v>2791</v>
      </c>
      <c r="E136" s="2856">
        <v>0.1</v>
      </c>
      <c r="F136" s="2856">
        <v>15</v>
      </c>
    </row>
    <row r="137" spans="1:6" ht="24">
      <c r="A137" s="2856">
        <v>65</v>
      </c>
      <c r="B137" s="2856" t="s">
        <v>2792</v>
      </c>
      <c r="C137" s="2856" t="s">
        <v>2793</v>
      </c>
      <c r="D137" s="2830" t="s">
        <v>2794</v>
      </c>
      <c r="E137" s="2856">
        <v>0.1</v>
      </c>
      <c r="F137" s="2856">
        <v>15</v>
      </c>
    </row>
    <row r="138" spans="1:6" ht="14.4">
      <c r="A138" s="2856"/>
      <c r="B138" s="2856"/>
      <c r="C138" s="2856"/>
      <c r="D138" s="2856"/>
      <c r="E138" s="2856" t="s">
        <v>2795</v>
      </c>
      <c r="F138" s="285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91"/>
      <c r="B4" s="3186" t="s">
        <v>917</v>
      </c>
      <c r="C4" s="3186"/>
      <c r="D4" s="3186"/>
      <c r="E4" s="1391"/>
    </row>
    <row r="5" spans="1:5" ht="16.2" thickTop="1">
      <c r="B5" s="3184" t="s">
        <v>909</v>
      </c>
      <c r="C5" s="1392" t="s">
        <v>910</v>
      </c>
      <c r="D5" s="797">
        <f ca="1">结果表!H101</f>
        <v>573</v>
      </c>
    </row>
    <row r="6" spans="1:5" ht="15.6">
      <c r="B6" s="3184"/>
      <c r="C6" s="1392" t="s">
        <v>911</v>
      </c>
      <c r="D6" s="797" t="str">
        <f ca="1">NUMBERSTRING(INT(D5*10000),2)&amp;"元整"</f>
        <v>伍佰柒拾叁万元整</v>
      </c>
    </row>
    <row r="7" spans="1:5" ht="15.6">
      <c r="B7" s="3189"/>
      <c r="C7" s="1393" t="s">
        <v>912</v>
      </c>
      <c r="D7" s="798">
        <f ca="1">结果表!H102</f>
        <v>13001</v>
      </c>
    </row>
    <row r="8" spans="1:5" ht="15.6">
      <c r="B8" s="3190" t="str">
        <f>结果表!E103</f>
        <v>2.估价师知悉的法定优先受偿款</v>
      </c>
      <c r="C8" s="1394" t="s">
        <v>913</v>
      </c>
      <c r="D8" s="798">
        <f>结果表!H103</f>
        <v>0</v>
      </c>
    </row>
    <row r="9" spans="1:5" ht="15.6">
      <c r="B9" s="319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3" t="str">
        <f>结果表!E107</f>
        <v>3.房地产抵押价值</v>
      </c>
      <c r="C13" s="1397" t="s">
        <v>910</v>
      </c>
      <c r="D13" s="800">
        <f ca="1">结果表!H107</f>
        <v>573</v>
      </c>
    </row>
    <row r="14" spans="1:5" ht="15.6">
      <c r="B14" s="3184"/>
      <c r="C14" s="1392" t="s">
        <v>911</v>
      </c>
      <c r="D14" s="797" t="str">
        <f ca="1">NUMBERSTRING(INT(D13*10000),2)&amp;"元整"</f>
        <v>伍佰柒拾叁万元整</v>
      </c>
    </row>
    <row r="15" spans="1:5" ht="15.6">
      <c r="B15" s="3189"/>
      <c r="C15" s="1393" t="s">
        <v>921</v>
      </c>
      <c r="D15" s="806">
        <f ca="1">结果表!H108</f>
        <v>13001</v>
      </c>
    </row>
    <row r="16" spans="1:5" ht="15.6">
      <c r="B16" s="3190" t="str">
        <f>结果表!E109</f>
        <v>——</v>
      </c>
      <c r="C16" s="1397" t="s">
        <v>922</v>
      </c>
      <c r="D16" s="1398" t="str">
        <f>结果表!H109</f>
        <v>——</v>
      </c>
    </row>
    <row r="17" spans="1:5" ht="15.6">
      <c r="B17" s="3191"/>
      <c r="C17" s="1392" t="s">
        <v>923</v>
      </c>
      <c r="D17" s="797" t="e">
        <f>NUMBERSTRING(INT(D16*10000),2)&amp;"元整"</f>
        <v>#VALUE!</v>
      </c>
    </row>
    <row r="18" spans="1:5" ht="15.6">
      <c r="B18" s="3192"/>
      <c r="C18" s="1393" t="s">
        <v>912</v>
      </c>
      <c r="D18" s="806" t="str">
        <f>结果表!H110</f>
        <v>——</v>
      </c>
    </row>
    <row r="19" spans="1:5" ht="15.6">
      <c r="B19" s="3183" t="str">
        <f>结果表!E111</f>
        <v>——</v>
      </c>
      <c r="C19" s="1397" t="s">
        <v>910</v>
      </c>
      <c r="D19" s="798" t="str">
        <f>结果表!H111</f>
        <v>——</v>
      </c>
    </row>
    <row r="20" spans="1:5" ht="15.6">
      <c r="B20" s="3184"/>
      <c r="C20" s="1392" t="s">
        <v>923</v>
      </c>
      <c r="D20" s="797" t="e">
        <f>NUMBERSTRING(INT(D19*10000),2)&amp;"元整"</f>
        <v>#VALUE!</v>
      </c>
    </row>
    <row r="21" spans="1:5" ht="16.2" thickBot="1">
      <c r="B21" s="318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27520</v>
      </c>
      <c r="C2" s="2" t="s">
        <v>106</v>
      </c>
      <c r="D2" s="191"/>
      <c r="E2" s="191"/>
      <c r="F2" s="191"/>
      <c r="G2" s="191"/>
    </row>
    <row r="3" spans="1:7" s="192" customFormat="1" ht="18" customHeight="1" thickBot="1">
      <c r="A3" s="195" t="s">
        <v>58</v>
      </c>
      <c r="B3" s="196">
        <f ca="1">ROUND(B2*10000/'数据-汇总表'!E3,0)</f>
        <v>338824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16</v>
      </c>
      <c r="D10" s="795">
        <f>'数据-汇总表'!E6</f>
        <v>812.22000000000014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812.22000000000014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977</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27239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284</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812.22000000000014</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5.0000000000000001E-4</v>
      </c>
      <c r="D44" s="230"/>
      <c r="E44" s="230"/>
      <c r="F44" s="231"/>
      <c r="G44" s="3366"/>
    </row>
    <row r="45" spans="1:7" s="206" customFormat="1" ht="13.5" customHeight="1">
      <c r="A45" s="731" t="s">
        <v>341</v>
      </c>
      <c r="B45" s="236" t="s">
        <v>85</v>
      </c>
      <c r="C45" s="237">
        <f>C46</f>
        <v>49</v>
      </c>
      <c r="D45" s="227">
        <f>C47</f>
        <v>3.0000000000000001E-3</v>
      </c>
      <c r="E45" s="228" t="s">
        <v>102</v>
      </c>
      <c r="F45" s="238"/>
      <c r="G45" s="239" t="s">
        <v>434</v>
      </c>
    </row>
    <row r="46" spans="1:7" s="206" customFormat="1" ht="13.5" customHeight="1">
      <c r="A46" s="734" t="s">
        <v>349</v>
      </c>
      <c r="B46" s="240" t="s">
        <v>427</v>
      </c>
      <c r="C46" s="241">
        <f>ROUND((C33+C39)*F27,0)</f>
        <v>49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413</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281</v>
      </c>
      <c r="D51" s="224"/>
      <c r="E51" s="224"/>
      <c r="F51" s="256"/>
      <c r="G51" s="226" t="s">
        <v>37</v>
      </c>
    </row>
    <row r="52" spans="1:7" s="200" customFormat="1" ht="16.8" thickBot="1">
      <c r="A52" s="257" t="s">
        <v>38</v>
      </c>
      <c r="B52" s="258"/>
      <c r="C52" s="259">
        <f ca="1">C31+C51</f>
        <v>27520</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3" t="s">
        <v>3179</v>
      </c>
      <c r="B1" s="3503"/>
    </row>
    <row r="2" spans="1:7" ht="15" thickBot="1">
      <c r="A2" s="2967"/>
      <c r="B2" s="2967"/>
    </row>
    <row r="3" spans="1:7" ht="15" thickBot="1">
      <c r="A3" s="2967"/>
      <c r="B3" s="2967"/>
      <c r="C3" s="2968" t="s">
        <v>2809</v>
      </c>
      <c r="D3" s="2968" t="s">
        <v>2865</v>
      </c>
      <c r="E3" s="2968" t="s">
        <v>2811</v>
      </c>
      <c r="F3" s="2968" t="s">
        <v>2866</v>
      </c>
      <c r="G3" s="2968" t="s">
        <v>2629</v>
      </c>
    </row>
    <row r="4" spans="1:7" ht="1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4" t="s">
        <v>3230</v>
      </c>
      <c r="B1" s="3504"/>
      <c r="C1" s="3504"/>
      <c r="D1" s="3504"/>
      <c r="E1" s="3504"/>
      <c r="F1" s="3505"/>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28" zoomScale="90" zoomScaleNormal="90" workbookViewId="0">
      <selection activeCell="E1" sqref="E1:E1048576"/>
    </sheetView>
  </sheetViews>
  <sheetFormatPr defaultRowHeight="14.4"/>
  <cols>
    <col min="1" max="1" width="13.88671875" customWidth="1"/>
    <col min="11" max="17" width="0" hidden="1" customWidth="1"/>
    <col min="25" max="30" width="0" hidden="1" customWidth="1"/>
  </cols>
  <sheetData>
    <row r="1" spans="1:44">
      <c r="A1" s="2936">
        <f>基准地价修正!G23</f>
        <v>45761</v>
      </c>
      <c r="B1" s="2928" t="s">
        <v>3374</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44" s="2010" customFormat="1" ht="1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2817</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3399</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3398</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3372</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3371</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3367</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3366</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3364</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3363</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3362</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3360</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3351</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2818</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2819</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2820</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2821</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3377</v>
      </c>
    </row>
    <row r="27" spans="1:44">
      <c r="I27" s="1405" t="s">
        <v>2823</v>
      </c>
    </row>
    <row r="29" spans="1:44" s="2009" customFormat="1" ht="13.2">
      <c r="B29" s="2928" t="s">
        <v>3375</v>
      </c>
      <c r="C29" s="2929"/>
      <c r="D29" s="2929"/>
      <c r="E29" s="2929"/>
      <c r="F29" s="2929"/>
      <c r="G29" s="2929"/>
      <c r="H29" s="2929"/>
      <c r="I29" s="2929"/>
      <c r="J29" s="2895"/>
      <c r="K29" s="2929" t="s">
        <v>2824</v>
      </c>
      <c r="L29" s="2929"/>
      <c r="M29" s="2929"/>
      <c r="N29" s="2929"/>
      <c r="O29" s="2929"/>
      <c r="P29" s="2929"/>
      <c r="Q29" s="2895"/>
      <c r="R29" s="3506" t="s">
        <v>2825</v>
      </c>
      <c r="S29" s="3507"/>
      <c r="T29" s="3507"/>
      <c r="U29" s="3507"/>
      <c r="V29" s="3507"/>
      <c r="W29" s="3507"/>
      <c r="X29" s="2895"/>
      <c r="Y29" s="3506" t="s">
        <v>2826</v>
      </c>
      <c r="Z29" s="3507"/>
      <c r="AA29" s="3507"/>
      <c r="AB29" s="3507"/>
      <c r="AC29" s="3507"/>
      <c r="AD29" s="3507"/>
    </row>
    <row r="30" spans="1:44" s="2010" customFormat="1" ht="15" thickBot="1">
      <c r="B30" s="2880"/>
      <c r="C30" s="2881"/>
      <c r="D30" s="2011" t="s">
        <v>2827</v>
      </c>
      <c r="E30" s="2012" t="s">
        <v>2828</v>
      </c>
      <c r="F30" s="2012" t="s">
        <v>2829</v>
      </c>
      <c r="G30" s="2012" t="s">
        <v>2830</v>
      </c>
      <c r="H30" s="2012"/>
      <c r="I30" s="2012" t="s">
        <v>2831</v>
      </c>
      <c r="J30" s="2882"/>
      <c r="K30" s="2011" t="s">
        <v>2827</v>
      </c>
      <c r="L30" s="2012" t="s">
        <v>2828</v>
      </c>
      <c r="M30" s="2012" t="s">
        <v>2829</v>
      </c>
      <c r="N30" s="2012" t="s">
        <v>2830</v>
      </c>
      <c r="O30" s="2012"/>
      <c r="P30" s="2012" t="s">
        <v>2831</v>
      </c>
      <c r="Q30" s="2882"/>
      <c r="R30" s="2011" t="s">
        <v>2827</v>
      </c>
      <c r="S30" s="2012" t="s">
        <v>2828</v>
      </c>
      <c r="T30" s="2012" t="s">
        <v>2829</v>
      </c>
      <c r="U30" s="2012" t="s">
        <v>2830</v>
      </c>
      <c r="V30" s="2012"/>
      <c r="W30" s="2012" t="s">
        <v>2831</v>
      </c>
      <c r="X30" s="2882"/>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5" customFormat="1" ht="13.2">
      <c r="A31" s="2883" t="s">
        <v>2832</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3399</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3407</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3373</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3370</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3368</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3366</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3365</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3363</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3362</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3361</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3351</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2833</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2834</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2835</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2836</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9" t="s">
        <v>2837</v>
      </c>
      <c r="B1" s="3519"/>
      <c r="C1" s="3519"/>
      <c r="D1" s="3519"/>
      <c r="E1" s="3519"/>
      <c r="F1" s="3519"/>
      <c r="G1" s="3520"/>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1.4"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7"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1.4" thickBot="1">
      <c r="A4" s="3518"/>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1.4"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1.4"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1.4"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1.4"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6">
      <c r="A3" s="3195"/>
      <c r="B3" s="3195"/>
      <c r="C3" s="3195"/>
      <c r="D3" s="801" t="s">
        <v>925</v>
      </c>
      <c r="E3" s="801" t="s">
        <v>931</v>
      </c>
      <c r="F3" s="801" t="s">
        <v>925</v>
      </c>
      <c r="G3" s="801" t="s">
        <v>926</v>
      </c>
      <c r="H3" s="801" t="s">
        <v>925</v>
      </c>
      <c r="I3" s="801" t="s">
        <v>926</v>
      </c>
    </row>
    <row r="4" spans="1:9" ht="30">
      <c r="A4" s="1403" t="str">
        <f>项目基本情况!S2</f>
        <v>北京市顺义区华英园9号房地产</v>
      </c>
      <c r="B4" s="801">
        <f>项目基本情况!C17</f>
        <v>812.22000000000014</v>
      </c>
      <c r="C4" s="801">
        <f>项目基本情况!C18</f>
        <v>0</v>
      </c>
      <c r="D4" s="801">
        <f>结果表!D118</f>
        <v>0</v>
      </c>
      <c r="E4" s="801">
        <f>结果表!E118</f>
        <v>0</v>
      </c>
      <c r="F4" s="801">
        <f>结果表!F118</f>
        <v>0</v>
      </c>
      <c r="G4" s="801">
        <f>结果表!G118</f>
        <v>0</v>
      </c>
      <c r="H4" s="801">
        <f ca="1">结果表!H118</f>
        <v>573</v>
      </c>
      <c r="I4" s="801">
        <f ca="1">结果表!I118</f>
        <v>13001</v>
      </c>
    </row>
    <row r="5" spans="1:9" ht="30" customHeight="1">
      <c r="A5" s="3195" t="s">
        <v>927</v>
      </c>
      <c r="B5" s="3195"/>
      <c r="C5" s="3195"/>
      <c r="D5" s="3195" t="str">
        <f>结果表!D119</f>
        <v>零元整</v>
      </c>
      <c r="E5" s="3195"/>
      <c r="F5" s="3195" t="str">
        <f>结果表!F119</f>
        <v>零元整</v>
      </c>
      <c r="G5" s="3195"/>
      <c r="H5" s="3195" t="str">
        <f ca="1">结果表!H119</f>
        <v>伍佰柒拾叁万元整</v>
      </c>
      <c r="I5" s="3195"/>
    </row>
    <row r="6" spans="1:9" ht="15.6">
      <c r="A6" s="3196" t="str">
        <f>结果表!A120</f>
        <v>估价师知悉的法定优先受偿款</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6">
      <c r="A8" s="3196" t="str">
        <f>结果表!A122</f>
        <v>房地产抵押价值</v>
      </c>
      <c r="B8" s="3196"/>
      <c r="C8" s="3196"/>
      <c r="D8" s="3196">
        <f ca="1">结果表!D122</f>
        <v>573</v>
      </c>
      <c r="E8" s="3196"/>
      <c r="F8" s="3196"/>
      <c r="G8" s="3196"/>
      <c r="H8" s="3196"/>
      <c r="I8" s="3196"/>
    </row>
    <row r="9" spans="1:9" ht="15">
      <c r="A9" s="3195" t="s">
        <v>927</v>
      </c>
      <c r="B9" s="3195"/>
      <c r="C9" s="3195"/>
      <c r="D9" s="3195" t="str">
        <f ca="1">结果表!D123</f>
        <v>伍佰柒拾叁万元整</v>
      </c>
      <c r="E9" s="3195"/>
      <c r="F9" s="3195"/>
      <c r="G9" s="3195"/>
      <c r="H9" s="3195"/>
      <c r="I9" s="3195"/>
    </row>
    <row r="10" spans="1:9" ht="15.6">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6">
      <c r="A12" s="3196" t="str">
        <f>结果表!A126</f>
        <v/>
      </c>
      <c r="B12" s="3196"/>
      <c r="C12" s="3196"/>
      <c r="D12" s="3196" t="str">
        <f>结果表!D126</f>
        <v>——</v>
      </c>
      <c r="E12" s="3196"/>
      <c r="F12" s="3196"/>
      <c r="G12" s="3196"/>
      <c r="H12" s="3196"/>
      <c r="I12" s="3196"/>
    </row>
    <row r="13" spans="1:9" ht="15.6" thickBot="1">
      <c r="A13" s="3200" t="s">
        <v>927</v>
      </c>
      <c r="B13" s="3200"/>
      <c r="C13" s="3200"/>
      <c r="D13" s="3200" t="e">
        <f>结果表!D127</f>
        <v>#VALUE!</v>
      </c>
      <c r="E13" s="3200"/>
      <c r="F13" s="3200"/>
      <c r="G13" s="3200"/>
      <c r="H13" s="3200"/>
      <c r="I13" s="3200"/>
    </row>
    <row r="14" spans="1:9" ht="14.4" thickTop="1">
      <c r="A14" s="3201" t="s">
        <v>932</v>
      </c>
      <c r="B14" s="3201"/>
      <c r="C14" s="3201"/>
      <c r="D14" s="3201"/>
      <c r="E14" s="3201"/>
      <c r="F14" s="3201"/>
      <c r="G14" s="3201"/>
      <c r="H14" s="3201"/>
      <c r="I14" s="320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6" t="s">
        <v>956</v>
      </c>
      <c r="B15" s="3211" t="s">
        <v>109</v>
      </c>
      <c r="C15" s="3212"/>
    </row>
    <row r="16" spans="1:7" ht="14.4">
      <c r="A16" s="3217"/>
      <c r="B16" s="3211" t="s">
        <v>42</v>
      </c>
      <c r="C16" s="3212"/>
    </row>
    <row r="17" spans="1:3" ht="14.4">
      <c r="A17" s="3217"/>
      <c r="B17" s="3214" t="s">
        <v>957</v>
      </c>
      <c r="C17" s="1429" t="s">
        <v>956</v>
      </c>
    </row>
    <row r="18" spans="1:3" ht="14.4">
      <c r="A18" s="3217"/>
      <c r="B18" s="3214"/>
      <c r="C18" s="1429" t="s">
        <v>958</v>
      </c>
    </row>
    <row r="19" spans="1:3" ht="14.4">
      <c r="A19" s="3217"/>
      <c r="B19" s="3214"/>
      <c r="C19" s="1429" t="s">
        <v>959</v>
      </c>
    </row>
    <row r="20" spans="1:3" ht="14.4">
      <c r="A20" s="3218"/>
      <c r="B20" s="3213" t="s">
        <v>960</v>
      </c>
      <c r="C20" s="3212"/>
    </row>
    <row r="21" spans="1:3" ht="14.4">
      <c r="A21" s="1430" t="s">
        <v>961</v>
      </c>
      <c r="B21" s="1431"/>
      <c r="C21" s="1432"/>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9" t="s">
        <v>967</v>
      </c>
    </row>
    <row r="26" spans="1:3" ht="14.4">
      <c r="A26" s="3215"/>
      <c r="B26" s="3214"/>
      <c r="C26" s="1429" t="s">
        <v>968</v>
      </c>
    </row>
    <row r="27" spans="1:3" ht="14.4">
      <c r="A27" s="3215"/>
      <c r="B27" s="3214"/>
      <c r="C27" s="1429" t="s">
        <v>969</v>
      </c>
    </row>
    <row r="28" spans="1:3" ht="14.4">
      <c r="A28" s="3215"/>
      <c r="B28" s="3214"/>
      <c r="C28" s="1429" t="s">
        <v>970</v>
      </c>
    </row>
    <row r="29" spans="1:3" ht="14.4">
      <c r="A29" s="3215"/>
      <c r="B29" s="3214"/>
      <c r="C29" s="1429" t="s">
        <v>971</v>
      </c>
    </row>
    <row r="30" spans="1:3" ht="14.4">
      <c r="A30" s="3215"/>
      <c r="B30" s="3214"/>
      <c r="C30" s="1429" t="s">
        <v>972</v>
      </c>
    </row>
    <row r="31" spans="1:3" ht="14.4">
      <c r="A31" s="3215"/>
      <c r="B31" s="3214"/>
      <c r="C31" s="1429" t="s">
        <v>973</v>
      </c>
    </row>
    <row r="32" spans="1:3" ht="14.4">
      <c r="A32" s="3215"/>
      <c r="B32" s="3214"/>
      <c r="C32" s="1429" t="s">
        <v>974</v>
      </c>
    </row>
    <row r="33" spans="1:3" ht="14.4">
      <c r="A33" s="3215"/>
      <c r="B33" s="321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45761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2158</v>
      </c>
      <c r="B17" s="3219"/>
      <c r="C17" s="3219"/>
      <c r="D17" s="3219"/>
      <c r="E17" s="3219"/>
      <c r="F17" s="3219"/>
      <c r="G17" s="3219"/>
      <c r="H17" s="3219"/>
    </row>
    <row r="18" spans="1:8" ht="24" customHeight="1">
      <c r="A18" s="3220" t="s">
        <v>2159</v>
      </c>
      <c r="B18" s="3220"/>
      <c r="C18" s="3220"/>
      <c r="D18" s="2160"/>
      <c r="E18" s="3221" t="s">
        <v>2160</v>
      </c>
      <c r="F18" s="3220"/>
      <c r="G18" s="32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面积信息</vt:lpstr>
      <vt:lpstr>案例</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成本法 (元)</vt:lpstr>
      <vt:lpstr>基准地价修正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2025-04-14T05:29:19Z</dcterms:modified>
</cp:coreProperties>
</file>