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71-五里坨西街1号院1号楼\"/>
    </mc:Choice>
  </mc:AlternateContent>
  <bookViews>
    <workbookView xWindow="0" yWindow="0" windowWidth="21450" windowHeight="1708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 (2)" sheetId="84" r:id="rId24"/>
    <sheet name="收益法 (元)" sheetId="67" state="hidden" r:id="rId25"/>
    <sheet name="收益法-酒店模型" sheetId="77" state="hidden" r:id="rId26"/>
    <sheet name="收益法（汇总）" sheetId="70" r:id="rId27"/>
    <sheet name="收益法" sheetId="15" r:id="rId28"/>
    <sheet name="收益法-1"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8">'收益法-1'!$A$1:$F$43,'收益法-1'!$H$3:$M$29,'收益法-1'!$A$46:$F$71,'收益法-1'!$I$46:$N$65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33" i="43" l="1"/>
  <c r="AD7" i="1"/>
  <c r="AD6" i="1"/>
  <c r="AD17" i="1"/>
  <c r="AB7" i="1"/>
  <c r="AA7" i="1"/>
  <c r="Z7" i="1"/>
  <c r="Z6" i="1"/>
  <c r="AF7" i="1"/>
  <c r="AF6" i="1"/>
  <c r="K34" i="82"/>
  <c r="K33" i="82"/>
  <c r="K20" i="82" l="1"/>
  <c r="K19" i="82"/>
  <c r="K18" i="82"/>
  <c r="K17" i="82"/>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N98" i="84"/>
  <c r="M98" i="84"/>
  <c r="K98" i="84"/>
  <c r="J98" i="84"/>
  <c r="D98" i="84"/>
  <c r="M97" i="84"/>
  <c r="N97" i="84" s="1"/>
  <c r="K97" i="84"/>
  <c r="J97" i="84" s="1"/>
  <c r="D97" i="84"/>
  <c r="M96" i="84"/>
  <c r="N96" i="84" s="1"/>
  <c r="K96" i="84"/>
  <c r="J96" i="84" s="1"/>
  <c r="D96" i="84"/>
  <c r="N95" i="84"/>
  <c r="M95" i="84"/>
  <c r="K95" i="84"/>
  <c r="J95" i="84" s="1"/>
  <c r="D95" i="84"/>
  <c r="B95" i="84"/>
  <c r="M94" i="84"/>
  <c r="N94" i="84" s="1"/>
  <c r="K94" i="84"/>
  <c r="J94" i="84" s="1"/>
  <c r="D94" i="84"/>
  <c r="M93" i="84"/>
  <c r="N93" i="84" s="1"/>
  <c r="K93" i="84"/>
  <c r="J93" i="84" s="1"/>
  <c r="F93" i="84"/>
  <c r="H101" i="84" s="1"/>
  <c r="D93" i="84"/>
  <c r="D87" i="84"/>
  <c r="B86" i="84"/>
  <c r="D85" i="84"/>
  <c r="B85" i="84"/>
  <c r="D84" i="84"/>
  <c r="F83" i="84"/>
  <c r="H88" i="84" s="1"/>
  <c r="G88" i="84" s="1"/>
  <c r="D83" i="84"/>
  <c r="N80" i="84"/>
  <c r="M80" i="84"/>
  <c r="K80" i="84"/>
  <c r="J80" i="84" s="1"/>
  <c r="D80" i="84"/>
  <c r="M79" i="84"/>
  <c r="N79" i="84" s="1"/>
  <c r="K79" i="84"/>
  <c r="J79" i="84" s="1"/>
  <c r="D79" i="84"/>
  <c r="M78" i="84"/>
  <c r="N78" i="84" s="1"/>
  <c r="K78" i="84"/>
  <c r="J78" i="84" s="1"/>
  <c r="D78" i="84"/>
  <c r="N77" i="84"/>
  <c r="M77" i="84"/>
  <c r="K77" i="84"/>
  <c r="J77" i="84"/>
  <c r="D77" i="84"/>
  <c r="M76" i="84"/>
  <c r="N76" i="84" s="1"/>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M67" i="84"/>
  <c r="N67" i="84" s="1"/>
  <c r="K67" i="84"/>
  <c r="J67" i="84" s="1"/>
  <c r="D67" i="84"/>
  <c r="M66" i="84"/>
  <c r="N66" i="84" s="1"/>
  <c r="K66" i="84"/>
  <c r="J66" i="84" s="1"/>
  <c r="M65" i="84"/>
  <c r="N65" i="84" s="1"/>
  <c r="K65" i="84"/>
  <c r="J65" i="84" s="1"/>
  <c r="M64" i="84"/>
  <c r="N64" i="84" s="1"/>
  <c r="K64" i="84"/>
  <c r="J64" i="84" s="1"/>
  <c r="M63" i="84"/>
  <c r="N63" i="84" s="1"/>
  <c r="K63" i="84"/>
  <c r="J63" i="84"/>
  <c r="D63" i="84"/>
  <c r="B63" i="84"/>
  <c r="M62" i="84"/>
  <c r="N62" i="84" s="1"/>
  <c r="K62" i="84"/>
  <c r="J62" i="84" s="1"/>
  <c r="D62" i="84"/>
  <c r="M61" i="84"/>
  <c r="N61" i="84" s="1"/>
  <c r="K61" i="84"/>
  <c r="J61" i="84" s="1"/>
  <c r="M58" i="84"/>
  <c r="N58" i="84" s="1"/>
  <c r="K58" i="84"/>
  <c r="J58" i="84" s="1"/>
  <c r="M57" i="84"/>
  <c r="N57" i="84" s="1"/>
  <c r="K57" i="84"/>
  <c r="J57" i="84" s="1"/>
  <c r="D57" i="84"/>
  <c r="M56" i="84"/>
  <c r="N56" i="84" s="1"/>
  <c r="K56" i="84"/>
  <c r="J56" i="84"/>
  <c r="D56" i="84"/>
  <c r="M55" i="84"/>
  <c r="N55" i="84" s="1"/>
  <c r="K55" i="84"/>
  <c r="D55" i="84" s="1"/>
  <c r="M54" i="84"/>
  <c r="D54" i="84" s="1"/>
  <c r="K54" i="84"/>
  <c r="J54" i="84" s="1"/>
  <c r="M53" i="84"/>
  <c r="N53" i="84" s="1"/>
  <c r="K53" i="84"/>
  <c r="J53" i="84" s="1"/>
  <c r="D53" i="84"/>
  <c r="M52" i="84"/>
  <c r="N52" i="84" s="1"/>
  <c r="K52" i="84"/>
  <c r="J52" i="84" s="1"/>
  <c r="D52" i="84"/>
  <c r="B52" i="84"/>
  <c r="M51" i="84"/>
  <c r="N51" i="84" s="1"/>
  <c r="K51" i="84"/>
  <c r="J51" i="84" s="1"/>
  <c r="D51" i="84"/>
  <c r="M50" i="84"/>
  <c r="N50" i="84" s="1"/>
  <c r="K50" i="84"/>
  <c r="J50" i="84" s="1"/>
  <c r="D50" i="84"/>
  <c r="B50" i="84"/>
  <c r="H42" i="84"/>
  <c r="H41" i="84"/>
  <c r="H40" i="84"/>
  <c r="H39" i="84"/>
  <c r="H38" i="84"/>
  <c r="D37" i="84"/>
  <c r="H37" i="84" s="1"/>
  <c r="Q32" i="84"/>
  <c r="O32" i="84"/>
  <c r="N32" i="84"/>
  <c r="M32" i="84"/>
  <c r="J24" i="84"/>
  <c r="G24" i="84"/>
  <c r="E24" i="84"/>
  <c r="P32" i="84" s="1"/>
  <c r="I23" i="84"/>
  <c r="C22" i="84"/>
  <c r="C20" i="84"/>
  <c r="G17" i="84"/>
  <c r="C17" i="84"/>
  <c r="C13" i="84"/>
  <c r="AH10" i="84"/>
  <c r="AA10" i="84"/>
  <c r="Z10" i="84"/>
  <c r="Y10" i="84"/>
  <c r="C10" i="84"/>
  <c r="C11" i="84" s="1"/>
  <c r="AJ9" i="84"/>
  <c r="AJ10" i="84" s="1"/>
  <c r="AI9" i="84"/>
  <c r="AI10" i="84" s="1"/>
  <c r="AH9" i="84"/>
  <c r="AG9" i="84"/>
  <c r="AG10" i="84" s="1"/>
  <c r="AF9" i="84"/>
  <c r="AF10" i="84" s="1"/>
  <c r="AE9" i="84"/>
  <c r="AE10" i="84" s="1"/>
  <c r="AD9" i="84"/>
  <c r="AD10" i="84" s="1"/>
  <c r="AC9" i="84"/>
  <c r="AC10" i="84" s="1"/>
  <c r="AB9" i="84"/>
  <c r="AB10" i="84" s="1"/>
  <c r="AA9" i="84"/>
  <c r="Z9" i="84"/>
  <c r="C9" i="84"/>
  <c r="C7" i="84"/>
  <c r="G3" i="84"/>
  <c r="I2" i="84"/>
  <c r="N12" i="84" s="1"/>
  <c r="G2"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AL7" i="1"/>
  <c r="AM7" i="1"/>
  <c r="AK7" i="1"/>
  <c r="AI7" i="1"/>
  <c r="N19" i="1"/>
  <c r="N6" i="1" s="1"/>
  <c r="N7" i="1" s="1"/>
  <c r="I22" i="82"/>
  <c r="K13" i="3" s="1"/>
  <c r="F20" i="6" s="1"/>
  <c r="I20" i="82"/>
  <c r="U6" i="43" s="1"/>
  <c r="I19" i="82"/>
  <c r="U5" i="43" s="1"/>
  <c r="I18" i="82"/>
  <c r="U4" i="43" s="1"/>
  <c r="I17" i="82"/>
  <c r="U3" i="43" s="1"/>
  <c r="I16" i="82"/>
  <c r="L16" i="82" s="1"/>
  <c r="N54" i="84" l="1"/>
  <c r="D58" i="84"/>
  <c r="E50" i="84" s="1"/>
  <c r="B48" i="84" s="1"/>
  <c r="D33" i="84"/>
  <c r="D1" i="84" s="1"/>
  <c r="I21" i="82"/>
  <c r="I13" i="3" s="1"/>
  <c r="F19" i="6" s="1"/>
  <c r="D64" i="84"/>
  <c r="D69" i="84"/>
  <c r="L17" i="82"/>
  <c r="I24" i="82"/>
  <c r="I27" i="82" s="1"/>
  <c r="E72" i="84"/>
  <c r="B70" i="84" s="1"/>
  <c r="U2" i="43"/>
  <c r="L18" i="82"/>
  <c r="L19" i="82"/>
  <c r="L21" i="82" s="1"/>
  <c r="K21" i="82" s="1"/>
  <c r="E93" i="84"/>
  <c r="B91" i="84" s="1"/>
  <c r="L20" i="82"/>
  <c r="I18" i="84"/>
  <c r="D65" i="84"/>
  <c r="D61" i="84"/>
  <c r="D66" i="84"/>
  <c r="F26" i="84"/>
  <c r="M2" i="84"/>
  <c r="G18" i="84"/>
  <c r="M3" i="84"/>
  <c r="M7" i="84"/>
  <c r="M1" i="84"/>
  <c r="M5" i="84"/>
  <c r="N9" i="84"/>
  <c r="N1" i="84"/>
  <c r="N2" i="84"/>
  <c r="N3" i="84"/>
  <c r="M6" i="84"/>
  <c r="M8" i="84"/>
  <c r="M10" i="84"/>
  <c r="E44" i="84"/>
  <c r="C44" i="84" s="1"/>
  <c r="M4" i="84"/>
  <c r="N6" i="84"/>
  <c r="N8" i="84"/>
  <c r="N10" i="84"/>
  <c r="M11" i="84"/>
  <c r="M12" i="84"/>
  <c r="E11" i="84"/>
  <c r="E8" i="84"/>
  <c r="E10" i="84"/>
  <c r="E9" i="84"/>
  <c r="X7" i="84"/>
  <c r="D21" i="84"/>
  <c r="I21" i="84"/>
  <c r="M21" i="84"/>
  <c r="K88" i="84"/>
  <c r="J88" i="84" s="1"/>
  <c r="D88" i="84" s="1"/>
  <c r="M88" i="84"/>
  <c r="N88" i="84" s="1"/>
  <c r="H116" i="84"/>
  <c r="F42" i="84"/>
  <c r="F40" i="84"/>
  <c r="F38" i="84"/>
  <c r="F37" i="84"/>
  <c r="O21" i="84"/>
  <c r="S2" i="84"/>
  <c r="S3" i="84"/>
  <c r="S6" i="84"/>
  <c r="C27" i="84"/>
  <c r="B116" i="84"/>
  <c r="J26" i="84"/>
  <c r="E26" i="84"/>
  <c r="N4" i="84"/>
  <c r="N5" i="84"/>
  <c r="C6" i="84"/>
  <c r="N7" i="84"/>
  <c r="F61" i="84" s="1"/>
  <c r="Z7" i="84"/>
  <c r="M9" i="84"/>
  <c r="N11" i="84"/>
  <c r="J21" i="84"/>
  <c r="N21" i="84"/>
  <c r="G26" i="84"/>
  <c r="F39" i="84"/>
  <c r="S4" i="84"/>
  <c r="S5" i="84"/>
  <c r="K21" i="84"/>
  <c r="H26" i="84"/>
  <c r="F50" i="84"/>
  <c r="J55" i="84"/>
  <c r="C21" i="84"/>
  <c r="H21" i="84"/>
  <c r="L21" i="84"/>
  <c r="F41" i="84"/>
  <c r="H72" i="84"/>
  <c r="H76" i="84"/>
  <c r="H79" i="84"/>
  <c r="H89" i="84"/>
  <c r="G89" i="84" s="1"/>
  <c r="H90" i="84"/>
  <c r="G90" i="84" s="1"/>
  <c r="H94" i="84"/>
  <c r="H97" i="84"/>
  <c r="H100" i="84"/>
  <c r="H75" i="84"/>
  <c r="H78" i="84"/>
  <c r="H83" i="84"/>
  <c r="G83" i="84" s="1"/>
  <c r="H84" i="84"/>
  <c r="G84" i="84" s="1"/>
  <c r="H85" i="84"/>
  <c r="G85" i="84" s="1"/>
  <c r="H86" i="84"/>
  <c r="G86" i="84" s="1"/>
  <c r="H87" i="84"/>
  <c r="G87" i="84" s="1"/>
  <c r="H93" i="84"/>
  <c r="H96" i="84"/>
  <c r="H99" i="84"/>
  <c r="H74" i="84"/>
  <c r="H80" i="84"/>
  <c r="H98" i="84"/>
  <c r="H73" i="84"/>
  <c r="H95" i="84"/>
  <c r="P61" i="83"/>
  <c r="D3" i="4"/>
  <c r="E17" i="84" l="1"/>
  <c r="E61" i="84"/>
  <c r="B59" i="84" s="1"/>
  <c r="C28" i="84" s="1"/>
  <c r="H66" i="84"/>
  <c r="H68" i="84"/>
  <c r="H67" i="84"/>
  <c r="H62" i="84"/>
  <c r="H64" i="84"/>
  <c r="H65" i="84"/>
  <c r="H69" i="84"/>
  <c r="H61" i="84"/>
  <c r="H63" i="84"/>
  <c r="G21" i="84"/>
  <c r="K83" i="84"/>
  <c r="J83" i="84" s="1"/>
  <c r="M83" i="84"/>
  <c r="N83" i="84" s="1"/>
  <c r="K86" i="84"/>
  <c r="J86" i="84" s="1"/>
  <c r="M86" i="84"/>
  <c r="C5" i="84"/>
  <c r="D5" i="84"/>
  <c r="K85" i="84"/>
  <c r="J85" i="84" s="1"/>
  <c r="M85" i="84"/>
  <c r="N85" i="84" s="1"/>
  <c r="M90" i="84"/>
  <c r="N90" i="84" s="1"/>
  <c r="K90" i="84"/>
  <c r="H56" i="84"/>
  <c r="H53" i="84"/>
  <c r="H50" i="84"/>
  <c r="H58" i="84"/>
  <c r="H52" i="84"/>
  <c r="H57" i="84"/>
  <c r="H55" i="84"/>
  <c r="H54" i="84"/>
  <c r="H5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K87" i="84"/>
  <c r="J87" i="84" s="1"/>
  <c r="M87" i="84"/>
  <c r="N87" i="84" s="1"/>
  <c r="K84" i="84"/>
  <c r="J84" i="84" s="1"/>
  <c r="M84" i="84"/>
  <c r="N84" i="84" s="1"/>
  <c r="M89" i="84"/>
  <c r="N89" i="84" s="1"/>
  <c r="K89" i="84"/>
  <c r="D26" i="84"/>
  <c r="C25" i="84" s="1"/>
  <c r="N14" i="1"/>
  <c r="L14" i="1"/>
  <c r="D116" i="84" l="1"/>
  <c r="D86" i="84"/>
  <c r="E83" i="84" s="1"/>
  <c r="B81" i="84" s="1"/>
  <c r="N86" i="84"/>
  <c r="D90" i="84"/>
  <c r="J90" i="84"/>
  <c r="D89" i="84"/>
  <c r="J89" i="84"/>
  <c r="B58" i="1"/>
  <c r="B59" i="1"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E21" i="84"/>
  <c r="AA28" i="79"/>
  <c r="AD28" i="79" s="1"/>
  <c r="AD41"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c r="Q70" i="71"/>
  <c r="P70" i="71"/>
  <c r="O70" i="71"/>
  <c r="N70" i="71"/>
  <c r="Q69" i="71"/>
  <c r="P69" i="71"/>
  <c r="O69" i="71"/>
  <c r="N69" i="71"/>
  <c r="D69" i="71"/>
  <c r="F68" i="71"/>
  <c r="V68" i="71"/>
  <c r="E68" i="71"/>
  <c r="P68" i="71" s="1"/>
  <c r="C68" i="71"/>
  <c r="B68" i="71"/>
  <c r="N68" i="71" s="1"/>
  <c r="S68" i="71"/>
  <c r="F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D49" i="71"/>
  <c r="T48" i="71"/>
  <c r="Q48" i="71"/>
  <c r="P48" i="71"/>
  <c r="O48" i="71"/>
  <c r="N48" i="71"/>
  <c r="D48" i="71"/>
  <c r="Q47" i="71"/>
  <c r="P47" i="71"/>
  <c r="O47" i="71"/>
  <c r="N47" i="71"/>
  <c r="Q46" i="71"/>
  <c r="P46" i="71"/>
  <c r="O46" i="71"/>
  <c r="N46" i="71"/>
  <c r="F46" i="71"/>
  <c r="Q45" i="71"/>
  <c r="P45" i="71"/>
  <c r="E46" i="71" s="1"/>
  <c r="E47" i="71" s="1"/>
  <c r="E48" i="71"/>
  <c r="U48" i="71" s="1"/>
  <c r="O45" i="71"/>
  <c r="C46" i="71" s="1"/>
  <c r="C47" i="71" s="1"/>
  <c r="D47"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F40" i="71" s="1"/>
  <c r="V40" i="71" s="1"/>
  <c r="Q37" i="71"/>
  <c r="P37" i="71"/>
  <c r="E38" i="71" s="1"/>
  <c r="E39" i="71" s="1"/>
  <c r="O37" i="71"/>
  <c r="N37" i="71"/>
  <c r="B38" i="71" s="1"/>
  <c r="D37" i="71"/>
  <c r="Q36" i="71"/>
  <c r="AB36" i="71" s="1"/>
  <c r="P36" i="71"/>
  <c r="O36" i="71"/>
  <c r="Y35" i="71" s="1"/>
  <c r="N36" i="71"/>
  <c r="Q35" i="71"/>
  <c r="AB35" i="71" s="1"/>
  <c r="P35" i="71"/>
  <c r="O35" i="71"/>
  <c r="Z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B30" i="71" s="1"/>
  <c r="B31" i="71" s="1"/>
  <c r="B32" i="71" s="1"/>
  <c r="S32" i="71" s="1"/>
  <c r="D29" i="71"/>
  <c r="O28" i="71"/>
  <c r="Y28" i="71" s="1"/>
  <c r="Z28" i="71" s="1"/>
  <c r="N28" i="71"/>
  <c r="X25" i="71" s="1"/>
  <c r="E30" i="71"/>
  <c r="E36" i="71"/>
  <c r="U36" i="71" s="1"/>
  <c r="C30" i="71"/>
  <c r="C34" i="71"/>
  <c r="D34" i="71" s="1"/>
  <c r="C38" i="71"/>
  <c r="D38" i="71" s="1"/>
  <c r="F51" i="71"/>
  <c r="F52" i="71" s="1"/>
  <c r="V52" i="71" s="1"/>
  <c r="C28" i="71"/>
  <c r="D46" i="71"/>
  <c r="D50" i="71"/>
  <c r="P28" i="71"/>
  <c r="E28" i="71" s="1"/>
  <c r="E63" i="71"/>
  <c r="E64" i="71" s="1"/>
  <c r="U64" i="71" s="1"/>
  <c r="U68" i="71"/>
  <c r="E67" i="71"/>
  <c r="E66" i="71" s="1"/>
  <c r="P65" i="71" s="1"/>
  <c r="Q28" i="71"/>
  <c r="D54" i="71"/>
  <c r="C59" i="71"/>
  <c r="D59" i="71" s="1"/>
  <c r="C63" i="71"/>
  <c r="C64" i="71" s="1"/>
  <c r="D62" i="71"/>
  <c r="T68" i="71"/>
  <c r="O68" i="71"/>
  <c r="D68" i="71"/>
  <c r="C67" i="71"/>
  <c r="D67" i="71" s="1"/>
  <c r="Q68" i="71"/>
  <c r="E71" i="71"/>
  <c r="E70" i="71"/>
  <c r="D72" i="71"/>
  <c r="C75" i="71"/>
  <c r="D75" i="71" s="1"/>
  <c r="E75" i="71"/>
  <c r="E74" i="71"/>
  <c r="D76" i="71"/>
  <c r="C79" i="71"/>
  <c r="D79" i="71" s="1"/>
  <c r="E79" i="71"/>
  <c r="E78" i="71"/>
  <c r="D80" i="71"/>
  <c r="C83" i="71"/>
  <c r="F28" i="71"/>
  <c r="F27" i="71"/>
  <c r="F26" i="71"/>
  <c r="AB26" i="71"/>
  <c r="C66" i="71"/>
  <c r="D63" i="71"/>
  <c r="C78" i="71"/>
  <c r="D78" i="71" s="1"/>
  <c r="C60" i="71"/>
  <c r="P67" i="7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B88" i="43"/>
  <c r="C22" i="20"/>
  <c r="B77" i="43" s="1"/>
  <c r="B57" i="43"/>
  <c r="H25" i="40"/>
  <c r="AB25" i="40" s="1"/>
  <c r="J25" i="40"/>
  <c r="H29" i="39"/>
  <c r="AB29" i="39" s="1"/>
  <c r="J29" i="39"/>
  <c r="J18" i="36"/>
  <c r="F68" i="35"/>
  <c r="G68" i="35" s="1"/>
  <c r="H18" i="35"/>
  <c r="AB18" i="35" s="1"/>
  <c r="J18" i="35"/>
  <c r="AC18" i="35" s="1"/>
  <c r="H21" i="37"/>
  <c r="AB21" i="37" s="1"/>
  <c r="F21" i="37"/>
  <c r="AA21" i="37" s="1"/>
  <c r="H21" i="34"/>
  <c r="H21" i="33"/>
  <c r="U21" i="33" s="1"/>
  <c r="F21" i="33"/>
  <c r="S21" i="33" s="1"/>
  <c r="H1" i="69"/>
  <c r="AC25" i="40"/>
  <c r="W25" i="40"/>
  <c r="U25" i="40"/>
  <c r="U29" i="39"/>
  <c r="U21" i="37"/>
  <c r="AB21" i="33"/>
  <c r="AA21" i="33"/>
  <c r="J21" i="37"/>
  <c r="W21" i="37" s="1"/>
  <c r="J21" i="34"/>
  <c r="W21" i="34" s="1"/>
  <c r="J21" i="33"/>
  <c r="H21" i="21"/>
  <c r="U21" i="21" s="1"/>
  <c r="F38" i="69"/>
  <c r="E37" i="69"/>
  <c r="F36" i="69"/>
  <c r="F35" i="69"/>
  <c r="F21" i="69"/>
  <c r="F40" i="69" s="1"/>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A98" i="3" s="1"/>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A94" i="3" s="1"/>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L86" i="3" s="1"/>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A148" i="3" s="1"/>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A132" i="3" s="1"/>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L278" i="3" s="1"/>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L272" i="3" s="1"/>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L395" i="3" s="1"/>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A359" i="3" s="1"/>
  <c r="AZ359" i="3" s="1"/>
  <c r="BE359" i="3"/>
  <c r="BD359" i="3"/>
  <c r="BC359" i="3"/>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A485" i="3" s="1"/>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AZ469" i="3" s="1"/>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A448" i="3" s="1"/>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A419" i="3" s="1"/>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P5" i="3" s="1"/>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R5" i="3" s="1"/>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S505" i="31" s="1"/>
  <c r="R506" i="31"/>
  <c r="R507" i="31"/>
  <c r="R508" i="31"/>
  <c r="R509" i="31"/>
  <c r="R510" i="31"/>
  <c r="R511" i="31"/>
  <c r="R512" i="31"/>
  <c r="R513" i="31"/>
  <c r="S513" i="31" s="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5" i="3" s="1"/>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AC5"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2" i="31"/>
  <c r="S280" i="31"/>
  <c r="S278" i="31"/>
  <c r="S276" i="31"/>
  <c r="S274" i="31"/>
  <c r="S272" i="31"/>
  <c r="S270"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A513" i="3" s="1"/>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AZ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A572" i="3" s="1"/>
  <c r="AZ572" i="3" s="1"/>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A574" i="3" s="1"/>
  <c r="BJ574" i="3"/>
  <c r="BK574" i="3"/>
  <c r="BM574" i="3"/>
  <c r="BN574" i="3"/>
  <c r="BO574" i="3"/>
  <c r="BP574" i="3"/>
  <c r="BQ574" i="3"/>
  <c r="BR574" i="3"/>
  <c r="BL574" i="3" s="1"/>
  <c r="BS574" i="3"/>
  <c r="BT574" i="3"/>
  <c r="H575" i="3"/>
  <c r="AC575" i="3"/>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L576" i="3" s="1"/>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AZ579" i="3" s="1"/>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L581" i="3" s="1"/>
  <c r="BS581" i="3"/>
  <c r="BT581" i="3"/>
  <c r="H582" i="3"/>
  <c r="AC582" i="3"/>
  <c r="G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F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c r="B82" i="37"/>
  <c r="H26" i="37" s="1"/>
  <c r="AB26" i="37" s="1"/>
  <c r="D79" i="37"/>
  <c r="E79" i="37" s="1"/>
  <c r="D75" i="37"/>
  <c r="E75" i="37"/>
  <c r="D73" i="37"/>
  <c r="E73" i="37" s="1"/>
  <c r="F73" i="37"/>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c r="D64" i="36"/>
  <c r="E64" i="36" s="1"/>
  <c r="F64" i="36"/>
  <c r="G64" i="36" s="1"/>
  <c r="J16" i="36"/>
  <c r="W16" i="36" s="1"/>
  <c r="D62" i="36"/>
  <c r="E62" i="36"/>
  <c r="F62" i="36" s="1"/>
  <c r="G62" i="36" s="1"/>
  <c r="B59" i="36"/>
  <c r="B57" i="36"/>
  <c r="B55" i="36"/>
  <c r="J11" i="36" s="1"/>
  <c r="AC11" i="36" s="1"/>
  <c r="C51" i="36"/>
  <c r="H9" i="36" s="1"/>
  <c r="AB9" i="36" s="1"/>
  <c r="P37" i="36"/>
  <c r="P36" i="36"/>
  <c r="V35" i="36"/>
  <c r="T35" i="36"/>
  <c r="R35" i="36"/>
  <c r="P35" i="36"/>
  <c r="Q34" i="36"/>
  <c r="Z34" i="36" s="1"/>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Q22" i="36"/>
  <c r="Z22" i="36" s="1"/>
  <c r="J22" i="36"/>
  <c r="AC22" i="36" s="1"/>
  <c r="Q20" i="36"/>
  <c r="Z20" i="36" s="1"/>
  <c r="Q16" i="36"/>
  <c r="Z16" i="36"/>
  <c r="Q14" i="36"/>
  <c r="Z14" i="36" s="1"/>
  <c r="Q13" i="36"/>
  <c r="Z13" i="36" s="1"/>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B97" i="35"/>
  <c r="B77" i="35"/>
  <c r="H25" i="35" s="1"/>
  <c r="B75" i="35"/>
  <c r="J24" i="35" s="1"/>
  <c r="AC24" i="35" s="1"/>
  <c r="B73" i="35"/>
  <c r="B57" i="35"/>
  <c r="J11" i="35" s="1"/>
  <c r="B61" i="35"/>
  <c r="F13" i="35" s="1"/>
  <c r="B59" i="35"/>
  <c r="B131" i="34"/>
  <c r="B129" i="34"/>
  <c r="B127" i="34"/>
  <c r="B99" i="34"/>
  <c r="F32" i="34" s="1"/>
  <c r="B97" i="34"/>
  <c r="B95" i="34"/>
  <c r="J30" i="34" s="1"/>
  <c r="B93" i="34"/>
  <c r="B75" i="34"/>
  <c r="F14" i="34" s="1"/>
  <c r="B73" i="34"/>
  <c r="B71" i="34"/>
  <c r="B130" i="33"/>
  <c r="B128" i="33"/>
  <c r="B126" i="33"/>
  <c r="B98" i="33"/>
  <c r="B96" i="33"/>
  <c r="B94" i="33"/>
  <c r="B74" i="33"/>
  <c r="B72" i="33"/>
  <c r="F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J8" i="34"/>
  <c r="AC8" i="34" s="1"/>
  <c r="H8" i="34"/>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S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84" s="1"/>
  <c r="B90" i="43"/>
  <c r="G19" i="20"/>
  <c r="G16" i="20"/>
  <c r="G15" i="20"/>
  <c r="C24" i="20"/>
  <c r="B75" i="43"/>
  <c r="C21" i="20"/>
  <c r="B56" i="43" s="1"/>
  <c r="C20" i="20"/>
  <c r="B69" i="43" s="1"/>
  <c r="C18" i="20"/>
  <c r="C17" i="20"/>
  <c r="B61" i="84"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S40" i="21" s="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s="1"/>
  <c r="W45" i="21" s="1"/>
  <c r="B126" i="21"/>
  <c r="J44" i="21" s="1"/>
  <c r="AC44" i="21" s="1"/>
  <c r="B98" i="21"/>
  <c r="H31" i="21"/>
  <c r="B96" i="21"/>
  <c r="F30" i="21" s="1"/>
  <c r="S30" i="21" s="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s="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s="1"/>
  <c r="J35" i="21"/>
  <c r="W35" i="21"/>
  <c r="Q35" i="21"/>
  <c r="Z35" i="21" s="1"/>
  <c r="Q36" i="21"/>
  <c r="Z36" i="21" s="1"/>
  <c r="Q37" i="21"/>
  <c r="Z37" i="21" s="1"/>
  <c r="J38" i="21"/>
  <c r="W38" i="21"/>
  <c r="Q38" i="21"/>
  <c r="Z38" i="21"/>
  <c r="J39" i="21"/>
  <c r="AC39" i="21"/>
  <c r="Q39" i="21"/>
  <c r="Z39" i="21" s="1"/>
  <c r="H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c r="J26" i="21"/>
  <c r="W26" i="21"/>
  <c r="F26" i="21"/>
  <c r="S26" i="21" s="1"/>
  <c r="S41" i="21"/>
  <c r="AA41" i="21"/>
  <c r="F45" i="39"/>
  <c r="S45" i="39"/>
  <c r="J45" i="39"/>
  <c r="W45" i="39" s="1"/>
  <c r="J44" i="39"/>
  <c r="F36" i="39"/>
  <c r="S36" i="39" s="1"/>
  <c r="AB36" i="39"/>
  <c r="J35" i="39"/>
  <c r="AC35" i="39" s="1"/>
  <c r="F35" i="39"/>
  <c r="S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U34" i="35"/>
  <c r="F36" i="34"/>
  <c r="J35" i="34"/>
  <c r="H39" i="33"/>
  <c r="AB39" i="33" s="1"/>
  <c r="U33" i="33"/>
  <c r="U35" i="33"/>
  <c r="S40" i="33"/>
  <c r="W33" i="33"/>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c r="F27" i="39"/>
  <c r="AA27" i="39" s="1"/>
  <c r="F11" i="21"/>
  <c r="S11" i="21" s="1"/>
  <c r="U34" i="21"/>
  <c r="H11" i="39"/>
  <c r="S40" i="39"/>
  <c r="C15" i="39"/>
  <c r="H32" i="33"/>
  <c r="U32" i="33" s="1"/>
  <c r="AB32" i="33"/>
  <c r="H11" i="21"/>
  <c r="U11" i="21" s="1"/>
  <c r="J11" i="21"/>
  <c r="W11" i="21" s="1"/>
  <c r="H37" i="40"/>
  <c r="U37" i="40" s="1"/>
  <c r="H36" i="40"/>
  <c r="AB36" i="40" s="1"/>
  <c r="F35" i="40"/>
  <c r="AA35" i="40"/>
  <c r="H23" i="40"/>
  <c r="AB23" i="40" s="1"/>
  <c r="H17" i="40"/>
  <c r="U17" i="40"/>
  <c r="J15" i="40"/>
  <c r="W15" i="40" s="1"/>
  <c r="J11" i="40"/>
  <c r="W11" i="40"/>
  <c r="AB8" i="39"/>
  <c r="W32" i="40"/>
  <c r="F37" i="39"/>
  <c r="AA37" i="39" s="1"/>
  <c r="J34" i="36"/>
  <c r="W34" i="36" s="1"/>
  <c r="U30" i="36"/>
  <c r="J30" i="35"/>
  <c r="W30" i="35" s="1"/>
  <c r="H30" i="35"/>
  <c r="AB30" i="35" s="1"/>
  <c r="F22" i="35"/>
  <c r="AA22" i="35"/>
  <c r="H10" i="35"/>
  <c r="U10" i="35"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AB16" i="35" s="1"/>
  <c r="F16" i="35"/>
  <c r="S16" i="35"/>
  <c r="H14" i="35"/>
  <c r="AB14" i="35" s="1"/>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S35" i="34"/>
  <c r="F25" i="34"/>
  <c r="S25" i="34" s="1"/>
  <c r="H23" i="34"/>
  <c r="AB23" i="34" s="1"/>
  <c r="U23" i="34"/>
  <c r="J23" i="34"/>
  <c r="F19" i="34"/>
  <c r="H17" i="34"/>
  <c r="U17" i="34"/>
  <c r="F15" i="34"/>
  <c r="AA15" i="34" s="1"/>
  <c r="J15" i="34"/>
  <c r="H15" i="34"/>
  <c r="AB15" i="34" s="1"/>
  <c r="W8" i="34"/>
  <c r="J28" i="34"/>
  <c r="W28" i="34" s="1"/>
  <c r="F41" i="33"/>
  <c r="S41" i="33" s="1"/>
  <c r="AA41" i="33"/>
  <c r="E113" i="33"/>
  <c r="F113" i="33" s="1"/>
  <c r="G113" i="33" s="1"/>
  <c r="F32" i="33"/>
  <c r="AA32" i="33" s="1"/>
  <c r="J19" i="33"/>
  <c r="J15" i="33"/>
  <c r="AC15" i="33" s="1"/>
  <c r="F11" i="33"/>
  <c r="AA11" i="33" s="1"/>
  <c r="U40" i="33"/>
  <c r="W40" i="33"/>
  <c r="F37" i="40"/>
  <c r="F36" i="40"/>
  <c r="AA36" i="40" s="1"/>
  <c r="H28" i="40"/>
  <c r="U28" i="40"/>
  <c r="F23" i="40"/>
  <c r="F17" i="40"/>
  <c r="AA17" i="40" s="1"/>
  <c r="J17" i="40"/>
  <c r="W17" i="40"/>
  <c r="F15" i="40"/>
  <c r="S15" i="40" s="1"/>
  <c r="H15" i="40"/>
  <c r="AB15" i="40"/>
  <c r="AC11" i="40"/>
  <c r="AB30" i="36"/>
  <c r="F29" i="35"/>
  <c r="S29" i="35" s="1"/>
  <c r="H29" i="35"/>
  <c r="AB29" i="35" s="1"/>
  <c r="H33" i="37"/>
  <c r="F33" i="37"/>
  <c r="AA33" i="37" s="1"/>
  <c r="U34" i="37"/>
  <c r="J43" i="34"/>
  <c r="AB42" i="34"/>
  <c r="J40" i="34"/>
  <c r="H38" i="34"/>
  <c r="AB38" i="34" s="1"/>
  <c r="J36" i="34"/>
  <c r="W36" i="34"/>
  <c r="H37" i="34"/>
  <c r="U37" i="34" s="1"/>
  <c r="H25" i="34"/>
  <c r="AB25" i="34" s="1"/>
  <c r="J25" i="34"/>
  <c r="AC25" i="34"/>
  <c r="F23" i="34"/>
  <c r="S23" i="34" s="1"/>
  <c r="AA23" i="34"/>
  <c r="J19" i="34"/>
  <c r="AC19" i="34" s="1"/>
  <c r="F17" i="34"/>
  <c r="AA17" i="34" s="1"/>
  <c r="J17" i="34"/>
  <c r="W17" i="34" s="1"/>
  <c r="AB17" i="34"/>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H42" i="21"/>
  <c r="U42" i="21" s="1"/>
  <c r="J44" i="34"/>
  <c r="F44" i="34"/>
  <c r="AA44" i="34" s="1"/>
  <c r="J10" i="35"/>
  <c r="AC10" i="35" s="1"/>
  <c r="J14" i="21"/>
  <c r="W14" i="21" s="1"/>
  <c r="H28" i="21"/>
  <c r="AB28" i="21" s="1"/>
  <c r="F28" i="21"/>
  <c r="AA28" i="21" s="1"/>
  <c r="J28" i="21"/>
  <c r="H30" i="21"/>
  <c r="AB30" i="21" s="1"/>
  <c r="J30" i="21"/>
  <c r="AC30"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F27" i="21"/>
  <c r="AA27" i="21" s="1"/>
  <c r="H29" i="21"/>
  <c r="U29" i="21" s="1"/>
  <c r="J31" i="21"/>
  <c r="AC31" i="21" s="1"/>
  <c r="F31" i="21"/>
  <c r="S31" i="21"/>
  <c r="F45" i="21"/>
  <c r="AA45" i="21" s="1"/>
  <c r="F27" i="33"/>
  <c r="J13" i="33"/>
  <c r="W13" i="33" s="1"/>
  <c r="H13" i="33"/>
  <c r="U13" i="33" s="1"/>
  <c r="S13" i="33"/>
  <c r="J29" i="33"/>
  <c r="H29" i="33"/>
  <c r="U29" i="33" s="1"/>
  <c r="F29" i="33"/>
  <c r="S29" i="33" s="1"/>
  <c r="H45" i="33"/>
  <c r="U45" i="33"/>
  <c r="J45" i="33"/>
  <c r="W45" i="33" s="1"/>
  <c r="F45" i="33"/>
  <c r="AA45" i="33"/>
  <c r="J14" i="34"/>
  <c r="W14" i="34" s="1"/>
  <c r="S14" i="34"/>
  <c r="H14" i="34"/>
  <c r="U14" i="34" s="1"/>
  <c r="F30" i="34"/>
  <c r="AA30" i="34" s="1"/>
  <c r="H32" i="34"/>
  <c r="J32" i="34"/>
  <c r="W32" i="34" s="1"/>
  <c r="H46" i="34"/>
  <c r="F46" i="34"/>
  <c r="J46" i="34"/>
  <c r="F11" i="35"/>
  <c r="S11" i="35" s="1"/>
  <c r="J26" i="36"/>
  <c r="W26" i="36"/>
  <c r="H28" i="36"/>
  <c r="U28" i="36" s="1"/>
  <c r="H32" i="36"/>
  <c r="AB32" i="36" s="1"/>
  <c r="J32" i="36"/>
  <c r="W32" i="36" s="1"/>
  <c r="H13" i="36"/>
  <c r="AB13" i="36" s="1"/>
  <c r="J13" i="36"/>
  <c r="F13" i="36"/>
  <c r="S13" i="36"/>
  <c r="E89" i="37"/>
  <c r="F89" i="37" s="1"/>
  <c r="G89" i="37" s="1"/>
  <c r="H89" i="37" s="1"/>
  <c r="I89" i="37" s="1"/>
  <c r="J89" i="37" s="1"/>
  <c r="K89" i="37" s="1"/>
  <c r="L89" i="37" s="1"/>
  <c r="M89" i="37" s="1"/>
  <c r="J29" i="37"/>
  <c r="W29" i="37" s="1"/>
  <c r="F29" i="37"/>
  <c r="S29" i="37" s="1"/>
  <c r="H36" i="37"/>
  <c r="AB36" i="37"/>
  <c r="J37" i="37"/>
  <c r="AC37" i="37" s="1"/>
  <c r="H37" i="37"/>
  <c r="U37" i="37" s="1"/>
  <c r="H14" i="33"/>
  <c r="U14" i="33" s="1"/>
  <c r="F14" i="33"/>
  <c r="J14" i="33"/>
  <c r="AC14" i="33" s="1"/>
  <c r="H44" i="33"/>
  <c r="AB44" i="33" s="1"/>
  <c r="J44" i="33"/>
  <c r="AC44" i="33"/>
  <c r="F44" i="33"/>
  <c r="S44" i="33" s="1"/>
  <c r="J46" i="33"/>
  <c r="AC46" i="33" s="1"/>
  <c r="F46" i="33"/>
  <c r="AA46" i="33" s="1"/>
  <c r="H46" i="33"/>
  <c r="AB46" i="33"/>
  <c r="H13" i="34"/>
  <c r="U13" i="34" s="1"/>
  <c r="J13" i="34"/>
  <c r="F13" i="34"/>
  <c r="AA13" i="34" s="1"/>
  <c r="J31" i="34"/>
  <c r="AC31" i="34"/>
  <c r="H31" i="34"/>
  <c r="F31" i="34"/>
  <c r="S31" i="34"/>
  <c r="H45" i="34"/>
  <c r="U45" i="34" s="1"/>
  <c r="J45" i="34"/>
  <c r="W45" i="34" s="1"/>
  <c r="F45" i="34"/>
  <c r="S45" i="34" s="1"/>
  <c r="H47" i="34"/>
  <c r="U47" i="34"/>
  <c r="F47" i="34"/>
  <c r="S47" i="34" s="1"/>
  <c r="J47" i="34"/>
  <c r="AC47" i="34" s="1"/>
  <c r="J25" i="35"/>
  <c r="W25" i="35" s="1"/>
  <c r="F25" i="35"/>
  <c r="S25" i="35" s="1"/>
  <c r="AB25" i="35"/>
  <c r="F35" i="35"/>
  <c r="AA35" i="35" s="1"/>
  <c r="J25" i="36"/>
  <c r="AC25" i="36" s="1"/>
  <c r="F25" i="36"/>
  <c r="S25" i="36" s="1"/>
  <c r="H25" i="36"/>
  <c r="AB25" i="36" s="1"/>
  <c r="H13" i="37"/>
  <c r="AB13" i="37" s="1"/>
  <c r="F13" i="37"/>
  <c r="S13" i="37"/>
  <c r="J13" i="37"/>
  <c r="W13" i="37" s="1"/>
  <c r="F28" i="37"/>
  <c r="AA28" i="37" s="1"/>
  <c r="F43" i="39"/>
  <c r="AA43" i="39" s="1"/>
  <c r="H43" i="39"/>
  <c r="J14" i="39"/>
  <c r="AC14" i="39" s="1"/>
  <c r="F14" i="39"/>
  <c r="H14" i="39"/>
  <c r="AB14" i="39" s="1"/>
  <c r="F12" i="40"/>
  <c r="AA12" i="40" s="1"/>
  <c r="H12" i="40"/>
  <c r="AB12" i="40"/>
  <c r="H30" i="40"/>
  <c r="AB30" i="40" s="1"/>
  <c r="F33" i="40"/>
  <c r="AA33" i="40" s="1"/>
  <c r="H33" i="40"/>
  <c r="U33" i="40" s="1"/>
  <c r="J35" i="40"/>
  <c r="AC35" i="40"/>
  <c r="J37" i="40"/>
  <c r="AC37" i="40" s="1"/>
  <c r="H13" i="40"/>
  <c r="U13" i="40" s="1"/>
  <c r="J13" i="40"/>
  <c r="W13" i="40" s="1"/>
  <c r="F13" i="40"/>
  <c r="AA13" i="40"/>
  <c r="F27" i="37"/>
  <c r="AA27" i="37" s="1"/>
  <c r="F13" i="39"/>
  <c r="J13" i="39"/>
  <c r="W13" i="39" s="1"/>
  <c r="H14" i="40"/>
  <c r="AB14" i="40" s="1"/>
  <c r="J14" i="40"/>
  <c r="AA14" i="40"/>
  <c r="J27" i="37"/>
  <c r="AA44" i="33"/>
  <c r="U46" i="33"/>
  <c r="J36" i="37"/>
  <c r="AC36" i="37" s="1"/>
  <c r="J10" i="36"/>
  <c r="AC10" i="36" s="1"/>
  <c r="W31" i="34"/>
  <c r="AA14" i="34"/>
  <c r="S45" i="33"/>
  <c r="AB45" i="33"/>
  <c r="BA586" i="3"/>
  <c r="BA585" i="3"/>
  <c r="F17" i="21"/>
  <c r="H17" i="21"/>
  <c r="AB17" i="21" s="1"/>
  <c r="F15" i="21"/>
  <c r="S15" i="21" s="1"/>
  <c r="J41" i="39"/>
  <c r="W41" i="39" s="1"/>
  <c r="U36" i="39"/>
  <c r="G544" i="3"/>
  <c r="G540" i="3"/>
  <c r="G536" i="3"/>
  <c r="G532" i="3"/>
  <c r="G528" i="3"/>
  <c r="G527" i="3"/>
  <c r="G523" i="3"/>
  <c r="G518" i="3"/>
  <c r="G514" i="3"/>
  <c r="G510" i="3"/>
  <c r="G500" i="3"/>
  <c r="G496" i="3"/>
  <c r="G584" i="3"/>
  <c r="G580" i="3"/>
  <c r="G576" i="3"/>
  <c r="G572" i="3"/>
  <c r="G568" i="3"/>
  <c r="G564" i="3"/>
  <c r="G560" i="3"/>
  <c r="G554" i="3"/>
  <c r="G550" i="3"/>
  <c r="BL580" i="3"/>
  <c r="BL572" i="3"/>
  <c r="BL560" i="3"/>
  <c r="BL554" i="3"/>
  <c r="BL546" i="3"/>
  <c r="BL538" i="3"/>
  <c r="BL534" i="3"/>
  <c r="BL526" i="3"/>
  <c r="BL516" i="3"/>
  <c r="BL512" i="3"/>
  <c r="BL506" i="3"/>
  <c r="BL498" i="3"/>
  <c r="BL582" i="3"/>
  <c r="BL578" i="3"/>
  <c r="BL566" i="3"/>
  <c r="BL562" i="3"/>
  <c r="BL544" i="3"/>
  <c r="BL540" i="3"/>
  <c r="AZ540" i="3" s="1"/>
  <c r="BL536" i="3"/>
  <c r="BL532" i="3"/>
  <c r="G529" i="3"/>
  <c r="BL528" i="3"/>
  <c r="BL518" i="3"/>
  <c r="BL514" i="3"/>
  <c r="BL510" i="3"/>
  <c r="BL500" i="3"/>
  <c r="BL496" i="3"/>
  <c r="BA584" i="3"/>
  <c r="AZ584" i="3" s="1"/>
  <c r="BA580" i="3"/>
  <c r="AZ580" i="3" s="1"/>
  <c r="BA576" i="3"/>
  <c r="BA568" i="3"/>
  <c r="BA566" i="3"/>
  <c r="BA562" i="3"/>
  <c r="BA560" i="3"/>
  <c r="AZ560" i="3" s="1"/>
  <c r="BA558" i="3"/>
  <c r="AZ558" i="3" s="1"/>
  <c r="BA554" i="3"/>
  <c r="AZ554" i="3" s="1"/>
  <c r="BA548" i="3"/>
  <c r="BA546" i="3"/>
  <c r="BA542" i="3"/>
  <c r="BA540" i="3"/>
  <c r="BA536" i="3"/>
  <c r="BA534" i="3"/>
  <c r="AZ534" i="3" s="1"/>
  <c r="BA532" i="3"/>
  <c r="AZ532" i="3" s="1"/>
  <c r="BA530" i="3"/>
  <c r="AZ530" i="3" s="1"/>
  <c r="BA526" i="3"/>
  <c r="AZ526" i="3" s="1"/>
  <c r="BA524" i="3"/>
  <c r="BA522" i="3"/>
  <c r="BA518" i="3"/>
  <c r="BA516" i="3"/>
  <c r="AZ516" i="3" s="1"/>
  <c r="BA514" i="3"/>
  <c r="BA510" i="3"/>
  <c r="AZ510" i="3" s="1"/>
  <c r="BA506" i="3"/>
  <c r="BA504" i="3"/>
  <c r="AZ504" i="3" s="1"/>
  <c r="BA500" i="3"/>
  <c r="AZ500" i="3" s="1"/>
  <c r="BA498" i="3"/>
  <c r="AZ498" i="3" s="1"/>
  <c r="BA494" i="3"/>
  <c r="BA587" i="3"/>
  <c r="BA581" i="3"/>
  <c r="BA577" i="3"/>
  <c r="BA569" i="3"/>
  <c r="BA565" i="3"/>
  <c r="AZ565" i="3" s="1"/>
  <c r="BA563" i="3"/>
  <c r="AZ563" i="3" s="1"/>
  <c r="BA561" i="3"/>
  <c r="BA555" i="3"/>
  <c r="BA553" i="3"/>
  <c r="BA549" i="3"/>
  <c r="BA545" i="3"/>
  <c r="BA543" i="3"/>
  <c r="AZ543" i="3" s="1"/>
  <c r="BA541" i="3"/>
  <c r="BA537" i="3"/>
  <c r="BA535" i="3"/>
  <c r="BA533" i="3"/>
  <c r="BA529" i="3"/>
  <c r="BA527" i="3"/>
  <c r="AZ527" i="3" s="1"/>
  <c r="BA525" i="3"/>
  <c r="BA519" i="3"/>
  <c r="BA517" i="3"/>
  <c r="BA515" i="3"/>
  <c r="BA511" i="3"/>
  <c r="BA507" i="3"/>
  <c r="BA505" i="3"/>
  <c r="BA501" i="3"/>
  <c r="BA499" i="3"/>
  <c r="BA497" i="3"/>
  <c r="AZ497" i="3" s="1"/>
  <c r="BA493" i="3"/>
  <c r="G583" i="3"/>
  <c r="G579" i="3"/>
  <c r="G577" i="3"/>
  <c r="G575" i="3"/>
  <c r="G573" i="3"/>
  <c r="G571" i="3"/>
  <c r="G569" i="3"/>
  <c r="G567" i="3"/>
  <c r="G563" i="3"/>
  <c r="G561" i="3"/>
  <c r="BL558" i="3"/>
  <c r="AC557" i="3"/>
  <c r="G557" i="3" s="1"/>
  <c r="BQ557" i="3"/>
  <c r="BL557" i="3" s="1"/>
  <c r="BQ583" i="3"/>
  <c r="BL583" i="3" s="1"/>
  <c r="AZ583" i="3" s="1"/>
  <c r="BQ581" i="3"/>
  <c r="BQ579" i="3"/>
  <c r="BQ577" i="3"/>
  <c r="BQ575" i="3"/>
  <c r="BQ573" i="3"/>
  <c r="BL573" i="3" s="1"/>
  <c r="BQ571" i="3"/>
  <c r="BL571" i="3"/>
  <c r="BQ569" i="3"/>
  <c r="BL569" i="3" s="1"/>
  <c r="BQ567" i="3"/>
  <c r="BL567" i="3" s="1"/>
  <c r="BQ565" i="3"/>
  <c r="BL565" i="3" s="1"/>
  <c r="BQ563" i="3"/>
  <c r="BL563" i="3" s="1"/>
  <c r="BQ561" i="3"/>
  <c r="BL561" i="3" s="1"/>
  <c r="AZ561" i="3" s="1"/>
  <c r="BQ559" i="3"/>
  <c r="BL559" i="3" s="1"/>
  <c r="G559" i="3"/>
  <c r="G555" i="3"/>
  <c r="G553" i="3"/>
  <c r="G547" i="3"/>
  <c r="G545" i="3"/>
  <c r="G543" i="3"/>
  <c r="G539" i="3"/>
  <c r="G537" i="3"/>
  <c r="BQ555" i="3"/>
  <c r="BQ553" i="3"/>
  <c r="BL553" i="3" s="1"/>
  <c r="AZ553" i="3"/>
  <c r="BQ551" i="3"/>
  <c r="BQ549" i="3"/>
  <c r="BQ547" i="3"/>
  <c r="BL547" i="3" s="1"/>
  <c r="BQ545" i="3"/>
  <c r="BQ543" i="3"/>
  <c r="BL543" i="3" s="1"/>
  <c r="BQ541" i="3"/>
  <c r="BQ539" i="3"/>
  <c r="BL539" i="3" s="1"/>
  <c r="AZ539" i="3" s="1"/>
  <c r="BQ537" i="3"/>
  <c r="BL537" i="3" s="1"/>
  <c r="BQ535" i="3"/>
  <c r="BQ533" i="3"/>
  <c r="BL533" i="3" s="1"/>
  <c r="AZ533" i="3" s="1"/>
  <c r="BQ531" i="3"/>
  <c r="BL531" i="3" s="1"/>
  <c r="BQ529" i="3"/>
  <c r="BL529" i="3"/>
  <c r="BQ527" i="3"/>
  <c r="BL527" i="3" s="1"/>
  <c r="BQ525" i="3"/>
  <c r="BL525" i="3"/>
  <c r="AZ525" i="3" s="1"/>
  <c r="BQ523" i="3"/>
  <c r="BL523" i="3" s="1"/>
  <c r="BA521" i="3"/>
  <c r="AC521" i="3"/>
  <c r="G521" i="3"/>
  <c r="BQ521" i="3"/>
  <c r="BL521" i="3" s="1"/>
  <c r="AZ521" i="3" s="1"/>
  <c r="AZ520" i="3"/>
  <c r="G519" i="3"/>
  <c r="G517" i="3"/>
  <c r="G513" i="3"/>
  <c r="G511" i="3"/>
  <c r="BQ519" i="3"/>
  <c r="BL519" i="3" s="1"/>
  <c r="BQ517" i="3"/>
  <c r="BL517" i="3"/>
  <c r="BQ515" i="3"/>
  <c r="BL515" i="3" s="1"/>
  <c r="AZ515" i="3" s="1"/>
  <c r="BQ513" i="3"/>
  <c r="BQ511" i="3"/>
  <c r="BL511" i="3" s="1"/>
  <c r="BA509" i="3"/>
  <c r="AZ509" i="3" s="1"/>
  <c r="AC509" i="3"/>
  <c r="BQ509" i="3"/>
  <c r="BL509" i="3"/>
  <c r="BL508" i="3"/>
  <c r="G507" i="3"/>
  <c r="G505" i="3"/>
  <c r="G503" i="3"/>
  <c r="G501" i="3"/>
  <c r="G497" i="3"/>
  <c r="G495" i="3"/>
  <c r="BQ507" i="3"/>
  <c r="BQ505" i="3"/>
  <c r="BL505" i="3"/>
  <c r="AZ505" i="3" s="1"/>
  <c r="BQ503" i="3"/>
  <c r="BL503" i="3" s="1"/>
  <c r="BQ501" i="3"/>
  <c r="BL501" i="3"/>
  <c r="BQ499" i="3"/>
  <c r="BL499" i="3" s="1"/>
  <c r="AZ499" i="3" s="1"/>
  <c r="BQ497" i="3"/>
  <c r="BL497" i="3"/>
  <c r="BQ495" i="3"/>
  <c r="BL495" i="3"/>
  <c r="BQ493" i="3"/>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U23" i="37" s="1"/>
  <c r="J32" i="37"/>
  <c r="W32" i="37" s="1"/>
  <c r="F36" i="37"/>
  <c r="AA36" i="37"/>
  <c r="F37" i="37"/>
  <c r="AA37" i="37"/>
  <c r="F31" i="40"/>
  <c r="AA31" i="40" s="1"/>
  <c r="H31" i="40"/>
  <c r="AB31" i="40" s="1"/>
  <c r="F32" i="40"/>
  <c r="S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47" i="34"/>
  <c r="AC36" i="34"/>
  <c r="AA13"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F31" i="37"/>
  <c r="S31" i="37" s="1"/>
  <c r="F12" i="39"/>
  <c r="S12" i="39" s="1"/>
  <c r="J42" i="39"/>
  <c r="AC42" i="39" s="1"/>
  <c r="H21" i="40"/>
  <c r="AC12" i="37"/>
  <c r="H31" i="37"/>
  <c r="U31" i="37" s="1"/>
  <c r="J15" i="37"/>
  <c r="W15" i="37"/>
  <c r="AT6" i="3"/>
  <c r="AA25" i="21"/>
  <c r="H19" i="40"/>
  <c r="U19" i="40" s="1"/>
  <c r="F19" i="40"/>
  <c r="S19" i="40" s="1"/>
  <c r="S14" i="40"/>
  <c r="AC13" i="40"/>
  <c r="W23" i="39"/>
  <c r="AC43" i="39"/>
  <c r="W43" i="39"/>
  <c r="U45" i="39"/>
  <c r="AB45" i="39"/>
  <c r="G100" i="39"/>
  <c r="H37" i="39"/>
  <c r="AB37" i="39" s="1"/>
  <c r="AC37" i="39"/>
  <c r="W37" i="39"/>
  <c r="H25" i="39"/>
  <c r="U25" i="39" s="1"/>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549" i="3" s="1"/>
  <c r="AZ514" i="3"/>
  <c r="AZ522" i="3"/>
  <c r="G546"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AZ355" i="3" s="1"/>
  <c r="G356" i="3"/>
  <c r="BL357" i="3"/>
  <c r="BA360" i="3"/>
  <c r="AZ360" i="3" s="1"/>
  <c r="BL360" i="3"/>
  <c r="G361" i="3"/>
  <c r="BA362" i="3"/>
  <c r="G370" i="3"/>
  <c r="BL371" i="3"/>
  <c r="G372" i="3"/>
  <c r="BL373" i="3"/>
  <c r="BA375" i="3"/>
  <c r="AZ375" i="3" s="1"/>
  <c r="BA376" i="3"/>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AZ148" i="3" s="1"/>
  <c r="G149" i="3"/>
  <c r="BA151" i="3"/>
  <c r="BL152" i="3"/>
  <c r="G153" i="3"/>
  <c r="BA155" i="3"/>
  <c r="BL156" i="3"/>
  <c r="AZ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79"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BL342" i="3"/>
  <c r="AZ342" i="3" s="1"/>
  <c r="BA344" i="3"/>
  <c r="AZ344" i="3" s="1"/>
  <c r="BL344" i="3"/>
  <c r="BA346" i="3"/>
  <c r="BA347" i="3"/>
  <c r="BL347" i="3"/>
  <c r="AZ347" i="3" s="1"/>
  <c r="G350" i="3"/>
  <c r="BA351" i="3"/>
  <c r="BL351" i="3"/>
  <c r="G352" i="3"/>
  <c r="G354" i="3"/>
  <c r="BA355" i="3"/>
  <c r="BA356" i="3"/>
  <c r="BL356" i="3"/>
  <c r="G357" i="3"/>
  <c r="G360" i="3"/>
  <c r="BL361" i="3"/>
  <c r="AZ361" i="3" s="1"/>
  <c r="BA363" i="3"/>
  <c r="BA364" i="3"/>
  <c r="BL364" i="3"/>
  <c r="G365" i="3"/>
  <c r="G368" i="3"/>
  <c r="BL369" i="3"/>
  <c r="AZ369" i="3" s="1"/>
  <c r="BA371" i="3"/>
  <c r="BA372" i="3"/>
  <c r="AZ372" i="3" s="1"/>
  <c r="BL372" i="3"/>
  <c r="G373" i="3"/>
  <c r="G376" i="3"/>
  <c r="BL377" i="3"/>
  <c r="BL379" i="3"/>
  <c r="BA381" i="3"/>
  <c r="BA382" i="3"/>
  <c r="BL382" i="3"/>
  <c r="G383" i="3"/>
  <c r="G386" i="3"/>
  <c r="BL387" i="3"/>
  <c r="BA389" i="3"/>
  <c r="AZ389" i="3" s="1"/>
  <c r="BA390" i="3"/>
  <c r="BL390" i="3"/>
  <c r="G391" i="3"/>
  <c r="G394" i="3"/>
  <c r="AZ198"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BL335" i="3"/>
  <c r="AZ335" i="3" s="1"/>
  <c r="G336" i="3"/>
  <c r="BA338" i="3"/>
  <c r="BL339" i="3"/>
  <c r="G340" i="3"/>
  <c r="BL343" i="3"/>
  <c r="G344" i="3"/>
  <c r="G348" i="3"/>
  <c r="G355" i="3"/>
  <c r="G342" i="3"/>
  <c r="BL345" i="3"/>
  <c r="G346" i="3"/>
  <c r="BL349" i="3"/>
  <c r="BL352" i="3"/>
  <c r="G353" i="3"/>
  <c r="BA357" i="3"/>
  <c r="AZ357" i="3" s="1"/>
  <c r="G359" i="3"/>
  <c r="BA361" i="3"/>
  <c r="BL362" i="3"/>
  <c r="AZ362" i="3" s="1"/>
  <c r="G363" i="3"/>
  <c r="BA365" i="3"/>
  <c r="BL366" i="3"/>
  <c r="AZ366" i="3" s="1"/>
  <c r="G367" i="3"/>
  <c r="BA369" i="3"/>
  <c r="BL370" i="3"/>
  <c r="G371" i="3"/>
  <c r="BA373" i="3"/>
  <c r="AZ373" i="3" s="1"/>
  <c r="BL374" i="3"/>
  <c r="G375" i="3"/>
  <c r="BA377" i="3"/>
  <c r="AZ377" i="3"/>
  <c r="BA379" i="3"/>
  <c r="BL380" i="3"/>
  <c r="AZ380" i="3" s="1"/>
  <c r="G381" i="3"/>
  <c r="BA383" i="3"/>
  <c r="BL384" i="3"/>
  <c r="G385" i="3"/>
  <c r="BA387" i="3"/>
  <c r="AZ387" i="3" s="1"/>
  <c r="BL388" i="3"/>
  <c r="G389" i="3"/>
  <c r="BA391" i="3"/>
  <c r="AZ391" i="3" s="1"/>
  <c r="BL392" i="3"/>
  <c r="G393" i="3"/>
  <c r="BJ5" i="3"/>
  <c r="BF5" i="3"/>
  <c r="AZ325" i="3"/>
  <c r="AZ341" i="3"/>
  <c r="AZ506" i="3"/>
  <c r="G538" i="3"/>
  <c r="G520" i="3"/>
  <c r="G502" i="3"/>
  <c r="BI5" i="3"/>
  <c r="AZ356" i="3"/>
  <c r="AZ392" i="3"/>
  <c r="G509" i="3"/>
  <c r="BL493" i="3"/>
  <c r="AZ493" i="3"/>
  <c r="U36" i="40"/>
  <c r="F83" i="43"/>
  <c r="H85" i="43" s="1"/>
  <c r="G85" i="43" s="1"/>
  <c r="K85" i="43" s="1"/>
  <c r="D85" i="43" s="1"/>
  <c r="F50" i="43"/>
  <c r="H54" i="43" s="1"/>
  <c r="F72" i="43"/>
  <c r="H75" i="43" s="1"/>
  <c r="S14" i="35"/>
  <c r="U43" i="21"/>
  <c r="U35" i="21"/>
  <c r="AC35" i="21"/>
  <c r="G10" i="1"/>
  <c r="AZ501" i="3"/>
  <c r="W37" i="37"/>
  <c r="W44" i="34"/>
  <c r="AC44" i="34"/>
  <c r="U13" i="37"/>
  <c r="U12" i="40"/>
  <c r="J37" i="33"/>
  <c r="W37" i="33"/>
  <c r="AC17" i="34"/>
  <c r="F106" i="33"/>
  <c r="G106" i="33" s="1"/>
  <c r="H106" i="33" s="1"/>
  <c r="I106" i="33" s="1"/>
  <c r="J106" i="33" s="1"/>
  <c r="K106" i="33" s="1"/>
  <c r="L106" i="33" s="1"/>
  <c r="M106" i="33" s="1"/>
  <c r="J34" i="33"/>
  <c r="W34" i="33" s="1"/>
  <c r="F33" i="34"/>
  <c r="S33" i="34" s="1"/>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c r="F20" i="35"/>
  <c r="AA20" i="35" s="1"/>
  <c r="AB29" i="36"/>
  <c r="U29" i="36"/>
  <c r="H32" i="37"/>
  <c r="F96" i="37"/>
  <c r="H27" i="40"/>
  <c r="AB27" i="40" s="1"/>
  <c r="U27" i="40"/>
  <c r="J27" i="40"/>
  <c r="AC27" i="40"/>
  <c r="F27" i="40"/>
  <c r="S27" i="40" s="1"/>
  <c r="J30" i="40"/>
  <c r="W30" i="40" s="1"/>
  <c r="F30" i="40"/>
  <c r="AA30" i="40"/>
  <c r="AC21" i="40"/>
  <c r="S31" i="39"/>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F43" i="34"/>
  <c r="H44" i="34"/>
  <c r="U44" i="34" s="1"/>
  <c r="AC38" i="39"/>
  <c r="F39" i="39"/>
  <c r="S39" i="39" s="1"/>
  <c r="J39" i="39"/>
  <c r="AC39" i="39" s="1"/>
  <c r="E96" i="39"/>
  <c r="F96" i="39" s="1"/>
  <c r="G96" i="39" s="1"/>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AC26" i="33"/>
  <c r="W27" i="34"/>
  <c r="AC27" i="34"/>
  <c r="AB34" i="36"/>
  <c r="AC12" i="39"/>
  <c r="W12" i="39"/>
  <c r="AC39" i="40"/>
  <c r="W39" i="40"/>
  <c r="W12" i="33"/>
  <c r="AC12" i="33"/>
  <c r="AA32" i="36"/>
  <c r="S32" i="36"/>
  <c r="AA47" i="34"/>
  <c r="W28" i="37"/>
  <c r="S19" i="39"/>
  <c r="F12" i="33"/>
  <c r="H12" i="39"/>
  <c r="AB12" i="39" s="1"/>
  <c r="F39" i="40"/>
  <c r="S39" i="40" s="1"/>
  <c r="AZ254" i="3"/>
  <c r="B12" i="1"/>
  <c r="E12" i="1" s="1"/>
  <c r="B10" i="1"/>
  <c r="E10" i="1" s="1"/>
  <c r="K12" i="1"/>
  <c r="M12" i="1" s="1"/>
  <c r="S13" i="1"/>
  <c r="AR13" i="1" s="1"/>
  <c r="R13" i="1"/>
  <c r="J51" i="67"/>
  <c r="AB37" i="40"/>
  <c r="S35" i="40"/>
  <c r="U35" i="40"/>
  <c r="AC36" i="40"/>
  <c r="W38" i="40"/>
  <c r="AA32" i="40"/>
  <c r="AC17" i="40"/>
  <c r="AC15" i="40"/>
  <c r="S30" i="40"/>
  <c r="AA19" i="40"/>
  <c r="S28" i="40"/>
  <c r="AB19" i="40"/>
  <c r="S43" i="39"/>
  <c r="S37" i="39"/>
  <c r="F32" i="39"/>
  <c r="S32" i="39" s="1"/>
  <c r="F106" i="39"/>
  <c r="G106" i="39" s="1"/>
  <c r="H106" i="39" s="1"/>
  <c r="I106" i="39" s="1"/>
  <c r="J106" i="39" s="1"/>
  <c r="K106" i="39" s="1"/>
  <c r="L106" i="39" s="1"/>
  <c r="M106" i="39" s="1"/>
  <c r="AB27" i="39"/>
  <c r="U31" i="39"/>
  <c r="J21" i="39"/>
  <c r="W21" i="39" s="1"/>
  <c r="F21" i="39"/>
  <c r="AA21" i="39" s="1"/>
  <c r="G94" i="39"/>
  <c r="H21" i="39"/>
  <c r="W19" i="39"/>
  <c r="U19" i="39"/>
  <c r="S9" i="39"/>
  <c r="U14" i="39"/>
  <c r="U12" i="39"/>
  <c r="U13" i="36"/>
  <c r="U26" i="36"/>
  <c r="AC26" i="36"/>
  <c r="AA22" i="36"/>
  <c r="AB14" i="36"/>
  <c r="U22" i="36"/>
  <c r="S16" i="36"/>
  <c r="AA25" i="36"/>
  <c r="U16" i="36"/>
  <c r="S14" i="36"/>
  <c r="AA25" i="35"/>
  <c r="S23" i="35"/>
  <c r="W24" i="35"/>
  <c r="U29" i="35"/>
  <c r="U28" i="35"/>
  <c r="AB27" i="35"/>
  <c r="U32" i="35"/>
  <c r="AA33" i="35"/>
  <c r="AC30" i="35"/>
  <c r="S32" i="35"/>
  <c r="S28" i="35"/>
  <c r="U22" i="35"/>
  <c r="S20" i="35"/>
  <c r="AC20" i="35"/>
  <c r="S22" i="35"/>
  <c r="U14" i="35"/>
  <c r="W9" i="35"/>
  <c r="F9" i="35"/>
  <c r="S9" i="35" s="1"/>
  <c r="H9" i="35"/>
  <c r="U9" i="35" s="1"/>
  <c r="AC29" i="37"/>
  <c r="U29" i="37"/>
  <c r="S32" i="37"/>
  <c r="AB31" i="37"/>
  <c r="W30" i="37"/>
  <c r="S36" i="37"/>
  <c r="AC35" i="37"/>
  <c r="S30" i="37"/>
  <c r="S37" i="37"/>
  <c r="AC15" i="37"/>
  <c r="J17" i="37"/>
  <c r="W17" i="37" s="1"/>
  <c r="G73" i="37"/>
  <c r="F17" i="37"/>
  <c r="AA17" i="37" s="1"/>
  <c r="AB17" i="37"/>
  <c r="F75" i="37"/>
  <c r="G75" i="37" s="1"/>
  <c r="F19" i="37"/>
  <c r="S19" i="37" s="1"/>
  <c r="F79" i="37"/>
  <c r="G79" i="37" s="1"/>
  <c r="F23" i="37"/>
  <c r="S23" i="37" s="1"/>
  <c r="U15" i="37"/>
  <c r="AC13" i="37"/>
  <c r="AA13" i="37"/>
  <c r="H10" i="37"/>
  <c r="AB10" i="37" s="1"/>
  <c r="F63" i="37"/>
  <c r="F11" i="37"/>
  <c r="S11" i="37" s="1"/>
  <c r="W25" i="34"/>
  <c r="AA33" i="34"/>
  <c r="U43" i="34"/>
  <c r="AC39" i="34"/>
  <c r="AC42" i="34"/>
  <c r="U39" i="34"/>
  <c r="AB41" i="34"/>
  <c r="AA45" i="34"/>
  <c r="AA25" i="34"/>
  <c r="S17" i="34"/>
  <c r="U27" i="34"/>
  <c r="U15" i="34"/>
  <c r="S13" i="34"/>
  <c r="H10" i="34"/>
  <c r="AB10" i="34" s="1"/>
  <c r="F11" i="34"/>
  <c r="S11" i="34" s="1"/>
  <c r="W42"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U27" i="33" s="1"/>
  <c r="H25" i="33"/>
  <c r="F25" i="33"/>
  <c r="S25" i="33" s="1"/>
  <c r="J23" i="33"/>
  <c r="AC23" i="33" s="1"/>
  <c r="F85" i="33"/>
  <c r="G85" i="33" s="1"/>
  <c r="H23" i="33"/>
  <c r="AB23" i="33" s="1"/>
  <c r="F81" i="33"/>
  <c r="F19" i="33"/>
  <c r="J17" i="33"/>
  <c r="AC17" i="33" s="1"/>
  <c r="F79" i="33"/>
  <c r="G79" i="33" s="1"/>
  <c r="S15" i="33"/>
  <c r="W15" i="33"/>
  <c r="U9" i="33"/>
  <c r="J10" i="33"/>
  <c r="W10" i="33" s="1"/>
  <c r="H10" i="33"/>
  <c r="U10" i="33" s="1"/>
  <c r="AB14" i="33"/>
  <c r="W43" i="21"/>
  <c r="W36" i="21"/>
  <c r="W41" i="21"/>
  <c r="AB39" i="21"/>
  <c r="AA43" i="21"/>
  <c r="S39" i="21"/>
  <c r="AA38" i="21"/>
  <c r="AA36" i="21"/>
  <c r="AC40" i="21"/>
  <c r="J15" i="21"/>
  <c r="W15" i="21"/>
  <c r="F77" i="21"/>
  <c r="G77" i="21"/>
  <c r="F23" i="21"/>
  <c r="E85" i="21"/>
  <c r="F34" i="67"/>
  <c r="F62" i="67" s="1"/>
  <c r="M20" i="67"/>
  <c r="F34" i="15"/>
  <c r="F62" i="15" s="1"/>
  <c r="BL17" i="3"/>
  <c r="J56" i="9"/>
  <c r="J57" i="9" s="1"/>
  <c r="J59" i="9" s="1"/>
  <c r="J61" i="9" s="1"/>
  <c r="A24" i="51"/>
  <c r="B18" i="72" s="1"/>
  <c r="E5" i="6"/>
  <c r="E32" i="6"/>
  <c r="G1" i="68"/>
  <c r="K1" i="12"/>
  <c r="E1" i="73"/>
  <c r="G22" i="11"/>
  <c r="C6" i="43"/>
  <c r="B19" i="53"/>
  <c r="B37" i="72"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S33" i="40"/>
  <c r="AA15" i="40"/>
  <c r="U11" i="40"/>
  <c r="S31" i="40"/>
  <c r="U15" i="40"/>
  <c r="AB17" i="40"/>
  <c r="U8" i="40"/>
  <c r="S8" i="40"/>
  <c r="AA39" i="39"/>
  <c r="AC41" i="39"/>
  <c r="U41" i="39"/>
  <c r="U13" i="39"/>
  <c r="AB13" i="39"/>
  <c r="AA13" i="39"/>
  <c r="S13" i="39"/>
  <c r="S14" i="39"/>
  <c r="AA14" i="39"/>
  <c r="U43" i="39"/>
  <c r="AB43" i="39"/>
  <c r="AB11" i="39"/>
  <c r="U11" i="39"/>
  <c r="S27" i="39"/>
  <c r="W17" i="39"/>
  <c r="AC17" i="39"/>
  <c r="W31" i="39"/>
  <c r="S23" i="39"/>
  <c r="AA45" i="39"/>
  <c r="AB39" i="39"/>
  <c r="U38" i="39"/>
  <c r="S8" i="39"/>
  <c r="U32" i="36"/>
  <c r="W29" i="36"/>
  <c r="AC20" i="36"/>
  <c r="U25" i="36"/>
  <c r="AB28" i="36"/>
  <c r="AA13" i="36"/>
  <c r="W9" i="36"/>
  <c r="W22" i="36"/>
  <c r="AB20" i="35"/>
  <c r="AC25" i="35"/>
  <c r="U25" i="35"/>
  <c r="S24" i="35"/>
  <c r="U24" i="35"/>
  <c r="S35" i="35"/>
  <c r="AA16" i="35"/>
  <c r="AA35" i="37"/>
  <c r="W36" i="37"/>
  <c r="S27" i="37"/>
  <c r="U36" i="37"/>
  <c r="AC34" i="37"/>
  <c r="AA31" i="37"/>
  <c r="AA29" i="37"/>
  <c r="U8" i="37"/>
  <c r="AA40" i="34"/>
  <c r="U19" i="34"/>
  <c r="W19" i="34"/>
  <c r="AC45" i="34"/>
  <c r="AA31" i="34"/>
  <c r="AB45" i="34"/>
  <c r="AB47" i="34"/>
  <c r="U25" i="34"/>
  <c r="AB36" i="34"/>
  <c r="W33" i="34"/>
  <c r="AC14" i="34"/>
  <c r="AC32" i="34"/>
  <c r="W46" i="34"/>
  <c r="AC46" i="34"/>
  <c r="S32" i="34"/>
  <c r="AA32" i="34"/>
  <c r="AC40" i="34"/>
  <c r="W40" i="34"/>
  <c r="AA19" i="34"/>
  <c r="S19" i="34"/>
  <c r="AA36" i="34"/>
  <c r="S36" i="34"/>
  <c r="AA8" i="34"/>
  <c r="S8" i="34"/>
  <c r="S46" i="34"/>
  <c r="AA46" i="34"/>
  <c r="U32" i="34"/>
  <c r="AB32" i="34"/>
  <c r="AB14" i="34"/>
  <c r="AC43" i="34"/>
  <c r="W43" i="34"/>
  <c r="W23" i="34"/>
  <c r="AC23" i="34"/>
  <c r="AC35" i="34"/>
  <c r="W35" i="34"/>
  <c r="AB28" i="33"/>
  <c r="AC37" i="33"/>
  <c r="W46" i="33"/>
  <c r="U39" i="33"/>
  <c r="U38" i="33"/>
  <c r="S33" i="33"/>
  <c r="U44" i="33"/>
  <c r="W14" i="33"/>
  <c r="S11" i="33"/>
  <c r="U37" i="33"/>
  <c r="AC28" i="33"/>
  <c r="W9" i="33"/>
  <c r="W8" i="33"/>
  <c r="U28" i="21"/>
  <c r="S45" i="21"/>
  <c r="F33" i="21"/>
  <c r="AA33" i="21" s="1"/>
  <c r="J33" i="21"/>
  <c r="AC33" i="21" s="1"/>
  <c r="H33" i="21"/>
  <c r="AB33" i="21" s="1"/>
  <c r="F37" i="21"/>
  <c r="AA37" i="21" s="1"/>
  <c r="AA26" i="21"/>
  <c r="AB31" i="21"/>
  <c r="U31" i="21"/>
  <c r="AC15"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U9" i="21" s="1"/>
  <c r="J9" i="21"/>
  <c r="J32" i="21"/>
  <c r="W32" i="21" s="1"/>
  <c r="F32" i="21"/>
  <c r="AA32" i="21" s="1"/>
  <c r="AA31" i="21"/>
  <c r="U17" i="21"/>
  <c r="W29" i="21"/>
  <c r="S19" i="21"/>
  <c r="S9" i="21"/>
  <c r="AA9" i="21"/>
  <c r="K141" i="21"/>
  <c r="K144" i="21"/>
  <c r="K143" i="21"/>
  <c r="AB25" i="21"/>
  <c r="AB44" i="21"/>
  <c r="AA30" i="21"/>
  <c r="AC45" i="21"/>
  <c r="F10" i="21"/>
  <c r="AA10" i="21" s="1"/>
  <c r="K145" i="21"/>
  <c r="W25" i="21"/>
  <c r="W31" i="21"/>
  <c r="S27" i="21"/>
  <c r="AC27" i="21"/>
  <c r="AC26" i="21"/>
  <c r="AB29" i="21"/>
  <c r="AC34" i="21"/>
  <c r="AB36" i="21"/>
  <c r="C19" i="39"/>
  <c r="C15" i="40"/>
  <c r="C17" i="40"/>
  <c r="C23" i="40"/>
  <c r="C21" i="40"/>
  <c r="B67" i="43"/>
  <c r="B51" i="43"/>
  <c r="B54" i="43"/>
  <c r="B62" i="43"/>
  <c r="B65" i="43"/>
  <c r="E4" i="4"/>
  <c r="B5" i="62" s="1"/>
  <c r="B73" i="72" s="1"/>
  <c r="C4" i="4"/>
  <c r="AA39" i="40"/>
  <c r="S12" i="33"/>
  <c r="AA12" i="33"/>
  <c r="J32" i="39"/>
  <c r="AC32" i="39" s="1"/>
  <c r="H32" i="39"/>
  <c r="AB32" i="39" s="1"/>
  <c r="AB21" i="39"/>
  <c r="U21" i="39"/>
  <c r="AC17" i="37"/>
  <c r="S17" i="37"/>
  <c r="J19" i="37"/>
  <c r="W19" i="37" s="1"/>
  <c r="AA19" i="37"/>
  <c r="J23" i="37"/>
  <c r="W23" i="37" s="1"/>
  <c r="J10" i="37"/>
  <c r="W10" i="37" s="1"/>
  <c r="G63" i="37"/>
  <c r="H63" i="37" s="1"/>
  <c r="I63" i="37" s="1"/>
  <c r="J63" i="37" s="1"/>
  <c r="K63" i="37" s="1"/>
  <c r="L63" i="37" s="1"/>
  <c r="M63" i="37" s="1"/>
  <c r="H11" i="37"/>
  <c r="AB11" i="37"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H87" i="33"/>
  <c r="I87" i="33" s="1"/>
  <c r="J87" i="33" s="1"/>
  <c r="K87" i="33" s="1"/>
  <c r="L87" i="33" s="1"/>
  <c r="M87" i="33" s="1"/>
  <c r="J25" i="33"/>
  <c r="F23" i="33"/>
  <c r="H19" i="33"/>
  <c r="AB19" i="33" s="1"/>
  <c r="G81" i="33"/>
  <c r="H17" i="33"/>
  <c r="U17" i="33" s="1"/>
  <c r="F17" i="33"/>
  <c r="S17" i="33" s="1"/>
  <c r="W17" i="33"/>
  <c r="S37" i="21"/>
  <c r="AB15" i="21"/>
  <c r="J23" i="21"/>
  <c r="AC23" i="21" s="1"/>
  <c r="F85" i="21"/>
  <c r="G85" i="21" s="1"/>
  <c r="H23" i="21"/>
  <c r="U23" i="21" s="1"/>
  <c r="S13" i="21"/>
  <c r="AP7" i="1"/>
  <c r="AB9" i="21"/>
  <c r="W9" i="21"/>
  <c r="AC9" i="21"/>
  <c r="AB32" i="21"/>
  <c r="AC23" i="37"/>
  <c r="J11" i="37"/>
  <c r="AC11" i="37" s="1"/>
  <c r="J11" i="34"/>
  <c r="W11" i="34" s="1"/>
  <c r="AB36" i="33"/>
  <c r="W25" i="33"/>
  <c r="AC25" i="33"/>
  <c r="U19" i="33"/>
  <c r="AA17"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20" i="31"/>
  <c r="B11" i="76"/>
  <c r="F8" i="67"/>
  <c r="AO13" i="1"/>
  <c r="F4" i="73"/>
  <c r="F3" i="73"/>
  <c r="E8" i="76"/>
  <c r="B8" i="76"/>
  <c r="F9" i="67"/>
  <c r="B9" i="76"/>
  <c r="B7" i="76"/>
  <c r="B12" i="76"/>
  <c r="F37" i="67"/>
  <c r="B13" i="76"/>
  <c r="F16" i="67"/>
  <c r="F38" i="67"/>
  <c r="F42" i="15"/>
  <c r="F7" i="67"/>
  <c r="E7" i="76"/>
  <c r="B10" i="76"/>
  <c r="F13" i="67"/>
  <c r="E12" i="76"/>
  <c r="F16" i="15"/>
  <c r="E10" i="76"/>
  <c r="F6" i="73"/>
  <c r="E13" i="76"/>
  <c r="F26" i="15"/>
  <c r="F26" i="67"/>
  <c r="F7" i="73"/>
  <c r="F5" i="73"/>
  <c r="F40" i="67"/>
  <c r="E2" i="69"/>
  <c r="M8" i="67"/>
  <c r="F36" i="67"/>
  <c r="M29" i="67"/>
  <c r="E2" i="68"/>
  <c r="L48" i="67"/>
  <c r="E11" i="76"/>
  <c r="B58" i="43" l="1"/>
  <c r="B79" i="43"/>
  <c r="C29" i="39"/>
  <c r="B68" i="43"/>
  <c r="B61" i="43"/>
  <c r="BT5" i="3"/>
  <c r="AZ381" i="3"/>
  <c r="AZ542" i="3"/>
  <c r="AC42" i="21"/>
  <c r="W42" i="21"/>
  <c r="AZ569" i="3"/>
  <c r="AZ576" i="3"/>
  <c r="U30" i="40"/>
  <c r="S28" i="21"/>
  <c r="W17" i="21"/>
  <c r="S28" i="33"/>
  <c r="AB40" i="34"/>
  <c r="AB37" i="37"/>
  <c r="S20" i="36"/>
  <c r="U42" i="39"/>
  <c r="S19" i="33"/>
  <c r="AA19" i="33"/>
  <c r="S17" i="39"/>
  <c r="AA27" i="40"/>
  <c r="BD5" i="3"/>
  <c r="AZ331" i="3"/>
  <c r="AZ390" i="3"/>
  <c r="AZ371" i="3"/>
  <c r="AZ351" i="3"/>
  <c r="AZ305" i="3"/>
  <c r="AZ192" i="3"/>
  <c r="AZ183" i="3"/>
  <c r="AB33" i="40"/>
  <c r="U26" i="37"/>
  <c r="AZ511" i="3"/>
  <c r="AZ523" i="3"/>
  <c r="AZ537" i="3"/>
  <c r="W14" i="40"/>
  <c r="AC14" i="40"/>
  <c r="H35" i="35"/>
  <c r="AB35" i="35" s="1"/>
  <c r="W28" i="21"/>
  <c r="AC28" i="21"/>
  <c r="F26" i="33"/>
  <c r="H14" i="21"/>
  <c r="F14" i="21"/>
  <c r="B101" i="43"/>
  <c r="B101" i="84"/>
  <c r="B69" i="84"/>
  <c r="B79" i="84"/>
  <c r="B58" i="84"/>
  <c r="C25" i="39"/>
  <c r="J36" i="35"/>
  <c r="AC36" i="35" s="1"/>
  <c r="H36" i="35"/>
  <c r="S23" i="21"/>
  <c r="AA23" i="21"/>
  <c r="H14" i="37"/>
  <c r="AB14" i="37" s="1"/>
  <c r="J14" i="37"/>
  <c r="H38" i="37"/>
  <c r="J38" i="37"/>
  <c r="S15" i="37"/>
  <c r="AZ322" i="3"/>
  <c r="U31" i="40"/>
  <c r="AC32" i="37"/>
  <c r="AA17" i="21"/>
  <c r="S17" i="21"/>
  <c r="S30" i="34"/>
  <c r="U16" i="35"/>
  <c r="AC44" i="39"/>
  <c r="W44" i="39"/>
  <c r="F30" i="33"/>
  <c r="H30" i="33"/>
  <c r="J30" i="33"/>
  <c r="F29" i="34"/>
  <c r="J29" i="34"/>
  <c r="H29" i="34"/>
  <c r="BB5" i="3"/>
  <c r="D78" i="9"/>
  <c r="D93" i="9"/>
  <c r="S32" i="21"/>
  <c r="AZ164" i="3"/>
  <c r="AZ573" i="3"/>
  <c r="S14" i="33"/>
  <c r="AA14" i="33"/>
  <c r="AB40" i="21"/>
  <c r="U40" i="21"/>
  <c r="W11" i="35"/>
  <c r="AC11" i="35"/>
  <c r="U45" i="21"/>
  <c r="AB45" i="21"/>
  <c r="H31" i="33"/>
  <c r="AB31" i="33" s="1"/>
  <c r="J31" i="33"/>
  <c r="F31" i="33"/>
  <c r="AC13" i="39"/>
  <c r="U34" i="33"/>
  <c r="AB34" i="33"/>
  <c r="BM5" i="3"/>
  <c r="AZ379" i="3"/>
  <c r="AZ338" i="3"/>
  <c r="AZ306" i="3"/>
  <c r="AC45" i="33"/>
  <c r="AB23" i="37"/>
  <c r="AA42" i="33"/>
  <c r="S42" i="33"/>
  <c r="AZ546" i="3"/>
  <c r="H11" i="35"/>
  <c r="AB11" i="35" s="1"/>
  <c r="H30" i="34"/>
  <c r="AA27" i="33"/>
  <c r="S27" i="33"/>
  <c r="J13" i="21"/>
  <c r="AA34" i="37"/>
  <c r="H33" i="36"/>
  <c r="J33" i="36"/>
  <c r="AC33" i="36" s="1"/>
  <c r="F33" i="36"/>
  <c r="BL551" i="3"/>
  <c r="BA547" i="3"/>
  <c r="BL542" i="3"/>
  <c r="BA538" i="3"/>
  <c r="AZ538" i="3" s="1"/>
  <c r="BA531" i="3"/>
  <c r="AZ531" i="3" s="1"/>
  <c r="BL524" i="3"/>
  <c r="AZ524" i="3" s="1"/>
  <c r="BA508" i="3"/>
  <c r="AZ508" i="3" s="1"/>
  <c r="BA503" i="3"/>
  <c r="AZ503" i="3" s="1"/>
  <c r="W23" i="21"/>
  <c r="AC27" i="33"/>
  <c r="AA25" i="33"/>
  <c r="AB27" i="33"/>
  <c r="AC35" i="33"/>
  <c r="S21" i="39"/>
  <c r="AB46" i="21"/>
  <c r="W34" i="39"/>
  <c r="U35" i="39"/>
  <c r="W32" i="39"/>
  <c r="AA15" i="21"/>
  <c r="AB42" i="21"/>
  <c r="U15" i="33"/>
  <c r="U38" i="34"/>
  <c r="U19" i="37"/>
  <c r="S28" i="37"/>
  <c r="AB35" i="34"/>
  <c r="S34" i="33"/>
  <c r="AA34" i="33"/>
  <c r="AC30" i="40"/>
  <c r="AC14" i="35"/>
  <c r="U17" i="39"/>
  <c r="AZ155" i="3"/>
  <c r="AA39" i="33"/>
  <c r="AZ548" i="3"/>
  <c r="AZ566" i="3"/>
  <c r="S12" i="40"/>
  <c r="F38" i="37"/>
  <c r="W12" i="40"/>
  <c r="H26" i="33"/>
  <c r="AC19" i="33"/>
  <c r="W19" i="33"/>
  <c r="AA35" i="39"/>
  <c r="AB34" i="34"/>
  <c r="U34" i="34"/>
  <c r="J24" i="36"/>
  <c r="H24" i="36"/>
  <c r="F24" i="36"/>
  <c r="AB30" i="37"/>
  <c r="U30" i="37"/>
  <c r="F25" i="37"/>
  <c r="H25" i="37"/>
  <c r="J25" i="37"/>
  <c r="AZ519" i="3"/>
  <c r="AZ529" i="3"/>
  <c r="F14" i="37"/>
  <c r="B84" i="84"/>
  <c r="B84" i="43"/>
  <c r="J40" i="37"/>
  <c r="F40" i="37"/>
  <c r="BL555" i="3"/>
  <c r="BL541" i="3"/>
  <c r="AZ541" i="3" s="1"/>
  <c r="AZ528" i="3"/>
  <c r="BL513" i="3"/>
  <c r="AZ513" i="3"/>
  <c r="BA512" i="3"/>
  <c r="AZ512" i="3" s="1"/>
  <c r="BA496" i="3"/>
  <c r="AZ496" i="3" s="1"/>
  <c r="AB23" i="21"/>
  <c r="S44" i="21"/>
  <c r="AC13" i="33"/>
  <c r="AB33" i="34"/>
  <c r="AA35" i="33"/>
  <c r="AA11" i="35"/>
  <c r="AA36" i="35"/>
  <c r="AA34" i="36"/>
  <c r="AB32" i="37"/>
  <c r="U32" i="37"/>
  <c r="AB21" i="40"/>
  <c r="U21" i="40"/>
  <c r="U32" i="39"/>
  <c r="U23" i="33"/>
  <c r="AA23" i="37"/>
  <c r="AB35" i="37"/>
  <c r="W25" i="39"/>
  <c r="W41" i="34"/>
  <c r="AA26" i="36"/>
  <c r="AA12" i="39"/>
  <c r="U37" i="39"/>
  <c r="AC34" i="33"/>
  <c r="AA43" i="34"/>
  <c r="S43" i="34"/>
  <c r="AC11" i="39"/>
  <c r="AZ345" i="3"/>
  <c r="AZ334" i="3"/>
  <c r="AZ328" i="3"/>
  <c r="AZ376" i="3"/>
  <c r="AZ518" i="3"/>
  <c r="AZ536" i="3"/>
  <c r="AC27" i="37"/>
  <c r="W27" i="37"/>
  <c r="H28" i="37"/>
  <c r="U28" i="37" s="1"/>
  <c r="W25" i="36"/>
  <c r="H13" i="35"/>
  <c r="W13" i="34"/>
  <c r="AC13" i="34"/>
  <c r="H40" i="37"/>
  <c r="U46" i="34"/>
  <c r="AB46" i="34"/>
  <c r="AC14" i="36"/>
  <c r="W14" i="36"/>
  <c r="U30" i="21"/>
  <c r="AA37" i="40"/>
  <c r="S37" i="40"/>
  <c r="AA37" i="34"/>
  <c r="S37" i="34"/>
  <c r="BL587" i="3"/>
  <c r="AZ587" i="3" s="1"/>
  <c r="BL586" i="3"/>
  <c r="AZ586" i="3" s="1"/>
  <c r="U41" i="21"/>
  <c r="AB41" i="21"/>
  <c r="BA567" i="3"/>
  <c r="AZ564" i="3"/>
  <c r="AZ559" i="3"/>
  <c r="AZ557" i="3"/>
  <c r="AZ547" i="3"/>
  <c r="AZ585" i="3"/>
  <c r="AA23" i="40"/>
  <c r="S23" i="40"/>
  <c r="AA32" i="39"/>
  <c r="AB13" i="40"/>
  <c r="D120" i="9"/>
  <c r="U28" i="34"/>
  <c r="S15" i="39"/>
  <c r="S17" i="40"/>
  <c r="U20" i="36"/>
  <c r="AB20" i="36"/>
  <c r="AZ384" i="3"/>
  <c r="J13" i="35"/>
  <c r="U8" i="34"/>
  <c r="AB8" i="34"/>
  <c r="AC35" i="35"/>
  <c r="W35" i="35"/>
  <c r="H11" i="36"/>
  <c r="U11" i="36" s="1"/>
  <c r="F11" i="36"/>
  <c r="AZ582" i="3"/>
  <c r="AZ575" i="3"/>
  <c r="AZ574" i="3"/>
  <c r="BL545" i="3"/>
  <c r="AC11" i="33"/>
  <c r="AZ374" i="3"/>
  <c r="AZ364" i="3"/>
  <c r="AZ329" i="3"/>
  <c r="BL535" i="3"/>
  <c r="AZ535" i="3" s="1"/>
  <c r="H27" i="21"/>
  <c r="G587" i="3"/>
  <c r="B94" i="43"/>
  <c r="B51" i="84"/>
  <c r="B73" i="84"/>
  <c r="B94" i="84"/>
  <c r="B62" i="84"/>
  <c r="B87" i="43"/>
  <c r="B87" i="84"/>
  <c r="F9" i="34"/>
  <c r="AA9" i="34" s="1"/>
  <c r="H9" i="34"/>
  <c r="F12" i="35"/>
  <c r="S12" i="35" s="1"/>
  <c r="H12" i="35"/>
  <c r="J39" i="37"/>
  <c r="H39" i="37"/>
  <c r="W31" i="35"/>
  <c r="AC31" i="35"/>
  <c r="BA556" i="3"/>
  <c r="AZ556" i="3" s="1"/>
  <c r="J23" i="35"/>
  <c r="H23" i="35"/>
  <c r="H12" i="36"/>
  <c r="J12" i="36"/>
  <c r="H44" i="39"/>
  <c r="F44" i="39"/>
  <c r="BA544" i="3"/>
  <c r="AZ544" i="3" s="1"/>
  <c r="BL577" i="3"/>
  <c r="AZ577" i="3" s="1"/>
  <c r="S44" i="34"/>
  <c r="W39" i="33"/>
  <c r="W9" i="34"/>
  <c r="B72" i="84"/>
  <c r="B72" i="43"/>
  <c r="AA38" i="33"/>
  <c r="J12" i="35"/>
  <c r="BL552" i="3"/>
  <c r="AZ552" i="3" s="1"/>
  <c r="G551" i="3"/>
  <c r="BL550" i="3"/>
  <c r="G542" i="3"/>
  <c r="BL494" i="3"/>
  <c r="AZ494" i="3" s="1"/>
  <c r="F12" i="36"/>
  <c r="BL585" i="3"/>
  <c r="AC28" i="35"/>
  <c r="W28" i="35"/>
  <c r="BL568" i="3"/>
  <c r="AZ568" i="3" s="1"/>
  <c r="B83" i="43"/>
  <c r="B83" i="84"/>
  <c r="J12" i="34"/>
  <c r="H12" i="34"/>
  <c r="H23" i="36"/>
  <c r="F23" i="36"/>
  <c r="J23" i="36"/>
  <c r="BA570" i="3"/>
  <c r="AZ570" i="3" s="1"/>
  <c r="G574" i="3"/>
  <c r="AZ448" i="3"/>
  <c r="BL455" i="3"/>
  <c r="BL488" i="3"/>
  <c r="AZ419" i="3"/>
  <c r="AZ402" i="3"/>
  <c r="BA420" i="3"/>
  <c r="BL430" i="3"/>
  <c r="BL451" i="3"/>
  <c r="AZ451" i="3" s="1"/>
  <c r="G323" i="3"/>
  <c r="W28" i="36"/>
  <c r="B97" i="43"/>
  <c r="B97" i="84"/>
  <c r="B75" i="84"/>
  <c r="B54" i="84"/>
  <c r="B65" i="84"/>
  <c r="BA550" i="3"/>
  <c r="G414" i="3"/>
  <c r="G485" i="3"/>
  <c r="BA319" i="3"/>
  <c r="AZ319" i="3" s="1"/>
  <c r="BA458" i="3"/>
  <c r="AZ458" i="3" s="1"/>
  <c r="BL402" i="3"/>
  <c r="BA410" i="3"/>
  <c r="AZ443" i="3"/>
  <c r="BL447" i="3"/>
  <c r="G459" i="3"/>
  <c r="BA489" i="3"/>
  <c r="AZ406" i="3"/>
  <c r="BA476" i="3"/>
  <c r="AZ476" i="3" s="1"/>
  <c r="AZ487" i="3"/>
  <c r="AZ217" i="3"/>
  <c r="B99" i="43"/>
  <c r="B56" i="84"/>
  <c r="B76" i="84"/>
  <c r="B67" i="84"/>
  <c r="B99" i="84"/>
  <c r="BA551" i="3"/>
  <c r="AZ551" i="3" s="1"/>
  <c r="BL548" i="3"/>
  <c r="G7" i="1"/>
  <c r="I24" i="84"/>
  <c r="C24" i="84" s="1"/>
  <c r="BL414" i="3"/>
  <c r="BL415" i="3"/>
  <c r="BL421" i="3"/>
  <c r="BL422" i="3"/>
  <c r="BL425" i="3"/>
  <c r="BL426" i="3"/>
  <c r="BL457" i="3"/>
  <c r="BL460" i="3"/>
  <c r="BL461" i="3"/>
  <c r="BL463" i="3"/>
  <c r="G465" i="3"/>
  <c r="BA471" i="3"/>
  <c r="AZ471" i="3" s="1"/>
  <c r="G486" i="3"/>
  <c r="G488" i="3"/>
  <c r="BL332" i="3"/>
  <c r="G339" i="3"/>
  <c r="BA367" i="3"/>
  <c r="AZ367" i="3" s="1"/>
  <c r="BA385" i="3"/>
  <c r="BA397" i="3"/>
  <c r="BA209" i="3"/>
  <c r="BA211" i="3"/>
  <c r="AZ211" i="3" s="1"/>
  <c r="BA218" i="3"/>
  <c r="G223" i="3"/>
  <c r="BA244" i="3"/>
  <c r="BL251" i="3"/>
  <c r="BA282" i="3"/>
  <c r="G286" i="3"/>
  <c r="BA117" i="3"/>
  <c r="BA181" i="3"/>
  <c r="AZ181" i="3" s="1"/>
  <c r="BL183" i="3"/>
  <c r="BA60" i="3"/>
  <c r="AZ60" i="3" s="1"/>
  <c r="BL62" i="3"/>
  <c r="BL63" i="3"/>
  <c r="M20" i="15"/>
  <c r="M20" i="83"/>
  <c r="F34" i="83"/>
  <c r="F62" i="83" s="1"/>
  <c r="BA401" i="3"/>
  <c r="BA403" i="3"/>
  <c r="AZ403" i="3" s="1"/>
  <c r="BA404" i="3"/>
  <c r="AZ404" i="3" s="1"/>
  <c r="BA405" i="3"/>
  <c r="BA441" i="3"/>
  <c r="BL467" i="3"/>
  <c r="BL468" i="3"/>
  <c r="BL470" i="3"/>
  <c r="BL473" i="3"/>
  <c r="AZ473" i="3" s="1"/>
  <c r="BL474" i="3"/>
  <c r="BA307" i="3"/>
  <c r="AZ307" i="3" s="1"/>
  <c r="BL328" i="3"/>
  <c r="BA395" i="3"/>
  <c r="AZ395" i="3" s="1"/>
  <c r="BL212" i="3"/>
  <c r="BL214" i="3"/>
  <c r="AZ214" i="3" s="1"/>
  <c r="AZ239" i="3"/>
  <c r="BA242" i="3"/>
  <c r="AZ242" i="3" s="1"/>
  <c r="BL247" i="3"/>
  <c r="AZ270" i="3"/>
  <c r="BA274" i="3"/>
  <c r="BA276" i="3"/>
  <c r="BA278" i="3"/>
  <c r="AZ278" i="3" s="1"/>
  <c r="BA280" i="3"/>
  <c r="AZ280" i="3" s="1"/>
  <c r="BL285" i="3"/>
  <c r="BA87" i="3"/>
  <c r="AZ87" i="3" s="1"/>
  <c r="BA91" i="3"/>
  <c r="AZ91" i="3" s="1"/>
  <c r="T28" i="71"/>
  <c r="C27" i="71"/>
  <c r="D28" i="71"/>
  <c r="U28" i="71" s="1"/>
  <c r="A15" i="62"/>
  <c r="B61" i="72" s="1"/>
  <c r="G399" i="3"/>
  <c r="BL400" i="3"/>
  <c r="AZ400" i="3" s="1"/>
  <c r="BA439" i="3"/>
  <c r="AZ439" i="3" s="1"/>
  <c r="BA440" i="3"/>
  <c r="AZ440" i="3" s="1"/>
  <c r="BA442" i="3"/>
  <c r="AZ442" i="3" s="1"/>
  <c r="BA445" i="3"/>
  <c r="BA447" i="3"/>
  <c r="BA449" i="3"/>
  <c r="BL471" i="3"/>
  <c r="BL475" i="3"/>
  <c r="BA333" i="3"/>
  <c r="BL346" i="3"/>
  <c r="AZ346" i="3" s="1"/>
  <c r="BL383" i="3"/>
  <c r="AZ383" i="3" s="1"/>
  <c r="BL210" i="3"/>
  <c r="BA225" i="3"/>
  <c r="BA228" i="3"/>
  <c r="BA230" i="3"/>
  <c r="AZ230" i="3" s="1"/>
  <c r="BA236" i="3"/>
  <c r="BA238" i="3"/>
  <c r="AZ238" i="3" s="1"/>
  <c r="BL240" i="3"/>
  <c r="AZ240" i="3" s="1"/>
  <c r="BL243" i="3"/>
  <c r="AZ243" i="3" s="1"/>
  <c r="BA257" i="3"/>
  <c r="AZ257" i="3" s="1"/>
  <c r="BA258" i="3"/>
  <c r="BA267" i="3"/>
  <c r="AZ267" i="3" s="1"/>
  <c r="BA269" i="3"/>
  <c r="AZ269" i="3" s="1"/>
  <c r="BA271" i="3"/>
  <c r="BA273" i="3"/>
  <c r="AZ273" i="3" s="1"/>
  <c r="BL293" i="3"/>
  <c r="AZ293" i="3" s="1"/>
  <c r="BL294" i="3"/>
  <c r="BL297" i="3"/>
  <c r="BL115" i="3"/>
  <c r="AZ115" i="3" s="1"/>
  <c r="BL146" i="3"/>
  <c r="BA196" i="3"/>
  <c r="AZ196" i="3" s="1"/>
  <c r="BL44" i="3"/>
  <c r="BL81" i="3"/>
  <c r="BA86" i="3"/>
  <c r="AZ86" i="3" s="1"/>
  <c r="BA108" i="3"/>
  <c r="AZ108" i="3" s="1"/>
  <c r="D88" i="71"/>
  <c r="C87" i="71"/>
  <c r="G17" i="3"/>
  <c r="BL398" i="3"/>
  <c r="AZ398" i="3" s="1"/>
  <c r="G402" i="3"/>
  <c r="BL403" i="3"/>
  <c r="G405" i="3"/>
  <c r="G406" i="3"/>
  <c r="BA408" i="3"/>
  <c r="BA409" i="3"/>
  <c r="AZ409" i="3" s="1"/>
  <c r="BA411" i="3"/>
  <c r="BA417" i="3"/>
  <c r="BA428" i="3"/>
  <c r="BA429" i="3"/>
  <c r="AZ429" i="3" s="1"/>
  <c r="BA430" i="3"/>
  <c r="AZ430" i="3" s="1"/>
  <c r="BA432" i="3"/>
  <c r="AZ432" i="3" s="1"/>
  <c r="BA434" i="3"/>
  <c r="BA436" i="3"/>
  <c r="BA438" i="3"/>
  <c r="G442" i="3"/>
  <c r="G443" i="3"/>
  <c r="BA446" i="3"/>
  <c r="BA450" i="3"/>
  <c r="BA453" i="3"/>
  <c r="AZ453" i="3" s="1"/>
  <c r="BA455" i="3"/>
  <c r="AZ455" i="3" s="1"/>
  <c r="BL316" i="3"/>
  <c r="BL381" i="3"/>
  <c r="BL397" i="3"/>
  <c r="BL227" i="3"/>
  <c r="BL228" i="3"/>
  <c r="BA237" i="3"/>
  <c r="AZ237" i="3" s="1"/>
  <c r="BA255" i="3"/>
  <c r="AZ255" i="3" s="1"/>
  <c r="BA256" i="3"/>
  <c r="BA259" i="3"/>
  <c r="AZ259" i="3" s="1"/>
  <c r="BA263" i="3"/>
  <c r="BL265" i="3"/>
  <c r="AZ265" i="3" s="1"/>
  <c r="G267" i="3"/>
  <c r="G269" i="3"/>
  <c r="BL275" i="3"/>
  <c r="AZ275" i="3" s="1"/>
  <c r="BL291" i="3"/>
  <c r="AZ291" i="3" s="1"/>
  <c r="BL135" i="3"/>
  <c r="AZ135" i="3" s="1"/>
  <c r="BA152" i="3"/>
  <c r="AZ152" i="3" s="1"/>
  <c r="BA154" i="3"/>
  <c r="AZ154" i="3" s="1"/>
  <c r="BA160" i="3"/>
  <c r="AZ160" i="3" s="1"/>
  <c r="BA194" i="3"/>
  <c r="AZ194" i="3" s="1"/>
  <c r="BA40" i="3"/>
  <c r="AZ40" i="3" s="1"/>
  <c r="BA41" i="3"/>
  <c r="AZ41" i="3" s="1"/>
  <c r="AC18" i="36"/>
  <c r="W18" i="36"/>
  <c r="AA37" i="71"/>
  <c r="AA38" i="71"/>
  <c r="AA39" i="7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BL437" i="3"/>
  <c r="AZ437" i="3" s="1"/>
  <c r="BL441" i="3"/>
  <c r="BL442" i="3"/>
  <c r="BL444" i="3"/>
  <c r="AZ444" i="3" s="1"/>
  <c r="BL448" i="3"/>
  <c r="BA454" i="3"/>
  <c r="BA457" i="3"/>
  <c r="BA459" i="3"/>
  <c r="BA460" i="3"/>
  <c r="BA461" i="3"/>
  <c r="BA483" i="3"/>
  <c r="AZ483" i="3" s="1"/>
  <c r="BA486" i="3"/>
  <c r="BA315" i="3"/>
  <c r="AZ315" i="3" s="1"/>
  <c r="BA331" i="3"/>
  <c r="BA339" i="3"/>
  <c r="AZ339" i="3" s="1"/>
  <c r="BA348" i="3"/>
  <c r="BA350" i="3"/>
  <c r="AZ350" i="3" s="1"/>
  <c r="BL225" i="3"/>
  <c r="BL226" i="3"/>
  <c r="BL231" i="3"/>
  <c r="BL233" i="3"/>
  <c r="AZ233" i="3" s="1"/>
  <c r="BL235" i="3"/>
  <c r="AZ235" i="3" s="1"/>
  <c r="BL236" i="3"/>
  <c r="BL238" i="3"/>
  <c r="BL241" i="3"/>
  <c r="AZ241" i="3" s="1"/>
  <c r="BL270" i="3"/>
  <c r="BA272" i="3"/>
  <c r="AZ272" i="3" s="1"/>
  <c r="BA120" i="3"/>
  <c r="AZ120" i="3" s="1"/>
  <c r="BL157" i="3"/>
  <c r="AZ157" i="3" s="1"/>
  <c r="BL159" i="3"/>
  <c r="AZ159" i="3" s="1"/>
  <c r="BA177" i="3"/>
  <c r="D83" i="71"/>
  <c r="C82" i="71"/>
  <c r="D82" i="71" s="1"/>
  <c r="X36" i="71"/>
  <c r="X38" i="71"/>
  <c r="B39" i="71"/>
  <c r="B40" i="71" s="1"/>
  <c r="S40" i="71" s="1"/>
  <c r="C52" i="71"/>
  <c r="D51" i="71"/>
  <c r="G409" i="3"/>
  <c r="BL410" i="3"/>
  <c r="G412" i="3"/>
  <c r="G418" i="3"/>
  <c r="G419" i="3"/>
  <c r="BA422" i="3"/>
  <c r="G430" i="3"/>
  <c r="BL431" i="3"/>
  <c r="BL434" i="3"/>
  <c r="G437" i="3"/>
  <c r="BL438" i="3"/>
  <c r="AZ438" i="3" s="1"/>
  <c r="BL439" i="3"/>
  <c r="BL445" i="3"/>
  <c r="BL446" i="3"/>
  <c r="BL449" i="3"/>
  <c r="BL450" i="3"/>
  <c r="BL452" i="3"/>
  <c r="G454" i="3"/>
  <c r="G455" i="3"/>
  <c r="BL456" i="3"/>
  <c r="AZ456" i="3" s="1"/>
  <c r="BA464" i="3"/>
  <c r="AZ464" i="3" s="1"/>
  <c r="BA482" i="3"/>
  <c r="BA484" i="3"/>
  <c r="AZ484" i="3" s="1"/>
  <c r="BL324" i="3"/>
  <c r="AZ324" i="3" s="1"/>
  <c r="BA349" i="3"/>
  <c r="AZ349" i="3" s="1"/>
  <c r="BL353" i="3"/>
  <c r="BA358" i="3"/>
  <c r="AZ358" i="3" s="1"/>
  <c r="BA368" i="3"/>
  <c r="AZ368" i="3" s="1"/>
  <c r="BL229" i="3"/>
  <c r="BL239" i="3"/>
  <c r="BA248" i="3"/>
  <c r="BL250" i="3"/>
  <c r="AZ250" i="3" s="1"/>
  <c r="G252" i="3"/>
  <c r="G254" i="3"/>
  <c r="BL255" i="3"/>
  <c r="BL260" i="3"/>
  <c r="AZ260" i="3" s="1"/>
  <c r="BL263" i="3"/>
  <c r="BA286" i="3"/>
  <c r="G289" i="3"/>
  <c r="G290" i="3"/>
  <c r="G291" i="3"/>
  <c r="BL292" i="3"/>
  <c r="BL178" i="3"/>
  <c r="BA38" i="3"/>
  <c r="BA105" i="3"/>
  <c r="C74" i="71"/>
  <c r="D74" i="71" s="1"/>
  <c r="X34" i="71"/>
  <c r="X35" i="71"/>
  <c r="BL408" i="3"/>
  <c r="BL411" i="3"/>
  <c r="BL413" i="3"/>
  <c r="AZ413" i="3" s="1"/>
  <c r="G415" i="3"/>
  <c r="BL417" i="3"/>
  <c r="BL418" i="3"/>
  <c r="BL420" i="3"/>
  <c r="G422" i="3"/>
  <c r="BL424" i="3"/>
  <c r="G426" i="3"/>
  <c r="G427" i="3"/>
  <c r="BL428" i="3"/>
  <c r="BL429" i="3"/>
  <c r="BL432" i="3"/>
  <c r="BL435" i="3"/>
  <c r="BL436" i="3"/>
  <c r="BL453" i="3"/>
  <c r="BL454" i="3"/>
  <c r="BL459" i="3"/>
  <c r="G461" i="3"/>
  <c r="BA465" i="3"/>
  <c r="AZ465" i="3" s="1"/>
  <c r="BA467" i="3"/>
  <c r="BA468" i="3"/>
  <c r="BA477" i="3"/>
  <c r="BA478" i="3"/>
  <c r="BA481" i="3"/>
  <c r="G484" i="3"/>
  <c r="BA488" i="3"/>
  <c r="AZ488" i="3" s="1"/>
  <c r="BA491" i="3"/>
  <c r="AZ491" i="3" s="1"/>
  <c r="G349" i="3"/>
  <c r="BA210" i="3"/>
  <c r="AZ210" i="3" s="1"/>
  <c r="BL224" i="3"/>
  <c r="BA245" i="3"/>
  <c r="AZ245" i="3" s="1"/>
  <c r="BA246" i="3"/>
  <c r="BL248" i="3"/>
  <c r="G250" i="3"/>
  <c r="BA283" i="3"/>
  <c r="AZ283" i="3" s="1"/>
  <c r="BA284" i="3"/>
  <c r="AZ284" i="3" s="1"/>
  <c r="BL286" i="3"/>
  <c r="BL123" i="3"/>
  <c r="AZ123" i="3" s="1"/>
  <c r="BA173" i="3"/>
  <c r="AZ173" i="3" s="1"/>
  <c r="BA174" i="3"/>
  <c r="BA182" i="3"/>
  <c r="BL185" i="3"/>
  <c r="G186" i="3"/>
  <c r="BL48" i="3"/>
  <c r="BL64" i="3"/>
  <c r="G65" i="3"/>
  <c r="BA95" i="3"/>
  <c r="BA116" i="3"/>
  <c r="AZ116" i="3" s="1"/>
  <c r="BL121" i="3"/>
  <c r="BL161" i="3"/>
  <c r="G162" i="3"/>
  <c r="BL167" i="3"/>
  <c r="AZ167" i="3" s="1"/>
  <c r="BL175" i="3"/>
  <c r="AZ175" i="3" s="1"/>
  <c r="BL186" i="3"/>
  <c r="G187" i="3"/>
  <c r="BA197" i="3"/>
  <c r="G203" i="3"/>
  <c r="BL35" i="3"/>
  <c r="BA42" i="3"/>
  <c r="G47" i="3"/>
  <c r="BA62" i="3"/>
  <c r="BA63" i="3"/>
  <c r="BL65" i="3"/>
  <c r="AZ65" i="3" s="1"/>
  <c r="BL66" i="3"/>
  <c r="AZ66" i="3" s="1"/>
  <c r="BL68" i="3"/>
  <c r="BA77" i="3"/>
  <c r="AZ77" i="3" s="1"/>
  <c r="BL82" i="3"/>
  <c r="G83" i="3"/>
  <c r="BL100" i="3"/>
  <c r="C31" i="71"/>
  <c r="D30" i="71"/>
  <c r="AB32" i="71"/>
  <c r="BL244" i="3"/>
  <c r="BL256" i="3"/>
  <c r="BL264" i="3"/>
  <c r="BL266" i="3"/>
  <c r="BL273" i="3"/>
  <c r="BL277" i="3"/>
  <c r="AZ277" i="3" s="1"/>
  <c r="BL282" i="3"/>
  <c r="BA297" i="3"/>
  <c r="AZ297" i="3" s="1"/>
  <c r="BA302" i="3"/>
  <c r="AZ302" i="3" s="1"/>
  <c r="BA130" i="3"/>
  <c r="AZ130" i="3" s="1"/>
  <c r="BL139" i="3"/>
  <c r="AZ139" i="3" s="1"/>
  <c r="BL141" i="3"/>
  <c r="BA146" i="3"/>
  <c r="AZ146" i="3" s="1"/>
  <c r="BA150" i="3"/>
  <c r="AZ150" i="3" s="1"/>
  <c r="BA168" i="3"/>
  <c r="AZ168" i="3" s="1"/>
  <c r="BA180" i="3"/>
  <c r="AZ180" i="3" s="1"/>
  <c r="BL182" i="3"/>
  <c r="BL193" i="3"/>
  <c r="AZ193" i="3" s="1"/>
  <c r="BL194" i="3"/>
  <c r="BL52" i="3"/>
  <c r="BL53" i="3"/>
  <c r="BA59" i="3"/>
  <c r="BL61" i="3"/>
  <c r="BL76" i="3"/>
  <c r="G81" i="3"/>
  <c r="BL92" i="3"/>
  <c r="AZ92" i="3" s="1"/>
  <c r="AB21" i="34"/>
  <c r="U21" i="34"/>
  <c r="AC29" i="39"/>
  <c r="W29" i="39"/>
  <c r="BL317" i="3"/>
  <c r="G318" i="3"/>
  <c r="BA353" i="3"/>
  <c r="AZ353" i="3" s="1"/>
  <c r="BL365" i="3"/>
  <c r="AZ365" i="3" s="1"/>
  <c r="G366" i="3"/>
  <c r="BL368" i="3"/>
  <c r="BA374" i="3"/>
  <c r="BA388" i="3"/>
  <c r="AZ388" i="3" s="1"/>
  <c r="BL217" i="3"/>
  <c r="BA219" i="3"/>
  <c r="AZ219" i="3" s="1"/>
  <c r="BA221" i="3"/>
  <c r="BA223" i="3"/>
  <c r="BL232" i="3"/>
  <c r="BL234" i="3"/>
  <c r="BL261" i="3"/>
  <c r="BL271" i="3"/>
  <c r="BL274" i="3"/>
  <c r="BA296" i="3"/>
  <c r="BA121" i="3"/>
  <c r="AZ121" i="3" s="1"/>
  <c r="BA124" i="3"/>
  <c r="AZ124" i="3" s="1"/>
  <c r="BA126" i="3"/>
  <c r="BA129" i="3"/>
  <c r="BL133" i="3"/>
  <c r="AZ133" i="3" s="1"/>
  <c r="BL134" i="3"/>
  <c r="BL137" i="3"/>
  <c r="AZ137" i="3" s="1"/>
  <c r="BA144" i="3"/>
  <c r="AZ144" i="3" s="1"/>
  <c r="G152" i="3"/>
  <c r="BL169" i="3"/>
  <c r="BL170" i="3"/>
  <c r="G171" i="3"/>
  <c r="G206" i="3"/>
  <c r="BL206" i="3"/>
  <c r="G29" i="3"/>
  <c r="BL29" i="3"/>
  <c r="BA37" i="3"/>
  <c r="BL39" i="3"/>
  <c r="AZ39" i="3" s="1"/>
  <c r="BL50" i="3"/>
  <c r="AZ50" i="3" s="1"/>
  <c r="BL51" i="3"/>
  <c r="BA72" i="3"/>
  <c r="G76" i="3"/>
  <c r="BA84" i="3"/>
  <c r="BL88" i="3"/>
  <c r="AZ88" i="3" s="1"/>
  <c r="BL90" i="3"/>
  <c r="BA101" i="3"/>
  <c r="BL103" i="3"/>
  <c r="W21" i="21"/>
  <c r="AC21" i="21"/>
  <c r="O65" i="71"/>
  <c r="D66" i="71"/>
  <c r="O66" i="71"/>
  <c r="F79" i="71"/>
  <c r="F78" i="71" s="1"/>
  <c r="V80" i="71"/>
  <c r="BA384" i="3"/>
  <c r="BL213" i="3"/>
  <c r="BL215" i="3"/>
  <c r="BA222" i="3"/>
  <c r="AZ222" i="3" s="1"/>
  <c r="BA224" i="3"/>
  <c r="BA226" i="3"/>
  <c r="BA294" i="3"/>
  <c r="BA298" i="3"/>
  <c r="AZ298" i="3" s="1"/>
  <c r="BL301" i="3"/>
  <c r="AZ301" i="3" s="1"/>
  <c r="BL302" i="3"/>
  <c r="BA128" i="3"/>
  <c r="AZ128" i="3" s="1"/>
  <c r="BL149" i="3"/>
  <c r="AZ149" i="3" s="1"/>
  <c r="BL150" i="3"/>
  <c r="BA162" i="3"/>
  <c r="AZ162" i="3" s="1"/>
  <c r="BL179" i="3"/>
  <c r="AZ179" i="3" s="1"/>
  <c r="BL191" i="3"/>
  <c r="AZ191" i="3" s="1"/>
  <c r="BL205" i="3"/>
  <c r="BA21" i="3"/>
  <c r="AZ21" i="3" s="1"/>
  <c r="BA47" i="3"/>
  <c r="BL49" i="3"/>
  <c r="BA56" i="3"/>
  <c r="BA57" i="3"/>
  <c r="AZ57" i="3" s="1"/>
  <c r="BL58" i="3"/>
  <c r="BA70" i="3"/>
  <c r="BA71" i="3"/>
  <c r="BL72" i="3"/>
  <c r="BA111" i="3"/>
  <c r="AA18" i="36"/>
  <c r="S18" i="36"/>
  <c r="P27" i="6"/>
  <c r="B28" i="71"/>
  <c r="X26" i="71"/>
  <c r="X32" i="71"/>
  <c r="X31" i="71"/>
  <c r="F34" i="71"/>
  <c r="F35" i="71" s="1"/>
  <c r="F36" i="71" s="1"/>
  <c r="V36" i="71" s="1"/>
  <c r="AB28" i="71"/>
  <c r="AB33" i="71"/>
  <c r="AA35" i="71"/>
  <c r="F66" i="71"/>
  <c r="Q66" i="71" s="1"/>
  <c r="Q67" i="71"/>
  <c r="T72" i="71"/>
  <c r="C71" i="71"/>
  <c r="AA27" i="7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BA249" i="3"/>
  <c r="AZ249" i="3" s="1"/>
  <c r="BA251" i="3"/>
  <c r="BA253" i="3"/>
  <c r="BA290" i="3"/>
  <c r="G297" i="3"/>
  <c r="BL299" i="3"/>
  <c r="G300" i="3"/>
  <c r="BL113" i="3"/>
  <c r="BA118" i="3"/>
  <c r="BA122" i="3"/>
  <c r="AZ122" i="3" s="1"/>
  <c r="BL125" i="3"/>
  <c r="AZ125" i="3" s="1"/>
  <c r="BL126" i="3"/>
  <c r="G130" i="3"/>
  <c r="BL138" i="3"/>
  <c r="BA142" i="3"/>
  <c r="BL166" i="3"/>
  <c r="BA201" i="3"/>
  <c r="AZ201" i="3" s="1"/>
  <c r="G204" i="3"/>
  <c r="BA20" i="3"/>
  <c r="AZ20" i="3" s="1"/>
  <c r="BL25" i="3"/>
  <c r="AZ25" i="3" s="1"/>
  <c r="BL27" i="3"/>
  <c r="BA45" i="3"/>
  <c r="BA46" i="3"/>
  <c r="BL47" i="3"/>
  <c r="G49" i="3"/>
  <c r="G50" i="3"/>
  <c r="BA55" i="3"/>
  <c r="AZ55" i="3" s="1"/>
  <c r="BA67" i="3"/>
  <c r="AZ67" i="3" s="1"/>
  <c r="BL70" i="3"/>
  <c r="BL71" i="3"/>
  <c r="BL73" i="3"/>
  <c r="W21" i="33"/>
  <c r="AC21" i="33"/>
  <c r="D60" i="71"/>
  <c r="T60" i="71"/>
  <c r="E40" i="71"/>
  <c r="U40" i="71" s="1"/>
  <c r="Y26" i="71"/>
  <c r="Z26" i="71" s="1"/>
  <c r="Y27" i="71"/>
  <c r="Z27" i="71" s="1"/>
  <c r="Y25" i="71"/>
  <c r="Z25" i="71" s="1"/>
  <c r="BL112" i="3"/>
  <c r="AA30" i="71"/>
  <c r="C55" i="71"/>
  <c r="B60" i="71"/>
  <c r="S60" i="71" s="1"/>
  <c r="BL118" i="3"/>
  <c r="BA153" i="3"/>
  <c r="BA164" i="3"/>
  <c r="BA166" i="3"/>
  <c r="BA169" i="3"/>
  <c r="BL171" i="3"/>
  <c r="AZ171" i="3" s="1"/>
  <c r="G174" i="3"/>
  <c r="BA184" i="3"/>
  <c r="AZ184" i="3" s="1"/>
  <c r="BL187" i="3"/>
  <c r="AZ187" i="3" s="1"/>
  <c r="G188" i="3"/>
  <c r="BL189" i="3"/>
  <c r="AZ189" i="3" s="1"/>
  <c r="BL190" i="3"/>
  <c r="G191" i="3"/>
  <c r="BA200" i="3"/>
  <c r="AZ200" i="3" s="1"/>
  <c r="BA202" i="3"/>
  <c r="BL207" i="3"/>
  <c r="AZ207" i="3" s="1"/>
  <c r="G18" i="3"/>
  <c r="BA27" i="3"/>
  <c r="G30" i="3"/>
  <c r="BL30" i="3"/>
  <c r="BL31" i="3"/>
  <c r="G35" i="3"/>
  <c r="G36" i="3"/>
  <c r="G37" i="3"/>
  <c r="BA48" i="3"/>
  <c r="AZ48" i="3" s="1"/>
  <c r="BA49" i="3"/>
  <c r="AZ49" i="3" s="1"/>
  <c r="BA51" i="3"/>
  <c r="AZ51" i="3" s="1"/>
  <c r="G54" i="3"/>
  <c r="G55" i="3"/>
  <c r="BL56" i="3"/>
  <c r="BA61" i="3"/>
  <c r="AZ61" i="3" s="1"/>
  <c r="BA68" i="3"/>
  <c r="BA73" i="3"/>
  <c r="AZ73" i="3" s="1"/>
  <c r="BA80" i="3"/>
  <c r="G84" i="3"/>
  <c r="BL84" i="3"/>
  <c r="G99" i="3"/>
  <c r="G103" i="3"/>
  <c r="C7" i="37"/>
  <c r="C52" i="37" s="1"/>
  <c r="D52" i="37" s="1"/>
  <c r="E52" i="37" s="1"/>
  <c r="F52" i="37" s="1"/>
  <c r="G52" i="37" s="1"/>
  <c r="H52" i="37" s="1"/>
  <c r="I52" i="37" s="1"/>
  <c r="J52" i="37" s="1"/>
  <c r="K52" i="37" s="1"/>
  <c r="L52" i="37" s="1"/>
  <c r="M52" i="37" s="1"/>
  <c r="N52" i="37" s="1"/>
  <c r="O52" i="37" s="1"/>
  <c r="G23" i="84"/>
  <c r="J51" i="83"/>
  <c r="AC21" i="37"/>
  <c r="S25" i="40"/>
  <c r="O67" i="71"/>
  <c r="AB27" i="71"/>
  <c r="AB37" i="71"/>
  <c r="F43" i="71"/>
  <c r="F44" i="71" s="1"/>
  <c r="V44" i="71" s="1"/>
  <c r="B67" i="71"/>
  <c r="B55" i="71"/>
  <c r="B56" i="71" s="1"/>
  <c r="S56" i="71" s="1"/>
  <c r="BL155" i="3"/>
  <c r="BA176" i="3"/>
  <c r="AZ176" i="3" s="1"/>
  <c r="BA178" i="3"/>
  <c r="G182" i="3"/>
  <c r="BA192" i="3"/>
  <c r="BL197" i="3"/>
  <c r="G198" i="3"/>
  <c r="BL199" i="3"/>
  <c r="AZ199" i="3" s="1"/>
  <c r="G22" i="3"/>
  <c r="G24" i="3"/>
  <c r="G25" i="3"/>
  <c r="G27" i="3"/>
  <c r="G40" i="3"/>
  <c r="BL40" i="3"/>
  <c r="BL41" i="3"/>
  <c r="G45" i="3"/>
  <c r="BL45" i="3"/>
  <c r="BA58" i="3"/>
  <c r="BL59" i="3"/>
  <c r="BL60" i="3"/>
  <c r="BA89" i="3"/>
  <c r="BA103" i="3"/>
  <c r="AZ103" i="3" s="1"/>
  <c r="BA104" i="3"/>
  <c r="AZ104" i="3" s="1"/>
  <c r="BA106" i="3"/>
  <c r="AZ106" i="3" s="1"/>
  <c r="BL108" i="3"/>
  <c r="G110" i="3"/>
  <c r="BL111" i="3"/>
  <c r="S21" i="37"/>
  <c r="AA18" i="35"/>
  <c r="AA28" i="71"/>
  <c r="AB25" i="71"/>
  <c r="C43" i="71"/>
  <c r="C35" i="71"/>
  <c r="X33" i="71"/>
  <c r="B100" i="43"/>
  <c r="B77" i="84"/>
  <c r="B68" i="84"/>
  <c r="B100" i="84"/>
  <c r="B57" i="84"/>
  <c r="C39" i="71"/>
  <c r="Y37" i="71"/>
  <c r="Z37" i="71" s="1"/>
  <c r="E31" i="71"/>
  <c r="E32" i="71" s="1"/>
  <c r="U32" i="71" s="1"/>
  <c r="X28" i="71"/>
  <c r="AB38" i="71"/>
  <c r="F47" i="71"/>
  <c r="F48" i="71" s="1"/>
  <c r="V48" i="71" s="1"/>
  <c r="F59" i="71"/>
  <c r="F60" i="71" s="1"/>
  <c r="V60" i="71" s="1"/>
  <c r="B79" i="71"/>
  <c r="B78" i="71" s="1"/>
  <c r="BL143" i="3"/>
  <c r="AZ143" i="3" s="1"/>
  <c r="G146" i="3"/>
  <c r="G147" i="3"/>
  <c r="BL177" i="3"/>
  <c r="G179" i="3"/>
  <c r="BA186" i="3"/>
  <c r="AZ186" i="3" s="1"/>
  <c r="BA190" i="3"/>
  <c r="AZ190" i="3" s="1"/>
  <c r="G196" i="3"/>
  <c r="BA204" i="3"/>
  <c r="AZ204" i="3" s="1"/>
  <c r="G20" i="3"/>
  <c r="BL20" i="3"/>
  <c r="BA29" i="3"/>
  <c r="BA36" i="3"/>
  <c r="BL38" i="3"/>
  <c r="BA52" i="3"/>
  <c r="AZ52" i="3" s="1"/>
  <c r="BA53" i="3"/>
  <c r="AZ53" i="3" s="1"/>
  <c r="BA54" i="3"/>
  <c r="AZ54" i="3" s="1"/>
  <c r="BL57" i="3"/>
  <c r="G59" i="3"/>
  <c r="BA82" i="3"/>
  <c r="AZ82" i="3" s="1"/>
  <c r="G86" i="3"/>
  <c r="G87" i="3"/>
  <c r="G88" i="3"/>
  <c r="BL94" i="3"/>
  <c r="AZ94" i="3" s="1"/>
  <c r="BA100" i="3"/>
  <c r="AZ100" i="3" s="1"/>
  <c r="BA102" i="3"/>
  <c r="BL105" i="3"/>
  <c r="G107" i="3"/>
  <c r="BL107" i="3"/>
  <c r="K13" i="1"/>
  <c r="M13" i="1" s="1"/>
  <c r="O13" i="1" s="1"/>
  <c r="P13" i="1" s="1"/>
  <c r="W18" i="35"/>
  <c r="AA34" i="71"/>
  <c r="E43" i="71"/>
  <c r="E44" i="71" s="1"/>
  <c r="U44" i="71" s="1"/>
  <c r="B52" i="71"/>
  <c r="S52" i="71" s="1"/>
  <c r="E23" i="71"/>
  <c r="E22" i="71" s="1"/>
  <c r="E21" i="71" s="1"/>
  <c r="E20" i="71" s="1"/>
  <c r="BA205" i="3"/>
  <c r="AZ205" i="3" s="1"/>
  <c r="BL19" i="3"/>
  <c r="BA28" i="3"/>
  <c r="AZ28" i="3" s="1"/>
  <c r="BA31" i="3"/>
  <c r="AZ31" i="3" s="1"/>
  <c r="BA32" i="3"/>
  <c r="BL54" i="3"/>
  <c r="BL55" i="3"/>
  <c r="BA64" i="3"/>
  <c r="AZ64" i="3" s="1"/>
  <c r="BA69" i="3"/>
  <c r="AZ69" i="3" s="1"/>
  <c r="BA74" i="3"/>
  <c r="AZ74" i="3" s="1"/>
  <c r="BA75" i="3"/>
  <c r="AZ75" i="3" s="1"/>
  <c r="BL85" i="3"/>
  <c r="BL97" i="3"/>
  <c r="AZ97" i="3" s="1"/>
  <c r="BL101" i="3"/>
  <c r="BL102" i="3"/>
  <c r="BL106" i="3"/>
  <c r="F3" i="35"/>
  <c r="G1" i="83"/>
  <c r="C25" i="40"/>
  <c r="B88" i="84"/>
  <c r="AB34" i="71"/>
  <c r="AB31" i="71"/>
  <c r="AA36" i="71"/>
  <c r="B47" i="71"/>
  <c r="B48" i="71" s="1"/>
  <c r="S48" i="71" s="1"/>
  <c r="C7" i="33"/>
  <c r="G23" i="43"/>
  <c r="C23" i="43" s="1"/>
  <c r="D54" i="43"/>
  <c r="D56" i="43"/>
  <c r="G26" i="12"/>
  <c r="G22" i="68"/>
  <c r="G22" i="69"/>
  <c r="F6" i="1"/>
  <c r="G6" i="1" s="1"/>
  <c r="D58" i="43"/>
  <c r="D53" i="43"/>
  <c r="D55" i="43"/>
  <c r="H69" i="43"/>
  <c r="G14" i="3"/>
  <c r="M85" i="43"/>
  <c r="N85" i="43" s="1"/>
  <c r="J1" i="73"/>
  <c r="BL14" i="3"/>
  <c r="G13" i="3"/>
  <c r="BA19" i="3"/>
  <c r="AZ19" i="3" s="1"/>
  <c r="BA15" i="3"/>
  <c r="BO5" i="3"/>
  <c r="BL16" i="3"/>
  <c r="AZ16" i="3"/>
  <c r="AP6" i="1"/>
  <c r="C36" i="69" s="1"/>
  <c r="C7" i="36"/>
  <c r="C46" i="36" s="1"/>
  <c r="D46" i="36" s="1"/>
  <c r="E46" i="36" s="1"/>
  <c r="F46" i="36" s="1"/>
  <c r="G46" i="36" s="1"/>
  <c r="H46" i="36" s="1"/>
  <c r="I46" i="36" s="1"/>
  <c r="J46" i="36" s="1"/>
  <c r="J51" i="15"/>
  <c r="C7" i="40"/>
  <c r="C63" i="40" s="1"/>
  <c r="C7" i="39"/>
  <c r="C67" i="39" s="1"/>
  <c r="C69" i="39" s="1"/>
  <c r="C7" i="34"/>
  <c r="M47" i="9"/>
  <c r="C7" i="35"/>
  <c r="C48" i="35" s="1"/>
  <c r="D48" i="35" s="1"/>
  <c r="E48" i="35" s="1"/>
  <c r="C7" i="21"/>
  <c r="C58" i="21" s="1"/>
  <c r="D58" i="21" s="1"/>
  <c r="C42" i="1"/>
  <c r="C24" i="12" s="1"/>
  <c r="C18" i="9"/>
  <c r="D18" i="9" s="1"/>
  <c r="B41" i="1"/>
  <c r="F28" i="15" s="1"/>
  <c r="C28" i="15" s="1"/>
  <c r="C40" i="11"/>
  <c r="C21" i="68"/>
  <c r="C40" i="68"/>
  <c r="C40" i="69"/>
  <c r="E19" i="68"/>
  <c r="E19" i="69"/>
  <c r="D22" i="15"/>
  <c r="D23" i="15"/>
  <c r="BA18" i="3"/>
  <c r="AZ18" i="3" s="1"/>
  <c r="BL18" i="3"/>
  <c r="AZ17" i="3"/>
  <c r="H5" i="3"/>
  <c r="BK5" i="3"/>
  <c r="BG5" i="3"/>
  <c r="BE5" i="3"/>
  <c r="BA14" i="3"/>
  <c r="BL15" i="3"/>
  <c r="BN5" i="3"/>
  <c r="G29" i="6" s="1"/>
  <c r="BA13" i="3"/>
  <c r="AZ13" i="3" s="1"/>
  <c r="BC5" i="3"/>
  <c r="E8" i="6" s="1"/>
  <c r="F27" i="6" s="1"/>
  <c r="S23" i="33"/>
  <c r="AA23" i="33"/>
  <c r="C20" i="71"/>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6" i="53"/>
  <c r="B34" i="72" s="1"/>
  <c r="BL507" i="3"/>
  <c r="AZ507" i="3" s="1"/>
  <c r="BQ5" i="3"/>
  <c r="F28" i="6" s="1"/>
  <c r="S13" i="35"/>
  <c r="AA13" i="35"/>
  <c r="AB31" i="34"/>
  <c r="U31" i="34"/>
  <c r="S12" i="21"/>
  <c r="AA12" i="21"/>
  <c r="AC45" i="39"/>
  <c r="AA12" i="34"/>
  <c r="S34" i="21"/>
  <c r="J34" i="35"/>
  <c r="F34" i="35"/>
  <c r="J26" i="37"/>
  <c r="F26" i="37"/>
  <c r="F40" i="40"/>
  <c r="G578" i="3"/>
  <c r="AZ410" i="3"/>
  <c r="AZ431" i="3"/>
  <c r="AZ445" i="3"/>
  <c r="AZ449" i="3"/>
  <c r="AZ452" i="3"/>
  <c r="AZ467" i="3"/>
  <c r="AZ468" i="3"/>
  <c r="AZ470" i="3"/>
  <c r="W35" i="39"/>
  <c r="F27" i="34"/>
  <c r="C21" i="39"/>
  <c r="U9" i="36"/>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68" i="3"/>
  <c r="G200" i="3"/>
  <c r="G207" i="3"/>
  <c r="BA23" i="3"/>
  <c r="AZ23" i="3" s="1"/>
  <c r="BA24" i="3"/>
  <c r="AZ24" i="3" s="1"/>
  <c r="BL26" i="3"/>
  <c r="AZ26" i="3" s="1"/>
  <c r="BL32" i="3"/>
  <c r="BA34" i="3"/>
  <c r="AZ34" i="3" s="1"/>
  <c r="BA35" i="3"/>
  <c r="BL37" i="3"/>
  <c r="BL42" i="3"/>
  <c r="AZ42" i="3" s="1"/>
  <c r="BA44" i="3"/>
  <c r="AZ44" i="3" s="1"/>
  <c r="AZ46" i="3"/>
  <c r="AZ56"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H78" i="43"/>
  <c r="AC32" i="36"/>
  <c r="W31"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C27" i="67"/>
  <c r="C27" i="15"/>
  <c r="B13" i="70"/>
  <c r="M7" i="67"/>
  <c r="F50" i="67"/>
  <c r="F68" i="67"/>
  <c r="F64" i="67"/>
  <c r="D9" i="69"/>
  <c r="D9" i="68"/>
  <c r="L48" i="15"/>
  <c r="D3" i="73"/>
  <c r="F37" i="15"/>
  <c r="M9" i="15"/>
  <c r="D6" i="73"/>
  <c r="D7" i="73"/>
  <c r="M6" i="67"/>
  <c r="M28" i="67"/>
  <c r="M23" i="67"/>
  <c r="D4" i="73"/>
  <c r="C76" i="67"/>
  <c r="M26" i="15"/>
  <c r="F6" i="67"/>
  <c r="F43" i="67"/>
  <c r="D5" i="73"/>
  <c r="M23" i="15"/>
  <c r="F40" i="15"/>
  <c r="J15" i="15"/>
  <c r="M22" i="67"/>
  <c r="M24" i="67"/>
  <c r="F42" i="67"/>
  <c r="M22" i="15"/>
  <c r="F38" i="15"/>
  <c r="C76" i="15"/>
  <c r="F36" i="15"/>
  <c r="M24" i="15"/>
  <c r="L47" i="67"/>
  <c r="J15" i="67"/>
  <c r="L47" i="15"/>
  <c r="M28" i="15"/>
  <c r="F6" i="15"/>
  <c r="M26" i="67"/>
  <c r="F8" i="15"/>
  <c r="M6" i="15"/>
  <c r="M8" i="15"/>
  <c r="M9" i="67"/>
  <c r="F9" i="15"/>
  <c r="AZ14" i="3" l="1"/>
  <c r="F29" i="6"/>
  <c r="F30" i="6" s="1"/>
  <c r="K46" i="36"/>
  <c r="L46" i="36" s="1"/>
  <c r="M46" i="36" s="1"/>
  <c r="N46" i="36" s="1"/>
  <c r="O46" i="36" s="1"/>
  <c r="J7" i="36"/>
  <c r="A1" i="79"/>
  <c r="C36" i="68"/>
  <c r="F66" i="15"/>
  <c r="N59" i="67"/>
  <c r="M59" i="67"/>
  <c r="L59" i="67"/>
  <c r="Q74" i="67" s="1"/>
  <c r="L58" i="67"/>
  <c r="Q73" i="67" s="1"/>
  <c r="C6" i="67"/>
  <c r="C32" i="67" s="1"/>
  <c r="F65" i="15"/>
  <c r="F68" i="15"/>
  <c r="F64" i="15"/>
  <c r="Q71" i="67"/>
  <c r="F51" i="15"/>
  <c r="Q71" i="15"/>
  <c r="F71" i="67"/>
  <c r="N59" i="15"/>
  <c r="AZ223" i="3"/>
  <c r="U23" i="35"/>
  <c r="AB23" i="35"/>
  <c r="AA11" i="36"/>
  <c r="S11" i="36"/>
  <c r="AA25" i="37"/>
  <c r="S25" i="37"/>
  <c r="AB29" i="34"/>
  <c r="U29" i="34"/>
  <c r="AC29" i="34"/>
  <c r="W29" i="34"/>
  <c r="AZ197" i="3"/>
  <c r="AZ460" i="3"/>
  <c r="AC23" i="36"/>
  <c r="W23" i="36"/>
  <c r="S14" i="37"/>
  <c r="AA14" i="37"/>
  <c r="AA29" i="34"/>
  <c r="S29" i="34"/>
  <c r="W33" i="36"/>
  <c r="P27" i="84"/>
  <c r="P29" i="84"/>
  <c r="P25" i="84"/>
  <c r="C23" i="84"/>
  <c r="O23" i="84"/>
  <c r="P28" i="84"/>
  <c r="P26" i="84"/>
  <c r="C56" i="71"/>
  <c r="D55" i="71"/>
  <c r="AZ251" i="3"/>
  <c r="AZ401" i="3"/>
  <c r="AZ253" i="3"/>
  <c r="AA12" i="35"/>
  <c r="U35" i="35"/>
  <c r="U31" i="33"/>
  <c r="AZ38" i="3"/>
  <c r="AZ118" i="3"/>
  <c r="AZ224" i="3"/>
  <c r="AZ84" i="3"/>
  <c r="AZ459" i="3"/>
  <c r="AZ435" i="3"/>
  <c r="AZ428" i="3"/>
  <c r="AZ271" i="3"/>
  <c r="AZ218" i="3"/>
  <c r="S23" i="36"/>
  <c r="AA23" i="36"/>
  <c r="W12" i="35"/>
  <c r="AC12" i="35"/>
  <c r="AB27" i="21"/>
  <c r="U27" i="21"/>
  <c r="U40" i="37"/>
  <c r="AB40" i="37"/>
  <c r="S24" i="36"/>
  <c r="AA24" i="36"/>
  <c r="U26" i="33"/>
  <c r="AB26" i="33"/>
  <c r="AC13" i="21"/>
  <c r="W13" i="21"/>
  <c r="W30" i="33"/>
  <c r="AC30" i="33"/>
  <c r="AB36" i="35"/>
  <c r="U36" i="35"/>
  <c r="S14" i="21"/>
  <c r="AA14" i="21"/>
  <c r="F32" i="67"/>
  <c r="F60" i="67" s="1"/>
  <c r="M18" i="83"/>
  <c r="F32" i="83"/>
  <c r="F60" i="83" s="1"/>
  <c r="F28" i="83"/>
  <c r="C28" i="83" s="1"/>
  <c r="AZ169" i="3"/>
  <c r="AZ247" i="3"/>
  <c r="AZ111" i="3"/>
  <c r="AZ47" i="3"/>
  <c r="AZ59" i="3"/>
  <c r="C32" i="71"/>
  <c r="D31" i="71"/>
  <c r="AZ63" i="3"/>
  <c r="AZ177" i="3"/>
  <c r="AZ457" i="3"/>
  <c r="AZ417" i="3"/>
  <c r="AZ550" i="3"/>
  <c r="AB23" i="36"/>
  <c r="U23" i="36"/>
  <c r="AA44" i="39"/>
  <c r="S44" i="39"/>
  <c r="AB24" i="36"/>
  <c r="U24" i="36"/>
  <c r="U30" i="33"/>
  <c r="AB30" i="33"/>
  <c r="AB14" i="21"/>
  <c r="U14" i="21"/>
  <c r="C40" i="71"/>
  <c r="D39" i="71"/>
  <c r="E29" i="6"/>
  <c r="K15" i="1" s="1"/>
  <c r="AB9" i="34"/>
  <c r="U9" i="34"/>
  <c r="U33" i="36"/>
  <c r="AB33" i="36"/>
  <c r="AZ35" i="3"/>
  <c r="AZ202" i="3"/>
  <c r="AZ29" i="3"/>
  <c r="AZ178" i="3"/>
  <c r="AZ166" i="3"/>
  <c r="D71" i="71"/>
  <c r="C70" i="71"/>
  <c r="D70" i="71" s="1"/>
  <c r="AZ72" i="3"/>
  <c r="AZ62" i="3"/>
  <c r="AZ248" i="3"/>
  <c r="T52" i="71"/>
  <c r="D52" i="71"/>
  <c r="AZ454" i="3"/>
  <c r="AZ414" i="3"/>
  <c r="AZ263" i="3"/>
  <c r="AZ411" i="3"/>
  <c r="AZ228" i="3"/>
  <c r="U12" i="34"/>
  <c r="AB12" i="34"/>
  <c r="S12" i="36"/>
  <c r="AA12" i="36"/>
  <c r="AB44" i="39"/>
  <c r="U44" i="39"/>
  <c r="U39" i="37"/>
  <c r="AB39" i="37"/>
  <c r="AC24" i="36"/>
  <c r="W24" i="36"/>
  <c r="AA38" i="37"/>
  <c r="S38" i="37"/>
  <c r="S30" i="33"/>
  <c r="AA30" i="33"/>
  <c r="AC38" i="37"/>
  <c r="W38" i="37"/>
  <c r="AA26" i="33"/>
  <c r="S26" i="33"/>
  <c r="D43" i="71"/>
  <c r="C44" i="71"/>
  <c r="B27" i="71"/>
  <c r="B26" i="71" s="1"/>
  <c r="S28" i="71"/>
  <c r="AZ101" i="3"/>
  <c r="N67" i="71"/>
  <c r="B66" i="71"/>
  <c r="AZ294" i="3"/>
  <c r="AZ182" i="3"/>
  <c r="AZ461" i="3"/>
  <c r="AZ244" i="3"/>
  <c r="AC23" i="35"/>
  <c r="W23" i="35"/>
  <c r="U14" i="37"/>
  <c r="S9" i="34"/>
  <c r="Q65" i="71"/>
  <c r="AZ474" i="3"/>
  <c r="AZ333" i="3"/>
  <c r="AB28" i="37"/>
  <c r="AZ58" i="3"/>
  <c r="AZ45" i="3"/>
  <c r="AZ71" i="3"/>
  <c r="AZ286" i="3"/>
  <c r="AZ422" i="3"/>
  <c r="C86" i="71"/>
  <c r="D86" i="71" s="1"/>
  <c r="D87" i="71"/>
  <c r="AZ447" i="3"/>
  <c r="AZ441" i="3"/>
  <c r="AZ397" i="3"/>
  <c r="W12" i="34"/>
  <c r="AC12" i="34"/>
  <c r="AC12" i="36"/>
  <c r="W12" i="36"/>
  <c r="AC39" i="37"/>
  <c r="W39" i="37"/>
  <c r="AC13" i="35"/>
  <c r="W13" i="35"/>
  <c r="D121" i="9"/>
  <c r="D7" i="52" s="1"/>
  <c r="D6" i="52"/>
  <c r="U13" i="35"/>
  <c r="AB13" i="35"/>
  <c r="AA40" i="37"/>
  <c r="S40" i="37"/>
  <c r="AC25" i="37"/>
  <c r="W25" i="37"/>
  <c r="U30" i="34"/>
  <c r="AB30" i="34"/>
  <c r="AA31" i="33"/>
  <c r="S31" i="33"/>
  <c r="AB38" i="37"/>
  <c r="U38" i="37"/>
  <c r="AZ37" i="3"/>
  <c r="J6" i="67"/>
  <c r="AB11" i="36"/>
  <c r="AZ76" i="3"/>
  <c r="AZ32" i="3"/>
  <c r="E11" i="6"/>
  <c r="E60" i="39" s="1"/>
  <c r="AZ102" i="3"/>
  <c r="C36" i="71"/>
  <c r="D35" i="71"/>
  <c r="AZ27" i="3"/>
  <c r="AZ70" i="3"/>
  <c r="AZ126" i="3"/>
  <c r="AZ105" i="3"/>
  <c r="AZ256" i="3"/>
  <c r="AZ408" i="3"/>
  <c r="C26" i="71"/>
  <c r="D26" i="71" s="1"/>
  <c r="D27" i="71"/>
  <c r="AZ274" i="3"/>
  <c r="AZ405" i="3"/>
  <c r="AZ282" i="3"/>
  <c r="AB12" i="36"/>
  <c r="U12" i="36"/>
  <c r="U12" i="35"/>
  <c r="AB12" i="35"/>
  <c r="AC40" i="37"/>
  <c r="W40" i="37"/>
  <c r="U25" i="37"/>
  <c r="AB25" i="37"/>
  <c r="AA33" i="36"/>
  <c r="S33" i="36"/>
  <c r="W31" i="33"/>
  <c r="AC31" i="33"/>
  <c r="M11" i="83"/>
  <c r="F11" i="83"/>
  <c r="E50" i="43"/>
  <c r="B48" i="43" s="1"/>
  <c r="E19" i="6"/>
  <c r="K6" i="1" s="1"/>
  <c r="D37" i="43"/>
  <c r="H37" i="43" s="1"/>
  <c r="G27" i="6"/>
  <c r="L58" i="15"/>
  <c r="Q60" i="15" s="1"/>
  <c r="I54" i="15"/>
  <c r="J53" i="15"/>
  <c r="L56" i="15" s="1"/>
  <c r="F28" i="67"/>
  <c r="C28" i="67" s="1"/>
  <c r="E13" i="6"/>
  <c r="E58" i="40" s="1"/>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W7" i="37" s="1"/>
  <c r="L59" i="15"/>
  <c r="Q74" i="15" s="1"/>
  <c r="J57" i="15"/>
  <c r="J55" i="15" s="1"/>
  <c r="J58" i="15" s="1"/>
  <c r="Q50" i="15" s="1"/>
  <c r="M59" i="15"/>
  <c r="D67" i="39"/>
  <c r="D69" i="39" s="1"/>
  <c r="F48" i="9"/>
  <c r="O52" i="9" s="1"/>
  <c r="F30" i="11"/>
  <c r="F30" i="69"/>
  <c r="F54" i="9"/>
  <c r="F31" i="12"/>
  <c r="C31" i="12" s="1"/>
  <c r="F32" i="15"/>
  <c r="F60" i="15" s="1"/>
  <c r="F30" i="68"/>
  <c r="M18" i="67"/>
  <c r="D68" i="9"/>
  <c r="F52" i="9"/>
  <c r="M18" i="15"/>
  <c r="G30" i="6"/>
  <c r="E14" i="6"/>
  <c r="E59" i="40" s="1"/>
  <c r="E28" i="6"/>
  <c r="K14" i="1" s="1"/>
  <c r="E12" i="6"/>
  <c r="E57" i="40" s="1"/>
  <c r="K1" i="73"/>
  <c r="E31" i="3"/>
  <c r="E380" i="3"/>
  <c r="E228" i="3"/>
  <c r="E368" i="3"/>
  <c r="E109" i="3"/>
  <c r="E335" i="3"/>
  <c r="E246" i="3"/>
  <c r="E119"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59" i="67"/>
  <c r="H7" i="37"/>
  <c r="AB7" i="37" s="1"/>
  <c r="T42" i="37" s="1"/>
  <c r="G42" i="37" s="1"/>
  <c r="H7" i="33"/>
  <c r="J7" i="33"/>
  <c r="D65" i="40"/>
  <c r="E63" i="40"/>
  <c r="F48" i="35"/>
  <c r="AC7" i="37"/>
  <c r="F7" i="33"/>
  <c r="E58" i="21"/>
  <c r="AC7" i="36"/>
  <c r="V36" i="36" s="1"/>
  <c r="I36" i="36" s="1"/>
  <c r="W7" i="36"/>
  <c r="F7" i="37"/>
  <c r="M17" i="67"/>
  <c r="P28" i="43"/>
  <c r="B66" i="40" s="1"/>
  <c r="P25" i="43"/>
  <c r="C49" i="67"/>
  <c r="P29" i="43"/>
  <c r="P27" i="43"/>
  <c r="B70" i="39" s="1"/>
  <c r="M11" i="67"/>
  <c r="J10" i="67" s="1"/>
  <c r="F11" i="15"/>
  <c r="M11" i="15"/>
  <c r="F11" i="67"/>
  <c r="F1" i="67"/>
  <c r="Q52" i="67"/>
  <c r="AE11" i="1"/>
  <c r="AE9" i="1"/>
  <c r="AE8" i="1"/>
  <c r="AE12" i="1"/>
  <c r="AE10" i="1"/>
  <c r="F41" i="67"/>
  <c r="F38" i="83"/>
  <c r="L47" i="83"/>
  <c r="F43" i="83"/>
  <c r="F7" i="83"/>
  <c r="M6" i="83"/>
  <c r="M29" i="83"/>
  <c r="L48" i="83"/>
  <c r="F7" i="15"/>
  <c r="M22" i="83"/>
  <c r="M29" i="15"/>
  <c r="M8" i="83"/>
  <c r="F26" i="83"/>
  <c r="F9" i="83"/>
  <c r="F43" i="15"/>
  <c r="F37" i="83"/>
  <c r="M26" i="83"/>
  <c r="F6" i="83"/>
  <c r="C76" i="83"/>
  <c r="F42" i="83"/>
  <c r="M23" i="83"/>
  <c r="F40" i="83"/>
  <c r="F36" i="83"/>
  <c r="F16" i="83"/>
  <c r="F8" i="83"/>
  <c r="M28" i="83"/>
  <c r="M24" i="83"/>
  <c r="G1" i="73"/>
  <c r="M9" i="83"/>
  <c r="C16" i="67"/>
  <c r="J15" i="83"/>
  <c r="AZ5" i="3" l="1"/>
  <c r="AY6" i="3" s="1"/>
  <c r="AY95" i="3" s="1"/>
  <c r="K16" i="1"/>
  <c r="E56" i="40"/>
  <c r="Q60" i="67"/>
  <c r="Q61" i="67"/>
  <c r="J18" i="67"/>
  <c r="E139" i="3"/>
  <c r="E135" i="3"/>
  <c r="E28" i="3"/>
  <c r="E124" i="3"/>
  <c r="E448" i="3"/>
  <c r="M6" i="3"/>
  <c r="E369" i="3"/>
  <c r="E247" i="3"/>
  <c r="E146" i="3"/>
  <c r="E410" i="3"/>
  <c r="E142" i="3"/>
  <c r="E483" i="3"/>
  <c r="E535" i="3"/>
  <c r="E431" i="3"/>
  <c r="E489" i="3"/>
  <c r="E468" i="3"/>
  <c r="E350" i="3"/>
  <c r="E175" i="3"/>
  <c r="E131" i="3"/>
  <c r="E487" i="3"/>
  <c r="E296" i="3"/>
  <c r="E563" i="3"/>
  <c r="E509" i="3"/>
  <c r="E345" i="3"/>
  <c r="E465" i="3"/>
  <c r="E301" i="3"/>
  <c r="E441" i="3"/>
  <c r="E278" i="3"/>
  <c r="AJ6" i="3"/>
  <c r="E485" i="3"/>
  <c r="E472" i="3"/>
  <c r="E361" i="3"/>
  <c r="E27" i="3"/>
  <c r="E100" i="3"/>
  <c r="E189" i="3"/>
  <c r="E217" i="3"/>
  <c r="E327" i="3"/>
  <c r="E133" i="3"/>
  <c r="E261" i="3"/>
  <c r="E476" i="3"/>
  <c r="E385" i="3"/>
  <c r="E273" i="3"/>
  <c r="E74" i="3"/>
  <c r="E181" i="3"/>
  <c r="E561" i="3"/>
  <c r="E519" i="3"/>
  <c r="E378" i="3"/>
  <c r="E248" i="3"/>
  <c r="E423" i="3"/>
  <c r="E570" i="3"/>
  <c r="E182" i="3"/>
  <c r="E214" i="3"/>
  <c r="E347" i="3"/>
  <c r="AR6" i="3"/>
  <c r="E260" i="3"/>
  <c r="E148" i="3"/>
  <c r="E445" i="3"/>
  <c r="E311" i="3"/>
  <c r="E377" i="3"/>
  <c r="Z6" i="3"/>
  <c r="E106" i="3"/>
  <c r="AK6" i="3"/>
  <c r="E503" i="3"/>
  <c r="E337" i="3"/>
  <c r="E478" i="3"/>
  <c r="E89" i="3"/>
  <c r="E587" i="3"/>
  <c r="E568" i="3"/>
  <c r="E528" i="3"/>
  <c r="E508" i="3"/>
  <c r="E279" i="3"/>
  <c r="E275" i="3"/>
  <c r="E263" i="3"/>
  <c r="E387" i="3"/>
  <c r="E268" i="3"/>
  <c r="E557" i="3"/>
  <c r="E315" i="3"/>
  <c r="E560" i="3"/>
  <c r="E495" i="3"/>
  <c r="E439" i="3"/>
  <c r="E331" i="3"/>
  <c r="E358" i="3"/>
  <c r="E388" i="3"/>
  <c r="E384" i="3"/>
  <c r="E414" i="3"/>
  <c r="E457" i="3"/>
  <c r="E407" i="3"/>
  <c r="E169" i="3"/>
  <c r="E94" i="3"/>
  <c r="E219" i="3"/>
  <c r="E200" i="3"/>
  <c r="E191" i="3"/>
  <c r="E69" i="3"/>
  <c r="E514" i="3"/>
  <c r="E322" i="3"/>
  <c r="E211" i="3"/>
  <c r="E400" i="3"/>
  <c r="E227" i="3"/>
  <c r="E454" i="3"/>
  <c r="K6" i="3"/>
  <c r="E77" i="3"/>
  <c r="E134" i="3"/>
  <c r="E185" i="3"/>
  <c r="E533" i="3"/>
  <c r="E305" i="3"/>
  <c r="E210" i="3"/>
  <c r="E107" i="3"/>
  <c r="E511" i="3"/>
  <c r="E569" i="3"/>
  <c r="E91" i="3"/>
  <c r="E270" i="3"/>
  <c r="E343" i="3"/>
  <c r="E186" i="3"/>
  <c r="E271" i="3"/>
  <c r="E253" i="3"/>
  <c r="E282" i="3"/>
  <c r="E216" i="3"/>
  <c r="E240" i="3"/>
  <c r="E242" i="3"/>
  <c r="X6" i="3"/>
  <c r="E161" i="3"/>
  <c r="E215" i="3"/>
  <c r="E201" i="3"/>
  <c r="E526" i="3"/>
  <c r="E70" i="3"/>
  <c r="AO6" i="3"/>
  <c r="E362" i="3"/>
  <c r="E577" i="3"/>
  <c r="E277" i="3"/>
  <c r="E399" i="3"/>
  <c r="E180" i="3"/>
  <c r="E231" i="3"/>
  <c r="E143" i="3"/>
  <c r="E530" i="3"/>
  <c r="E162" i="3"/>
  <c r="E567" i="3"/>
  <c r="E518" i="3"/>
  <c r="E480" i="3"/>
  <c r="E61" i="3"/>
  <c r="E444" i="3"/>
  <c r="E118" i="3"/>
  <c r="E132" i="3"/>
  <c r="AI6" i="3"/>
  <c r="E172" i="3"/>
  <c r="AB6" i="3"/>
  <c r="E579" i="3"/>
  <c r="E572" i="3"/>
  <c r="E531" i="3"/>
  <c r="E204" i="3"/>
  <c r="E171" i="3"/>
  <c r="E406" i="3"/>
  <c r="E545" i="3"/>
  <c r="E586" i="3"/>
  <c r="E183" i="3"/>
  <c r="E538" i="3"/>
  <c r="E555" i="3"/>
  <c r="E44" i="3"/>
  <c r="AS6" i="3"/>
  <c r="E433" i="3"/>
  <c r="E130" i="3"/>
  <c r="E55" i="3"/>
  <c r="J5" i="67"/>
  <c r="J24" i="67" s="1"/>
  <c r="L60" i="83"/>
  <c r="L57" i="83"/>
  <c r="L56" i="83"/>
  <c r="J57" i="83"/>
  <c r="J55" i="83" s="1"/>
  <c r="J58" i="83" s="1"/>
  <c r="Q50" i="83" s="1"/>
  <c r="I54" i="83"/>
  <c r="J53" i="83"/>
  <c r="F71" i="83"/>
  <c r="Q71" i="83"/>
  <c r="F65" i="83"/>
  <c r="L58" i="83"/>
  <c r="L59" i="83"/>
  <c r="M59" i="83"/>
  <c r="N59" i="83"/>
  <c r="F66" i="83"/>
  <c r="C27" i="83"/>
  <c r="F64" i="83"/>
  <c r="C6" i="83"/>
  <c r="C10" i="83" s="1"/>
  <c r="C5" i="83" s="1"/>
  <c r="F68" i="83"/>
  <c r="M7" i="83"/>
  <c r="J6" i="83" s="1"/>
  <c r="F50" i="83"/>
  <c r="F51" i="83"/>
  <c r="D36" i="71"/>
  <c r="T36" i="71"/>
  <c r="D56" i="71"/>
  <c r="T56" i="71"/>
  <c r="T44" i="71"/>
  <c r="D44" i="71"/>
  <c r="AB7" i="36"/>
  <c r="T36" i="36" s="1"/>
  <c r="G36" i="36" s="1"/>
  <c r="G40" i="36" s="1"/>
  <c r="H40" i="36" s="1"/>
  <c r="Q16" i="1"/>
  <c r="F28" i="12" s="1"/>
  <c r="C29" i="12" s="1"/>
  <c r="D28" i="12" s="1"/>
  <c r="M6" i="1"/>
  <c r="N66" i="71"/>
  <c r="N65" i="71"/>
  <c r="T40" i="71"/>
  <c r="D40" i="71"/>
  <c r="C37" i="84"/>
  <c r="T7" i="84"/>
  <c r="V7" i="84" s="1"/>
  <c r="T2" i="84"/>
  <c r="V2" i="84" s="1"/>
  <c r="C41" i="84"/>
  <c r="T16" i="84"/>
  <c r="V16" i="84" s="1"/>
  <c r="T15" i="84"/>
  <c r="V15" i="84" s="1"/>
  <c r="C42" i="84"/>
  <c r="T9" i="84"/>
  <c r="V9" i="84" s="1"/>
  <c r="T8" i="84"/>
  <c r="V8" i="84" s="1"/>
  <c r="C40" i="84"/>
  <c r="T11" i="84"/>
  <c r="V11" i="84" s="1"/>
  <c r="T3" i="84"/>
  <c r="V3" i="84" s="1"/>
  <c r="T5" i="84"/>
  <c r="V5" i="84" s="1"/>
  <c r="C33" i="84"/>
  <c r="T10" i="84"/>
  <c r="V10" i="84" s="1"/>
  <c r="C39" i="84"/>
  <c r="T14" i="84"/>
  <c r="V14" i="84" s="1"/>
  <c r="T13" i="84"/>
  <c r="V13" i="84" s="1"/>
  <c r="C38" i="84"/>
  <c r="T12" i="84"/>
  <c r="V12" i="84" s="1"/>
  <c r="T6" i="84"/>
  <c r="V6" i="84" s="1"/>
  <c r="T4" i="84"/>
  <c r="V4" i="84" s="1"/>
  <c r="T32" i="71"/>
  <c r="D32" i="71"/>
  <c r="C53" i="83"/>
  <c r="M14" i="1"/>
  <c r="E403" i="3"/>
  <c r="G31" i="6"/>
  <c r="E352" i="3"/>
  <c r="E295" i="3"/>
  <c r="E156" i="3"/>
  <c r="E24" i="3"/>
  <c r="F31" i="15"/>
  <c r="F27" i="69"/>
  <c r="C47" i="69" s="1"/>
  <c r="D45" i="69" s="1"/>
  <c r="F27" i="68"/>
  <c r="F45" i="68" s="1"/>
  <c r="E505" i="3"/>
  <c r="E515" i="3"/>
  <c r="E269" i="3"/>
  <c r="E318" i="3"/>
  <c r="E111" i="3"/>
  <c r="E571" i="3"/>
  <c r="E458" i="3"/>
  <c r="E45" i="3"/>
  <c r="E85" i="3"/>
  <c r="E336" i="3"/>
  <c r="E382" i="3"/>
  <c r="E117" i="3"/>
  <c r="E415" i="3"/>
  <c r="E294" i="3"/>
  <c r="E551" i="3"/>
  <c r="E229" i="3"/>
  <c r="E239" i="3"/>
  <c r="E366" i="3"/>
  <c r="E334" i="3"/>
  <c r="E121" i="3"/>
  <c r="E443" i="3"/>
  <c r="I6" i="3"/>
  <c r="Q6" i="3"/>
  <c r="E254" i="3"/>
  <c r="O6" i="3"/>
  <c r="E208" i="3"/>
  <c r="E462" i="3"/>
  <c r="E232" i="3"/>
  <c r="E447" i="3"/>
  <c r="E477" i="3"/>
  <c r="E585" i="3"/>
  <c r="E549" i="3"/>
  <c r="E351" i="3"/>
  <c r="E72" i="3"/>
  <c r="E562" i="3"/>
  <c r="E573" i="3"/>
  <c r="E99" i="3"/>
  <c r="E453" i="3"/>
  <c r="E293" i="3"/>
  <c r="E245" i="3"/>
  <c r="E550" i="3"/>
  <c r="E114" i="3"/>
  <c r="E320" i="3"/>
  <c r="E559" i="3"/>
  <c r="E396" i="3"/>
  <c r="N6" i="3"/>
  <c r="E125" i="3"/>
  <c r="E316" i="3"/>
  <c r="E404" i="3"/>
  <c r="P6" i="3"/>
  <c r="E256" i="3"/>
  <c r="E128" i="3"/>
  <c r="E565" i="3"/>
  <c r="E126" i="3"/>
  <c r="E313" i="3"/>
  <c r="E110" i="3"/>
  <c r="E150" i="3"/>
  <c r="E450" i="3"/>
  <c r="E527" i="3"/>
  <c r="E193" i="3"/>
  <c r="E314" i="3"/>
  <c r="E583" i="3"/>
  <c r="E578" i="3"/>
  <c r="E290" i="3"/>
  <c r="E395" i="3"/>
  <c r="E230" i="3"/>
  <c r="V6" i="3"/>
  <c r="E151" i="3"/>
  <c r="E516" i="3"/>
  <c r="E553" i="3"/>
  <c r="E30" i="3"/>
  <c r="E166" i="3"/>
  <c r="E581" i="3"/>
  <c r="E164" i="3"/>
  <c r="E424" i="3"/>
  <c r="E402" i="3"/>
  <c r="E97" i="3"/>
  <c r="E93" i="3"/>
  <c r="E488" i="3"/>
  <c r="AH6" i="3"/>
  <c r="Q52" i="15"/>
  <c r="F1" i="15"/>
  <c r="F71" i="15"/>
  <c r="C6" i="15"/>
  <c r="C32" i="15" s="1"/>
  <c r="F50" i="15"/>
  <c r="M7" i="15"/>
  <c r="E32" i="3"/>
  <c r="E496" i="3"/>
  <c r="E330" i="3"/>
  <c r="AA6" i="3"/>
  <c r="E221" i="3"/>
  <c r="E298" i="3"/>
  <c r="E501" i="3"/>
  <c r="E548" i="3"/>
  <c r="E471" i="3"/>
  <c r="E127" i="3"/>
  <c r="E266" i="3"/>
  <c r="E50" i="3"/>
  <c r="T6" i="3"/>
  <c r="O6" i="1"/>
  <c r="P6" i="1" s="1"/>
  <c r="C13" i="12" s="1"/>
  <c r="E88" i="3"/>
  <c r="E558" i="3"/>
  <c r="E576" i="3"/>
  <c r="E274" i="3"/>
  <c r="E344" i="3"/>
  <c r="E262" i="3"/>
  <c r="AN6" i="3"/>
  <c r="E213" i="3"/>
  <c r="E506" i="3"/>
  <c r="AM6" i="3"/>
  <c r="E145" i="3"/>
  <c r="E438" i="3"/>
  <c r="E413" i="3"/>
  <c r="E323" i="3"/>
  <c r="E15" i="3"/>
  <c r="G16" i="1"/>
  <c r="F10" i="39" s="1"/>
  <c r="AA10" i="39" s="1"/>
  <c r="H16" i="1"/>
  <c r="E60" i="40"/>
  <c r="Q73" i="15"/>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98" i="3"/>
  <c r="E87" i="3"/>
  <c r="E179" i="3"/>
  <c r="E542" i="3"/>
  <c r="E436" i="3"/>
  <c r="E354" i="3"/>
  <c r="E421" i="3"/>
  <c r="E552" i="3"/>
  <c r="E392" i="3"/>
  <c r="E202" i="3"/>
  <c r="E393" i="3"/>
  <c r="E115" i="3"/>
  <c r="E310" i="3"/>
  <c r="E418" i="3"/>
  <c r="E390" i="3"/>
  <c r="E574" i="3"/>
  <c r="E153" i="3"/>
  <c r="E29" i="3"/>
  <c r="E272" i="3"/>
  <c r="E546" i="3"/>
  <c r="E432" i="3"/>
  <c r="E379" i="3"/>
  <c r="E397" i="3"/>
  <c r="E257" i="3"/>
  <c r="E475" i="3"/>
  <c r="E288" i="3"/>
  <c r="E532" i="3"/>
  <c r="E306" i="3"/>
  <c r="E122" i="3"/>
  <c r="E187" i="3"/>
  <c r="E195" i="3"/>
  <c r="Y6" i="3"/>
  <c r="E373" i="3"/>
  <c r="E582" i="3"/>
  <c r="E209" i="3"/>
  <c r="E312" i="3"/>
  <c r="E365" i="3"/>
  <c r="E137" i="3"/>
  <c r="E463" i="3"/>
  <c r="E16" i="3"/>
  <c r="E497"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307" i="3"/>
  <c r="E167" i="3"/>
  <c r="AD6" i="3"/>
  <c r="E259" i="3"/>
  <c r="E47" i="3"/>
  <c r="E19" i="3"/>
  <c r="E57" i="3"/>
  <c r="E155" i="3"/>
  <c r="E123" i="3"/>
  <c r="L6" i="3"/>
  <c r="E486" i="3"/>
  <c r="E190" i="3"/>
  <c r="E34" i="3"/>
  <c r="E163" i="3"/>
  <c r="E374" i="3"/>
  <c r="E584" i="3"/>
  <c r="E297" i="3"/>
  <c r="E149" i="3"/>
  <c r="E48" i="3"/>
  <c r="E446" i="3"/>
  <c r="E500" i="3"/>
  <c r="E51" i="3"/>
  <c r="E521" i="3"/>
  <c r="E460" i="3"/>
  <c r="E101" i="3"/>
  <c r="E176" i="3"/>
  <c r="E340" i="3"/>
  <c r="E52" i="3"/>
  <c r="E299" i="3"/>
  <c r="E38" i="3"/>
  <c r="E43" i="3"/>
  <c r="E346" i="3"/>
  <c r="E108" i="3"/>
  <c r="E498" i="3"/>
  <c r="E440" i="3"/>
  <c r="E543" i="3"/>
  <c r="E223" i="3"/>
  <c r="E326" i="3"/>
  <c r="E35" i="3"/>
  <c r="E356" i="3"/>
  <c r="E420" i="3"/>
  <c r="E408" i="3"/>
  <c r="E22" i="3"/>
  <c r="E18" i="3"/>
  <c r="E539" i="3"/>
  <c r="E250" i="3"/>
  <c r="E58" i="3"/>
  <c r="E398" i="3"/>
  <c r="E524" i="3"/>
  <c r="E62" i="3"/>
  <c r="E147" i="3"/>
  <c r="AQ6" i="3"/>
  <c r="E234" i="3"/>
  <c r="E455" i="3"/>
  <c r="E60" i="3"/>
  <c r="E276" i="3"/>
  <c r="E40" i="3"/>
  <c r="J6" i="3"/>
  <c r="E422" i="3"/>
  <c r="E493" i="3"/>
  <c r="E188" i="3"/>
  <c r="E158" i="3"/>
  <c r="E220" i="3"/>
  <c r="E225" i="3"/>
  <c r="E470" i="3"/>
  <c r="E469" i="3"/>
  <c r="E287" i="3"/>
  <c r="E391" i="3"/>
  <c r="E82" i="3"/>
  <c r="E504" i="3"/>
  <c r="E154" i="3"/>
  <c r="E459" i="3"/>
  <c r="E66" i="3"/>
  <c r="E39" i="3"/>
  <c r="E341" i="3"/>
  <c r="E375" i="3"/>
  <c r="E464" i="3"/>
  <c r="E284" i="3"/>
  <c r="E138" i="3"/>
  <c r="E520" i="3"/>
  <c r="E244" i="3"/>
  <c r="E65" i="3"/>
  <c r="E90" i="3"/>
  <c r="E141" i="3"/>
  <c r="E218" i="3"/>
  <c r="E364" i="3"/>
  <c r="E112" i="3"/>
  <c r="E339" i="3"/>
  <c r="E170" i="3"/>
  <c r="E473" i="3"/>
  <c r="E333" i="3"/>
  <c r="E178" i="3"/>
  <c r="E401" i="3"/>
  <c r="E490" i="3"/>
  <c r="E427" i="3"/>
  <c r="E105" i="3"/>
  <c r="E83" i="3"/>
  <c r="E49" i="3"/>
  <c r="E412" i="3"/>
  <c r="E26" i="3"/>
  <c r="E556" i="3"/>
  <c r="E534" i="3"/>
  <c r="E129" i="3"/>
  <c r="E249" i="3"/>
  <c r="E62" i="39"/>
  <c r="E416" i="3"/>
  <c r="E222" i="3"/>
  <c r="E386" i="3"/>
  <c r="E348" i="3"/>
  <c r="E566" i="3"/>
  <c r="E165" i="3"/>
  <c r="E265" i="3"/>
  <c r="E20" i="3"/>
  <c r="E289" i="3"/>
  <c r="E36" i="3"/>
  <c r="E325" i="3"/>
  <c r="E194" i="3"/>
  <c r="E79" i="3"/>
  <c r="E540" i="3"/>
  <c r="E372" i="3"/>
  <c r="E226" i="3"/>
  <c r="E25" i="3"/>
  <c r="E419" i="3"/>
  <c r="E376" i="3"/>
  <c r="E507" i="3"/>
  <c r="E564" i="3"/>
  <c r="E116" i="3"/>
  <c r="E329" i="3"/>
  <c r="E80" i="3"/>
  <c r="E324" i="3"/>
  <c r="E428" i="3"/>
  <c r="E41" i="3"/>
  <c r="E13" i="3"/>
  <c r="E512" i="3"/>
  <c r="E197" i="3"/>
  <c r="E86" i="3"/>
  <c r="E309" i="3"/>
  <c r="E510" i="3"/>
  <c r="E102" i="3"/>
  <c r="E522" i="3"/>
  <c r="E75" i="3"/>
  <c r="E283" i="3"/>
  <c r="E484" i="3"/>
  <c r="E370" i="3"/>
  <c r="E342" i="3"/>
  <c r="E78" i="3"/>
  <c r="E243" i="3"/>
  <c r="E104" i="3"/>
  <c r="E452" i="3"/>
  <c r="E360" i="3"/>
  <c r="E405" i="3"/>
  <c r="E140" i="3"/>
  <c r="AF6" i="3"/>
  <c r="E174" i="3"/>
  <c r="AL6" i="3"/>
  <c r="E355" i="3"/>
  <c r="E389" i="3"/>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E430" i="3"/>
  <c r="E575" i="3"/>
  <c r="E192" i="3"/>
  <c r="E56" i="3"/>
  <c r="E435" i="3"/>
  <c r="I3" i="6"/>
  <c r="E541" i="3"/>
  <c r="E286" i="3"/>
  <c r="Q61" i="15"/>
  <c r="R6" i="3"/>
  <c r="E199" i="3"/>
  <c r="E466" i="3"/>
  <c r="E499" i="3"/>
  <c r="E212" i="3"/>
  <c r="F67" i="39"/>
  <c r="G67" i="39" s="1"/>
  <c r="AA7" i="36"/>
  <c r="R36" i="36" s="1"/>
  <c r="Y6" i="1"/>
  <c r="Y7" i="1" s="1"/>
  <c r="E63" i="39"/>
  <c r="F48" i="68"/>
  <c r="C48" i="68"/>
  <c r="C30" i="68"/>
  <c r="F48" i="69"/>
  <c r="C48" i="69"/>
  <c r="C30" i="69"/>
  <c r="C48" i="11"/>
  <c r="C30" i="11"/>
  <c r="E16" i="6"/>
  <c r="E3" i="6"/>
  <c r="D3" i="21" s="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F69" i="67"/>
  <c r="K21" i="6"/>
  <c r="S8" i="1" s="1"/>
  <c r="E8" i="70" s="1"/>
  <c r="K25" i="6"/>
  <c r="K20" i="6"/>
  <c r="K23" i="6"/>
  <c r="K22" i="6"/>
  <c r="E31" i="6"/>
  <c r="K24" i="6"/>
  <c r="K19" i="6"/>
  <c r="S6" i="1" s="1"/>
  <c r="O14" i="1"/>
  <c r="AY34" i="3"/>
  <c r="AY176" i="3"/>
  <c r="AY111" i="3"/>
  <c r="AY297" i="3"/>
  <c r="AY382" i="3"/>
  <c r="AY335" i="3"/>
  <c r="AY196" i="3"/>
  <c r="AY289" i="3"/>
  <c r="AY470" i="3"/>
  <c r="AY441" i="3"/>
  <c r="AY180" i="3"/>
  <c r="AY260" i="3"/>
  <c r="AY358" i="3"/>
  <c r="AY310" i="3"/>
  <c r="AY541" i="3"/>
  <c r="AY97" i="3"/>
  <c r="AY45" i="3"/>
  <c r="AY60" i="3"/>
  <c r="AY44" i="3"/>
  <c r="AY201" i="3"/>
  <c r="AY118" i="3"/>
  <c r="AY299" i="3"/>
  <c r="AY283" i="3"/>
  <c r="AY231" i="3"/>
  <c r="AY246" i="3"/>
  <c r="AY230" i="3"/>
  <c r="AY360" i="3"/>
  <c r="AY104" i="3"/>
  <c r="AY41" i="3"/>
  <c r="AY56" i="3"/>
  <c r="AY177" i="3"/>
  <c r="AY114" i="3"/>
  <c r="AY377" i="3"/>
  <c r="AY353" i="3"/>
  <c r="AY332" i="3"/>
  <c r="AY491" i="3"/>
  <c r="AY475" i="3"/>
  <c r="AY446" i="3"/>
  <c r="BM6" i="3"/>
  <c r="AY561" i="3"/>
  <c r="AY534" i="3"/>
  <c r="AY510" i="3"/>
  <c r="AY16" i="3"/>
  <c r="AY501" i="3"/>
  <c r="AY237" i="3"/>
  <c r="AY387" i="3"/>
  <c r="AY425" i="3"/>
  <c r="AY526" i="3"/>
  <c r="AY269" i="3"/>
  <c r="AY244" i="3"/>
  <c r="AY535" i="3"/>
  <c r="AY562" i="3"/>
  <c r="AY89" i="3"/>
  <c r="AY85" i="3"/>
  <c r="AY68" i="3"/>
  <c r="AY36" i="3"/>
  <c r="AY117" i="3"/>
  <c r="AY302" i="3"/>
  <c r="AY222" i="3"/>
  <c r="AY211" i="3"/>
  <c r="AY365" i="3"/>
  <c r="BS6" i="3"/>
  <c r="AY40" i="3"/>
  <c r="AY186" i="3"/>
  <c r="AY130" i="3"/>
  <c r="AY279" i="3"/>
  <c r="AY356" i="3"/>
  <c r="AY325" i="3"/>
  <c r="AY308" i="3"/>
  <c r="AY467" i="3"/>
  <c r="AY435" i="3"/>
  <c r="AY403" i="3"/>
  <c r="AY516" i="3"/>
  <c r="BN6" i="3"/>
  <c r="AY508" i="3"/>
  <c r="AY532" i="3"/>
  <c r="AY496" i="3"/>
  <c r="AY577" i="3"/>
  <c r="AY49" i="3"/>
  <c r="AY82" i="3"/>
  <c r="AY132" i="3"/>
  <c r="AY31" i="3"/>
  <c r="AY350" i="3"/>
  <c r="AY489" i="3"/>
  <c r="AY412" i="3"/>
  <c r="AY497" i="3"/>
  <c r="AY212" i="3"/>
  <c r="AY379" i="3"/>
  <c r="AY326" i="3"/>
  <c r="AY478" i="3"/>
  <c r="AY573" i="3"/>
  <c r="AY540" i="3"/>
  <c r="AY105" i="3"/>
  <c r="AY100" i="3"/>
  <c r="AY20" i="3"/>
  <c r="AY198" i="3"/>
  <c r="AY162" i="3"/>
  <c r="AY173" i="3"/>
  <c r="AY286" i="3"/>
  <c r="AY255" i="3"/>
  <c r="AY238" i="3"/>
  <c r="AY227" i="3"/>
  <c r="AY507" i="3"/>
  <c r="BB6" i="3"/>
  <c r="AY72" i="3"/>
  <c r="AY29" i="3"/>
  <c r="AY275" i="3"/>
  <c r="AY258" i="3"/>
  <c r="AY370" i="3"/>
  <c r="AY341" i="3"/>
  <c r="AY480" i="3"/>
  <c r="AY449" i="3"/>
  <c r="AY406" i="3"/>
  <c r="AY419" i="3"/>
  <c r="AY536" i="3"/>
  <c r="AY520" i="3"/>
  <c r="AY543" i="3"/>
  <c r="AY584" i="3"/>
  <c r="AY519" i="3"/>
  <c r="AY101" i="3"/>
  <c r="AY65" i="3"/>
  <c r="AY80" i="3"/>
  <c r="AY189" i="3"/>
  <c r="AY158" i="3"/>
  <c r="AY137" i="3"/>
  <c r="AY129" i="3"/>
  <c r="AY266" i="3"/>
  <c r="AY234" i="3"/>
  <c r="AY380" i="3"/>
  <c r="AY369" i="3"/>
  <c r="AY313" i="3"/>
  <c r="AY344" i="3"/>
  <c r="AY312" i="3"/>
  <c r="AY487" i="3"/>
  <c r="AY453" i="3"/>
  <c r="AY458" i="3"/>
  <c r="AY426" i="3"/>
  <c r="AY410" i="3"/>
  <c r="AY439" i="3"/>
  <c r="AY423" i="3"/>
  <c r="AY579" i="3"/>
  <c r="AY506" i="3"/>
  <c r="AY14" i="3"/>
  <c r="D3" i="6"/>
  <c r="AY524" i="3"/>
  <c r="AY502" i="3"/>
  <c r="AY509" i="3"/>
  <c r="AY542" i="3"/>
  <c r="AY570" i="3"/>
  <c r="AY531" i="3"/>
  <c r="AY578" i="3"/>
  <c r="BA6" i="3"/>
  <c r="AY94" i="3"/>
  <c r="AY63" i="3"/>
  <c r="AY46" i="3"/>
  <c r="AY35" i="3"/>
  <c r="AY192" i="3"/>
  <c r="AY187" i="3"/>
  <c r="AY167" i="3"/>
  <c r="AY135" i="3"/>
  <c r="AY285" i="3"/>
  <c r="AY280" i="3"/>
  <c r="AY249" i="3"/>
  <c r="AY264" i="3"/>
  <c r="AY221" i="3"/>
  <c r="AY378" i="3"/>
  <c r="AY362" i="3"/>
  <c r="AY331" i="3"/>
  <c r="AY346" i="3"/>
  <c r="AY314" i="3"/>
  <c r="AY466" i="3"/>
  <c r="AY456" i="3"/>
  <c r="AY437" i="3"/>
  <c r="AY405" i="3"/>
  <c r="AY558" i="3"/>
  <c r="AY517" i="3"/>
  <c r="AY512" i="3"/>
  <c r="BL6" i="3"/>
  <c r="AY91" i="3"/>
  <c r="AY86" i="3"/>
  <c r="AY55" i="3"/>
  <c r="AY70" i="3"/>
  <c r="AY27" i="3"/>
  <c r="AY184" i="3"/>
  <c r="AY148" i="3"/>
  <c r="AY159" i="3"/>
  <c r="AY128" i="3"/>
  <c r="AY119" i="3"/>
  <c r="AY273" i="3"/>
  <c r="AY241" i="3"/>
  <c r="AY224" i="3"/>
  <c r="AY213" i="3"/>
  <c r="AY391" i="3"/>
  <c r="AY367" i="3"/>
  <c r="AY323" i="3"/>
  <c r="AY338" i="3"/>
  <c r="AY490" i="3"/>
  <c r="AY459" i="3"/>
  <c r="AY448" i="3"/>
  <c r="AY416" i="3"/>
  <c r="AY550" i="3"/>
  <c r="BD6" i="3"/>
  <c r="AY511" i="3"/>
  <c r="AY504" i="3"/>
  <c r="AY586" i="3"/>
  <c r="AY498" i="3"/>
  <c r="AY205" i="3"/>
  <c r="AY142" i="3"/>
  <c r="AY298" i="3"/>
  <c r="AY235" i="3"/>
  <c r="AY218" i="3"/>
  <c r="AY385" i="3"/>
  <c r="AY321" i="3"/>
  <c r="AY336" i="3"/>
  <c r="AY492" i="3"/>
  <c r="AY461" i="3"/>
  <c r="AY450" i="3"/>
  <c r="AY418" i="3"/>
  <c r="AY399" i="3"/>
  <c r="AY17" i="3"/>
  <c r="AY575" i="3"/>
  <c r="AY537" i="3"/>
  <c r="AY530" i="3"/>
  <c r="AY548" i="3"/>
  <c r="AY110" i="3"/>
  <c r="AY47" i="3"/>
  <c r="AY203" i="3"/>
  <c r="AY140" i="3"/>
  <c r="AY120" i="3"/>
  <c r="AY296" i="3"/>
  <c r="AY216" i="3"/>
  <c r="AY383" i="3"/>
  <c r="AY330" i="3"/>
  <c r="AY482" i="3"/>
  <c r="AY440" i="3"/>
  <c r="AY421" i="3"/>
  <c r="AY528" i="3"/>
  <c r="AY576" i="3"/>
  <c r="AY39" i="3"/>
  <c r="AY22" i="3"/>
  <c r="AY195" i="3"/>
  <c r="AY175" i="3"/>
  <c r="AY288" i="3"/>
  <c r="AY272" i="3"/>
  <c r="AY375" i="3"/>
  <c r="AY339" i="3"/>
  <c r="AY322" i="3"/>
  <c r="AY474" i="3"/>
  <c r="AY413" i="3"/>
  <c r="AY15" i="3"/>
  <c r="AY567" i="3"/>
  <c r="AY64" i="3"/>
  <c r="AY21" i="3"/>
  <c r="AY174" i="3"/>
  <c r="AY113" i="3"/>
  <c r="AY267" i="3"/>
  <c r="AY396" i="3"/>
  <c r="AY361" i="3"/>
  <c r="AY337" i="3"/>
  <c r="AY305" i="3"/>
  <c r="AY479" i="3"/>
  <c r="AY476" i="3"/>
  <c r="AY434" i="3"/>
  <c r="AY402" i="3"/>
  <c r="AY415" i="3"/>
  <c r="AY505" i="3"/>
  <c r="AY522" i="3"/>
  <c r="AY515" i="3"/>
  <c r="AY545" i="3"/>
  <c r="BP6" i="3"/>
  <c r="AY493" i="3"/>
  <c r="AY79" i="3"/>
  <c r="AY19" i="3"/>
  <c r="AY172" i="3"/>
  <c r="AY301" i="3"/>
  <c r="AY265" i="3"/>
  <c r="AY248" i="3"/>
  <c r="AY394" i="3"/>
  <c r="AY315" i="3"/>
  <c r="AY485" i="3"/>
  <c r="AY408" i="3"/>
  <c r="AY500" i="3"/>
  <c r="AY547" i="3"/>
  <c r="AY568" i="3"/>
  <c r="AY71" i="3"/>
  <c r="AY54" i="3"/>
  <c r="AY164" i="3"/>
  <c r="AY143" i="3"/>
  <c r="AY293" i="3"/>
  <c r="AY257" i="3"/>
  <c r="AY386" i="3"/>
  <c r="AY351" i="3"/>
  <c r="AY477" i="3"/>
  <c r="AY443" i="3"/>
  <c r="AY400" i="3"/>
  <c r="AY521" i="3"/>
  <c r="BT6" i="3"/>
  <c r="U7" i="37"/>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7" i="37"/>
  <c r="H47" i="37" s="1"/>
  <c r="G48" i="35"/>
  <c r="U7" i="33"/>
  <c r="AB7" i="33"/>
  <c r="T48" i="33" s="1"/>
  <c r="G48" i="33" s="1"/>
  <c r="C53" i="67"/>
  <c r="C48" i="67" s="1"/>
  <c r="C10" i="67"/>
  <c r="C5" i="67" s="1"/>
  <c r="C38" i="67" s="1"/>
  <c r="C53" i="15"/>
  <c r="C16" i="15"/>
  <c r="C16" i="83"/>
  <c r="F13" i="15"/>
  <c r="M27" i="67"/>
  <c r="F13" i="83"/>
  <c r="AE6" i="1"/>
  <c r="J10" i="83" l="1"/>
  <c r="J5" i="83" s="1"/>
  <c r="J24" i="83" s="1"/>
  <c r="AG6" i="1"/>
  <c r="AY157" i="3"/>
  <c r="AY447" i="3"/>
  <c r="AY163" i="3"/>
  <c r="AY398" i="3"/>
  <c r="AY210" i="3"/>
  <c r="AY357" i="3"/>
  <c r="AY154" i="3"/>
  <c r="AY549" i="3"/>
  <c r="AY209" i="3"/>
  <c r="AY188" i="3"/>
  <c r="AY146" i="3"/>
  <c r="AY481" i="3"/>
  <c r="AY90" i="3"/>
  <c r="AY414" i="3"/>
  <c r="AY295" i="3"/>
  <c r="AY381" i="3"/>
  <c r="AY170" i="3"/>
  <c r="AY433" i="3"/>
  <c r="AY204" i="3"/>
  <c r="AY66" i="3"/>
  <c r="AY115" i="3"/>
  <c r="AY276" i="3"/>
  <c r="AY225" i="3"/>
  <c r="AY50" i="3"/>
  <c r="AY261" i="3"/>
  <c r="AY473" i="3"/>
  <c r="AY26" i="3"/>
  <c r="AY372" i="3"/>
  <c r="AY420" i="3"/>
  <c r="AY61" i="3"/>
  <c r="AY190" i="3"/>
  <c r="AY133" i="3"/>
  <c r="AY247" i="3"/>
  <c r="AY397" i="3"/>
  <c r="AY109" i="3"/>
  <c r="AY166" i="3"/>
  <c r="AY242" i="3"/>
  <c r="AY348" i="3"/>
  <c r="AY462" i="3"/>
  <c r="BQ6" i="3"/>
  <c r="AY495"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553"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33" i="3"/>
  <c r="G54" i="34"/>
  <c r="H54" i="34" s="1"/>
  <c r="F27" i="11"/>
  <c r="G38" i="84"/>
  <c r="I38" i="84" s="1"/>
  <c r="E38" i="84"/>
  <c r="E40" i="84"/>
  <c r="G40" i="84"/>
  <c r="I40" i="84" s="1"/>
  <c r="G37" i="84"/>
  <c r="I37" i="84" s="1"/>
  <c r="E37" i="84"/>
  <c r="C49" i="83"/>
  <c r="C61" i="83" s="1"/>
  <c r="Q52" i="83"/>
  <c r="F1" i="83"/>
  <c r="G39" i="84"/>
  <c r="I39" i="84" s="1"/>
  <c r="E39" i="84"/>
  <c r="J19" i="83"/>
  <c r="J18" i="83"/>
  <c r="Q74" i="83"/>
  <c r="Q61" i="83"/>
  <c r="G42" i="84"/>
  <c r="I42" i="84" s="1"/>
  <c r="E42" i="84"/>
  <c r="Q73" i="83"/>
  <c r="Q60" i="83"/>
  <c r="E33" i="84"/>
  <c r="K45" i="84"/>
  <c r="C34" i="84"/>
  <c r="E34" i="84" s="1"/>
  <c r="C32" i="83"/>
  <c r="C33" i="83"/>
  <c r="E41" i="84"/>
  <c r="G41" i="84"/>
  <c r="I41" i="84" s="1"/>
  <c r="Q57" i="83"/>
  <c r="Q66" i="83"/>
  <c r="L37" i="84"/>
  <c r="Q36" i="84"/>
  <c r="M36" i="84"/>
  <c r="O36" i="84"/>
  <c r="N36" i="84"/>
  <c r="P36" i="84"/>
  <c r="C38" i="83"/>
  <c r="L36" i="43"/>
  <c r="L37" i="43" s="1"/>
  <c r="P37" i="43" s="1"/>
  <c r="F24" i="83"/>
  <c r="C29" i="69"/>
  <c r="D27" i="69" s="1"/>
  <c r="H6" i="3"/>
  <c r="F45" i="69"/>
  <c r="H10" i="40"/>
  <c r="S10" i="39"/>
  <c r="C29" i="68"/>
  <c r="D27" i="68" s="1"/>
  <c r="C47" i="68"/>
  <c r="D45" i="68" s="1"/>
  <c r="AC6" i="3"/>
  <c r="J6" i="15"/>
  <c r="M17" i="15"/>
  <c r="C49" i="15"/>
  <c r="C48" i="15" s="1"/>
  <c r="C66" i="15" s="1"/>
  <c r="F59" i="15"/>
  <c r="H10" i="39"/>
  <c r="J10" i="40"/>
  <c r="AC10" i="40" s="1"/>
  <c r="C10" i="15"/>
  <c r="C5" i="15" s="1"/>
  <c r="C38" i="15" s="1"/>
  <c r="M16" i="1"/>
  <c r="L16" i="1" s="1"/>
  <c r="O16" i="1"/>
  <c r="F10" i="40"/>
  <c r="J10" i="39"/>
  <c r="E65" i="39"/>
  <c r="L18" i="9"/>
  <c r="D14" i="12"/>
  <c r="D17" i="12" s="1"/>
  <c r="C17" i="12" s="1"/>
  <c r="C88" i="9"/>
  <c r="C89" i="9" s="1"/>
  <c r="C87" i="9" s="1"/>
  <c r="D1" i="43"/>
  <c r="E83" i="43"/>
  <c r="B81" i="43" s="1"/>
  <c r="C28" i="43" s="1"/>
  <c r="T11" i="43" s="1"/>
  <c r="V11" i="43" s="1"/>
  <c r="D3" i="37"/>
  <c r="D19" i="11"/>
  <c r="C19" i="11" s="1"/>
  <c r="C20" i="11" s="1"/>
  <c r="C28" i="11" s="1"/>
  <c r="C27" i="11" s="1"/>
  <c r="D37" i="11"/>
  <c r="D3" i="34"/>
  <c r="D3" i="33"/>
  <c r="E6" i="6"/>
  <c r="D10" i="11" s="1"/>
  <c r="C10" i="11" s="1"/>
  <c r="C17" i="4"/>
  <c r="B4" i="52" s="1"/>
  <c r="B43" i="72" s="1"/>
  <c r="M18" i="9"/>
  <c r="B118" i="9" s="1"/>
  <c r="B14" i="74" s="1"/>
  <c r="B1" i="74" s="1"/>
  <c r="F25" i="12"/>
  <c r="C26" i="12" s="1"/>
  <c r="D25" i="12" s="1"/>
  <c r="F24" i="15"/>
  <c r="C24" i="15" s="1"/>
  <c r="F22" i="68"/>
  <c r="F41" i="68" s="1"/>
  <c r="F24" i="67"/>
  <c r="C24" i="67" s="1"/>
  <c r="F22" i="69"/>
  <c r="F41" i="69" s="1"/>
  <c r="F22" i="11"/>
  <c r="C44" i="11" s="1"/>
  <c r="D41" i="11" s="1"/>
  <c r="E49" i="34"/>
  <c r="E54" i="34" s="1"/>
  <c r="F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4" i="6"/>
  <c r="D19" i="6"/>
  <c r="C18" i="4"/>
  <c r="D23" i="6"/>
  <c r="D5" i="6"/>
  <c r="D12" i="6"/>
  <c r="D11" i="6"/>
  <c r="D13" i="6"/>
  <c r="D28" i="6"/>
  <c r="E61" i="40"/>
  <c r="H26" i="6"/>
  <c r="P14" i="1"/>
  <c r="P16" i="1" s="1"/>
  <c r="C11" i="12" s="1"/>
  <c r="H67" i="39"/>
  <c r="G69" i="39"/>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M27" i="15"/>
  <c r="C17" i="67"/>
  <c r="C17" i="15"/>
  <c r="F41" i="15"/>
  <c r="AE7" i="1"/>
  <c r="C14" i="67"/>
  <c r="C17" i="83"/>
  <c r="F41" i="83"/>
  <c r="J18" i="15" l="1"/>
  <c r="J10" i="15"/>
  <c r="AG7" i="1"/>
  <c r="C31" i="84"/>
  <c r="N16" i="1"/>
  <c r="N36" i="43"/>
  <c r="C29" i="11"/>
  <c r="D27" i="11" s="1"/>
  <c r="C47" i="11"/>
  <c r="D45" i="11" s="1"/>
  <c r="C48" i="83"/>
  <c r="E7" i="70"/>
  <c r="D10" i="69"/>
  <c r="C10" i="69" s="1"/>
  <c r="C8" i="69" s="1"/>
  <c r="C5" i="69" s="1"/>
  <c r="C30" i="84"/>
  <c r="B2" i="84" s="1"/>
  <c r="E6" i="3"/>
  <c r="O37" i="43"/>
  <c r="F69" i="83"/>
  <c r="P37" i="84"/>
  <c r="M37" i="84"/>
  <c r="Q37" i="84"/>
  <c r="O37" i="84"/>
  <c r="N37" i="84"/>
  <c r="Q37" i="43"/>
  <c r="Q36" i="43"/>
  <c r="M37" i="43"/>
  <c r="P36" i="43"/>
  <c r="O36" i="43"/>
  <c r="N37" i="43"/>
  <c r="M36" i="43"/>
  <c r="C24" i="83"/>
  <c r="H21" i="6"/>
  <c r="C60" i="15"/>
  <c r="AB10" i="40"/>
  <c r="U10" i="40"/>
  <c r="F69" i="15"/>
  <c r="J5" i="15"/>
  <c r="J24" i="15" s="1"/>
  <c r="W10" i="40"/>
  <c r="U10" i="39"/>
  <c r="AB10" i="39"/>
  <c r="W10" i="39"/>
  <c r="AC10" i="39"/>
  <c r="S10" i="40"/>
  <c r="AA10" i="40"/>
  <c r="D20" i="12"/>
  <c r="C20" i="12" s="1"/>
  <c r="D10" i="68"/>
  <c r="C10" i="68" s="1"/>
  <c r="B29" i="1" s="1"/>
  <c r="C8"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R22" i="6" s="1"/>
  <c r="R9" i="1" s="1"/>
  <c r="H25" i="6"/>
  <c r="R25" i="6" s="1"/>
  <c r="R12" i="1" s="1"/>
  <c r="C14" i="74"/>
  <c r="B2" i="74" s="1"/>
  <c r="D7" i="74" s="1"/>
  <c r="C24" i="11"/>
  <c r="C44" i="69"/>
  <c r="D41" i="69" s="1"/>
  <c r="C26" i="69"/>
  <c r="D22" i="69" s="1"/>
  <c r="C23" i="11"/>
  <c r="C25" i="11"/>
  <c r="C26" i="68"/>
  <c r="D22" i="68" s="1"/>
  <c r="C44" i="68"/>
  <c r="D41" i="68" s="1"/>
  <c r="C26" i="11"/>
  <c r="D22" i="11" s="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7" i="83"/>
  <c r="C14" i="15"/>
  <c r="C14" i="83"/>
  <c r="D19" i="69" l="1"/>
  <c r="C19" i="69" s="1"/>
  <c r="C24" i="69" s="1"/>
  <c r="D31" i="6"/>
  <c r="C18" i="83"/>
  <c r="C15" i="83"/>
  <c r="B3" i="84"/>
  <c r="E2" i="70"/>
  <c r="C60" i="83"/>
  <c r="C66" i="83"/>
  <c r="D19" i="68"/>
  <c r="D37" i="68" s="1"/>
  <c r="C37" i="68" s="1"/>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C19" i="67"/>
  <c r="C20" i="67" s="1"/>
  <c r="C26" i="67" s="1"/>
  <c r="T16" i="1"/>
  <c r="C18" i="15"/>
  <c r="C15" i="15"/>
  <c r="C38" i="68"/>
  <c r="C35" i="68"/>
  <c r="C36" i="11"/>
  <c r="C37" i="11"/>
  <c r="C34" i="11"/>
  <c r="C23" i="12"/>
  <c r="C14" i="12"/>
  <c r="C16" i="12" s="1"/>
  <c r="H19" i="6"/>
  <c r="S19" i="6"/>
  <c r="S27" i="6" s="1"/>
  <c r="I27" i="6"/>
  <c r="C19" i="68"/>
  <c r="I5" i="6"/>
  <c r="I6" i="6"/>
  <c r="G3" i="43" s="1"/>
  <c r="C23" i="69"/>
  <c r="I69" i="39"/>
  <c r="J67" i="39"/>
  <c r="I63" i="40"/>
  <c r="H65" i="40"/>
  <c r="I58" i="21"/>
  <c r="J58" i="21" s="1"/>
  <c r="K58" i="21" s="1"/>
  <c r="L58" i="21" s="1"/>
  <c r="M58" i="21" s="1"/>
  <c r="N58" i="21" s="1"/>
  <c r="O58" i="21" s="1"/>
  <c r="H7" i="21" s="1"/>
  <c r="J48" i="35"/>
  <c r="D37" i="69" l="1"/>
  <c r="C37" i="69" s="1"/>
  <c r="C33" i="69" s="1"/>
  <c r="C39" i="69" s="1"/>
  <c r="C43" i="69" s="1"/>
  <c r="C19" i="83"/>
  <c r="C20" i="83" s="1"/>
  <c r="U16" i="71"/>
  <c r="M23" i="84"/>
  <c r="H26" i="43"/>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J69" i="39"/>
  <c r="K67" i="39"/>
  <c r="U7" i="21"/>
  <c r="AB7" i="21"/>
  <c r="T48" i="21" s="1"/>
  <c r="G48" i="21" s="1"/>
  <c r="J63" i="40"/>
  <c r="I65" i="40"/>
  <c r="K48" i="35"/>
  <c r="L48" i="35" s="1"/>
  <c r="M48" i="35" s="1"/>
  <c r="N48" i="35" s="1"/>
  <c r="O48" i="35" s="1"/>
  <c r="H7" i="35" s="1"/>
  <c r="C42" i="69" l="1"/>
  <c r="C41" i="69" s="1"/>
  <c r="C26" i="83"/>
  <c r="C23" i="8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83"/>
  <c r="F35" i="15"/>
  <c r="M21" i="83"/>
  <c r="F35" i="67"/>
  <c r="M21" i="67"/>
  <c r="C29" i="83" l="1"/>
  <c r="C36" i="83" s="1"/>
  <c r="J20" i="83"/>
  <c r="J17" i="83" s="1"/>
  <c r="F63" i="83"/>
  <c r="C62" i="83" s="1"/>
  <c r="C59" i="83" s="1"/>
  <c r="C34" i="83"/>
  <c r="C31" i="83" s="1"/>
  <c r="E48" i="2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3" i="83" l="1"/>
  <c r="C37" i="83" s="1"/>
  <c r="C30" i="83" s="1"/>
  <c r="C39" i="83" s="1"/>
  <c r="J14" i="83"/>
  <c r="J22" i="83" s="1"/>
  <c r="J59" i="83"/>
  <c r="J60" i="83" s="1"/>
  <c r="Q48" i="83" s="1"/>
  <c r="Q49" i="83"/>
  <c r="C57" i="83"/>
  <c r="C64" i="83" s="1"/>
  <c r="E33" i="43"/>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56" i="83" l="1"/>
  <c r="C65" i="83" s="1"/>
  <c r="C58" i="83" s="1"/>
  <c r="C67" i="83" s="1"/>
  <c r="C68" i="83" s="1"/>
  <c r="C71" i="83" s="1"/>
  <c r="Q70" i="83"/>
  <c r="J13" i="83"/>
  <c r="J23" i="83" s="1"/>
  <c r="J16" i="83" s="1"/>
  <c r="J25" i="83" s="1"/>
  <c r="J26" i="83" s="1"/>
  <c r="J29" i="83" s="1"/>
  <c r="C75" i="83"/>
  <c r="C80" i="83" s="1"/>
  <c r="C79" i="83" s="1"/>
  <c r="L46" i="83"/>
  <c r="H39" i="83"/>
  <c r="Q69" i="83"/>
  <c r="C40" i="83"/>
  <c r="Q67" i="83"/>
  <c r="C30" i="43"/>
  <c r="B2" i="43" s="1"/>
  <c r="C6"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E6" i="76"/>
  <c r="D2" i="33"/>
  <c r="B6" i="76"/>
  <c r="Q68" i="83" l="1"/>
  <c r="C46" i="83"/>
  <c r="Q56" i="83"/>
  <c r="Q62" i="83" s="1"/>
  <c r="Q47" i="83"/>
  <c r="Q53" i="83" s="1"/>
  <c r="B2" i="83"/>
  <c r="B3" i="83" s="1"/>
  <c r="Q65" i="83"/>
  <c r="Q75" i="83" s="1"/>
  <c r="C83" i="83"/>
  <c r="C82" i="83" s="1"/>
  <c r="C43" i="83"/>
  <c r="E2" i="76"/>
  <c r="B2" i="76"/>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B3" i="76" l="1"/>
  <c r="C7" i="68"/>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8" i="1"/>
  <c r="AO12"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8" i="68" l="1"/>
  <c r="C27" i="68" s="1"/>
  <c r="C25" i="68"/>
  <c r="C2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31" i="68"/>
  <c r="C52" i="68" s="1"/>
  <c r="B2" i="68" s="1"/>
  <c r="D6" i="71"/>
  <c r="C5" i="71"/>
  <c r="C42" i="40"/>
  <c r="C43" i="40"/>
  <c r="E47" i="40"/>
  <c r="F47" i="40" s="1"/>
  <c r="E46" i="40"/>
  <c r="F46" i="40" s="1"/>
  <c r="I47" i="40"/>
  <c r="J47" i="40" s="1"/>
  <c r="C19" i="9"/>
  <c r="D20" i="9"/>
  <c r="D5" i="71" l="1"/>
  <c r="M24" i="43" s="1"/>
  <c r="M24" i="84"/>
  <c r="D103" i="9"/>
  <c r="C57" i="68"/>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D59" i="9"/>
  <c r="M55" i="9" s="1"/>
  <c r="C93" i="9" l="1"/>
  <c r="C86" i="9" s="1"/>
  <c r="D55" i="9"/>
  <c r="M53" i="9" s="1"/>
  <c r="C72" i="9"/>
  <c r="D53" i="9"/>
  <c r="D48" i="9" s="1"/>
  <c r="M52" i="9" s="1"/>
  <c r="C85" i="9"/>
  <c r="C78" i="9"/>
  <c r="C73" i="9" s="1"/>
  <c r="C64" i="9"/>
  <c r="C63" i="9" s="1"/>
  <c r="C67" i="9" s="1"/>
  <c r="C68" i="9" s="1"/>
  <c r="D54" i="9" s="1"/>
  <c r="C5" i="74"/>
  <c r="D122" i="9"/>
  <c r="G14" i="74" s="1"/>
  <c r="B6" i="74" s="1"/>
  <c r="D6" i="74" s="1"/>
  <c r="H108" i="9"/>
  <c r="D15" i="53" s="1"/>
  <c r="B31" i="72" s="1"/>
  <c r="M49" i="9"/>
  <c r="Q54"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D126" i="9" s="1"/>
  <c r="H111" i="9" s="1"/>
  <c r="C97" i="9" l="1"/>
  <c r="D58" i="9" s="1"/>
  <c r="D56" i="9" s="1"/>
  <c r="M54" i="9" s="1"/>
  <c r="N57" i="9" s="1"/>
  <c r="P57" i="9" s="1"/>
  <c r="C81" i="9"/>
  <c r="M69" i="9"/>
  <c r="N69" i="9" s="1"/>
  <c r="Q61" i="9"/>
  <c r="H112" i="9" s="1"/>
  <c r="I14" i="74"/>
  <c r="Q60" i="9"/>
  <c r="N59" i="9" l="1"/>
  <c r="N61" i="9" s="1"/>
  <c r="D21" i="53" s="1"/>
  <c r="B39" i="72" s="1"/>
  <c r="N58" i="9"/>
  <c r="N60" i="9" l="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<sst xmlns="http://schemas.openxmlformats.org/spreadsheetml/2006/main" count="8715" uniqueCount="3486">
  <si>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</si>
  <si>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</si>
  <si>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</si>
  <si>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</si>
  <si>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</si>
  <si>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</si>
  <si>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</si>
  <si>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</si>
  <si>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</si>
  <si>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</si>
  <si>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</si>
  <si>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</si>
  <si>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</si>
  <si>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</si>
  <si>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</si>
  <si>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</si>
  <si>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</si>
  <si>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</si>
  <si>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</si>
  <si>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</si>
  <si>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</si>
  <si>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</si>
  <si>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</si>
  <si>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</si>
  <si>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</si>
  <si>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</si>
  <si>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</si>
  <si>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</si>
  <si>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</si>
  <si>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</si>
  <si>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</si>
  <si>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</si>
  <si>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</si>
  <si>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</si>
  <si>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</si>
  <si>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</si>
  <si>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</si>
  <si>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</si>
  <si>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</si>
  <si>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</si>
  <si>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</si>
  <si>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</si>
  <si>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</si>
  <si>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</si>
  <si>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</si>
  <si>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</si>
  <si>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</si>
  <si>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</si>
  <si>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</si>
  <si>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</si>
  <si>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</si>
  <si>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</si>
  <si>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</si>
  <si>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</si>
  <si>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</si>
  <si>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</si>
  <si>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</si>
  <si>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</si>
  <si>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</si>
  <si>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</si>
  <si>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</si>
  <si>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</si>
  <si>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</si>
  <si>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</si>
  <si>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</si>
  <si>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</si>
  <si>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</si>
  <si>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</si>
  <si>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</si>
  <si>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</si>
  <si>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</si>
  <si>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</si>
  <si>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</si>
  <si>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</si>
  <si>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</si>
  <si>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</si>
  <si>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</si>
  <si>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</si>
  <si>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</si>
  <si>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</si>
  <si>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</si>
  <si>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</si>
  <si>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</si>
  <si>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</si>
  <si>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</si>
  <si>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</si>
  <si>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</si>
  <si>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</si>
  <si>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</si>
  <si>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</si>
  <si>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</si>
  <si>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</si>
  <si>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</si>
  <si>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</si>
  <si>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</si>
  <si>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</si>
  <si>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</si>
  <si>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</si>
  <si>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</si>
  <si>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</si>
  <si>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</si>
  <si>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</si>
  <si>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</si>
  <si>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</si>
  <si>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</si>
  <si>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</si>
  <si>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</si>
  <si>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</si>
  <si>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</si>
  <si>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</si>
  <si>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</si>
  <si>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</si>
  <si>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</si>
  <si>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</si>
  <si>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</si>
  <si>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</si>
  <si>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</si>
  <si>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</si>
  <si>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</si>
  <si>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</si>
  <si>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</si>
  <si>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</si>
  <si>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</si>
  <si>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</si>
  <si>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</si>
  <si>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</si>
  <si>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</si>
  <si>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</si>
  <si>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</si>
  <si>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</si>
  <si>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</si>
  <si>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</si>
  <si>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</si>
  <si>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</si>
  <si>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</si>
  <si>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</si>
  <si>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</si>
  <si>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</si>
  <si>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</si>
  <si>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</si>
  <si>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</si>
  <si>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</si>
  <si>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</si>
  <si>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</si>
  <si>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</si>
  <si>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</si>
  <si>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</si>
  <si>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</si>
  <si>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</si>
  <si>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</si>
  <si>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</si>
  <si>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</si>
  <si>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</si>
  <si>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</si>
  <si>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</si>
  <si>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</si>
  <si>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</si>
  <si>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</si>
  <si>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</si>
  <si>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</si>
  <si>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</si>
  <si>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</si>
  <si>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</si>
  <si>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</si>
  <si>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</si>
  <si>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</si>
  <si>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</si>
  <si>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</si>
  <si>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</si>
  <si>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</si>
  <si>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</si>
  <si>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</si>
  <si>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</si>
  <si>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</si>
  <si>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</si>
  <si>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</si>
  <si>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</si>
  <si>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</si>
  <si>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</si>
  <si>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</si>
  <si>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</si>
  <si>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</si>
  <si>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</si>
  <si>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</si>
  <si>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</si>
  <si>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</si>
  <si>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</si>
  <si>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</si>
  <si>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</si>
  <si>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</si>
  <si>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</si>
  <si>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</si>
  <si>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</si>
  <si>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</si>
  <si>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</si>
  <si>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</si>
  <si>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</si>
  <si>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</si>
  <si>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</si>
  <si>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</si>
  <si>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</si>
  <si>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</si>
  <si>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</si>
  <si>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</si>
  <si>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</si>
  <si>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</si>
  <si>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</si>
  <si>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</si>
  <si>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</si>
  <si>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</si>
  <si>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</si>
  <si>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</si>
  <si>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</si>
  <si>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</si>
  <si>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</si>
  <si>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</si>
  <si>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</si>
  <si>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</si>
  <si>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</si>
  <si>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</si>
  <si>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</si>
  <si>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</si>
  <si>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</si>
  <si>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</si>
  <si>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</si>
  <si>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</si>
  <si>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</si>
  <si>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</si>
  <si>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</si>
  <si>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</si>
  <si>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</si>
  <si>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</si>
  <si>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</si>
  <si>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</si>
  <si>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</si>
  <si>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</si>
  <si>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</si>
  <si>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</si>
  <si>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</si>
  <si>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</si>
  <si>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</si>
  <si>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</si>
  <si>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</si>
  <si>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</si>
  <si>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</si>
  <si>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</si>
  <si>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</si>
  <si>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</si>
  <si>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</si>
  <si>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</si>
  <si>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</si>
  <si>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</si>
  <si>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</si>
  <si>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</si>
  <si>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</si>
  <si>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</si>
  <si>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</si>
  <si>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</si>
  <si>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</si>
  <si>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</si>
  <si>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</si>
  <si>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</si>
  <si>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</si>
  <si>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</si>
  <si>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</si>
  <si>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</si>
  <si>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</si>
  <si>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</si>
  <si>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</si>
  <si>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</si>
  <si>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</si>
  <si>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</si>
  <si>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</si>
  <si>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</si>
  <si>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</si>
  <si>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</si>
  <si>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</si>
  <si>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</si>
  <si>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</si>
  <si>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</si>
  <si>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</si>
  <si>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</si>
  <si>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</si>
  <si>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</si>
  <si>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</si>
  <si>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</si>
  <si>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</si>
  <si>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</si>
  <si>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</si>
  <si>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</si>
  <si>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</si>
  <si>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</si>
  <si>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</si>
  <si>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</si>
  <si>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</si>
  <si>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</si>
  <si>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</si>
  <si>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</si>
  <si>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</si>
  <si>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</si>
  <si>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</si>
  <si>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</si>
  <si>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</si>
  <si>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</si>
  <si>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</si>
  <si>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</si>
  <si>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</si>
  <si>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</si>
  <si>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</si>
  <si>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</si>
  <si>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</si>
  <si>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</si>
  <si>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</si>
  <si>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</si>
  <si>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</si>
  <si>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</si>
  <si>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</si>
  <si>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</si>
  <si>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</si>
  <si>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</si>
  <si>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</si>
  <si>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</si>
  <si>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</si>
  <si>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</si>
  <si>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</si>
  <si>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</si>
  <si>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</si>
  <si>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</si>
  <si>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</si>
  <si>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</si>
  <si>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</si>
  <si>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</si>
  <si>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</si>
  <si>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</si>
  <si>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</si>
  <si>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</si>
  <si>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</si>
  <si>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</si>
  <si>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</si>
  <si>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</si>
  <si>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</si>
  <si>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</si>
  <si>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</si>
  <si>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</si>
  <si>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</si>
  <si>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</si>
  <si>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</si>
  <si>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</si>
  <si>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</si>
  <si>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</si>
  <si>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</si>
  <si>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</si>
  <si>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</si>
  <si>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</si>
  <si>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</si>
  <si>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</si>
  <si>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</si>
  <si>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</si>
  <si>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</si>
  <si>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</si>
  <si>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</si>
  <si>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</si>
  <si>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</si>
  <si>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</si>
  <si>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</si>
  <si>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</si>
  <si>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</si>
  <si>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</si>
  <si>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</si>
  <si>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</si>
  <si>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</si>
  <si>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</si>
  <si>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</si>
  <si>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</si>
  <si>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</si>
  <si>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</si>
  <si>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</si>
  <si>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</si>
  <si>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</si>
  <si>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</si>
  <si>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</si>
  <si>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</si>
  <si>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</si>
  <si>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</si>
  <si>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</si>
  <si>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</si>
  <si>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</si>
  <si>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</si>
  <si>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</si>
  <si>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</si>
  <si>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</si>
  <si>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</si>
  <si>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</si>
  <si>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</si>
  <si>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</si>
  <si>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</si>
  <si>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</si>
  <si>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</si>
  <si>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</si>
  <si>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</si>
  <si>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</si>
  <si>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</si>
  <si>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</si>
  <si>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</si>
  <si>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</si>
  <si>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</si>
  <si>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</si>
  <si>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</si>
  <si>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</si>
  <si>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</si>
  <si>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</si>
  <si>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</si>
  <si>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</si>
  <si>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</si>
  <si>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</si>
  <si>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</si>
  <si>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</si>
  <si>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</si>
  <si>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</si>
  <si>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</si>
  <si>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</si>
  <si>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</si>
  <si>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</si>
  <si>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</si>
  <si>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</si>
  <si>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</si>
  <si>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</si>
  <si>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</si>
  <si>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</si>
  <si>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</si>
  <si>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</si>
  <si>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</si>
  <si>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</si>
  <si>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</si>
  <si>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</si>
  <si>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</si>
  <si>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</si>
  <si>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</si>
  <si>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</si>
  <si>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</si>
  <si>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</si>
  <si>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</si>
  <si>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</si>
  <si>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</si>
  <si>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</si>
  <si>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</si>
  <si>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</si>
  <si>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</si>
  <si>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</si>
  <si>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</si>
  <si>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</si>
  <si>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</si>
  <si>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</si>
  <si>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</si>
  <si>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</si>
  <si>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</si>
  <si>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</si>
  <si>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</si>
  <si>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</si>
  <si>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</si>
  <si>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</si>
  <si>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</si>
  <si>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</si>
  <si>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</si>
  <si>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</si>
  <si>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</si>
  <si>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</si>
  <si>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</si>
  <si>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</si>
  <si>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</si>
  <si>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</si>
  <si>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</si>
  <si>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</si>
  <si>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</si>
  <si>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</si>
  <si>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</si>
  <si>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</si>
  <si>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</si>
  <si>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</si>
  <si>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</si>
  <si>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</si>
  <si>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</si>
  <si>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</si>
  <si>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</si>
  <si>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</si>
  <si>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</si>
  <si>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</si>
  <si>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</si>
  <si>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</si>
  <si>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</si>
  <si>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</si>
  <si>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</si>
  <si>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</si>
  <si>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</si>
  <si>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</si>
  <si>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</si>
  <si>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</si>
  <si>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</si>
  <si>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</si>
  <si>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</si>
  <si>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</si>
  <si>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</si>
  <si>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</si>
  <si>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</si>
  <si>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</si>
  <si>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</si>
  <si>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</si>
  <si>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</si>
  <si>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</si>
  <si>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</si>
  <si>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</si>
  <si>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</si>
  <si>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</si>
  <si>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</si>
  <si>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</si>
  <si>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</si>
  <si>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</si>
  <si>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</si>
  <si>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</si>
  <si>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</si>
  <si>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</si>
  <si>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</si>
  <si>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</si>
  <si>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</si>
  <si>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</si>
  <si>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</si>
  <si>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</si>
  <si>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</si>
  <si>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</si>
  <si>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</si>
  <si>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</si>
  <si>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</si>
  <si>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</si>
  <si>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</si>
  <si>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</si>
  <si>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</si>
  <si>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</si>
  <si>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</si>
  <si>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</si>
  <si>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</si>
  <si>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</si>
  <si>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</si>
  <si>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</si>
  <si>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</si>
  <si>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</si>
  <si>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</si>
  <si>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</si>
  <si>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</si>
  <si>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</si>
  <si>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</si>
  <si>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</si>
  <si>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</si>
  <si>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</si>
  <si>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</si>
  <si>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</si>
  <si>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</si>
  <si>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</si>
  <si>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</si>
  <si>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</si>
  <si>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</si>
  <si>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</si>
  <si>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</si>
  <si>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</si>
  <si>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</si>
  <si>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</si>
  <si>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</si>
  <si>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</si>
  <si>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</si>
  <si>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</si>
  <si>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</si>
  <si>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</si>
  <si>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</si>
  <si>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</si>
  <si>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</si>
  <si>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</si>
  <si>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</si>
  <si>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</si>
  <si>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</si>
  <si>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</si>
  <si>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</si>
  <si>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</si>
  <si>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</si>
  <si>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</si>
  <si>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</si>
  <si>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</si>
  <si>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</si>
  <si>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</si>
  <si>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</si>
  <si>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</si>
  <si>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</si>
  <si>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</si>
  <si>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</si>
  <si>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</si>
  <si>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</si>
  <si>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</si>
  <si>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</si>
  <si>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</si>
  <si>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</si>
  <si>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</si>
  <si>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</si>
  <si>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</si>
  <si>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</si>
  <si>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</si>
  <si>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</si>
  <si>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</si>
  <si>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</si>
  <si>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</si>
  <si>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</si>
  <si>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</si>
  <si>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</si>
  <si>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</si>
  <si>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</si>
  <si>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</si>
  <si>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</si>
  <si>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</si>
  <si>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</si>
  <si>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</si>
  <si>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</si>
  <si>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</si>
  <si>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</si>
  <si>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</si>
  <si>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</si>
  <si>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</si>
  <si>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</si>
  <si>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</si>
  <si>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</si>
  <si>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</si>
  <si>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</si>
  <si>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</si>
  <si>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</si>
  <si>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</si>
  <si>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</si>
  <si>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</si>
  <si>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</si>
  <si>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</si>
  <si>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</si>
  <si>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</si>
  <si>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</si>
  <si>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</si>
  <si>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</si>
  <si>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</si>
  <si>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</si>
  <si>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</si>
  <si>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</si>
  <si>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</si>
  <si>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</si>
  <si>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</si>
  <si>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</si>
  <si>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</si>
  <si>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</si>
  <si>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</si>
  <si>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</si>
  <si>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</si>
  <si>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</si>
  <si>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</si>
  <si>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</si>
  <si>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</si>
  <si>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</si>
  <si>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</si>
  <si>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</si>
  <si>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</si>
  <si>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</si>
  <si>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</si>
  <si>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</si>
  <si>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</si>
  <si>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</si>
  <si>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</si>
  <si>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</si>
  <si>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</si>
  <si>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</si>
  <si>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</si>
  <si>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</si>
  <si>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</si>
  <si>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</si>
  <si>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</si>
  <si>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</si>
  <si>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</si>
  <si>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</si>
  <si>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</si>
  <si>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</si>
  <si>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</si>
  <si>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</si>
  <si>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</si>
  <si>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</si>
  <si>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</si>
  <si>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</si>
  <si>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</si>
  <si>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</si>
  <si>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</si>
  <si>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</si>
  <si>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</si>
  <si>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</si>
  <si>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</si>
  <si>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</si>
  <si>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</si>
  <si>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</si>
  <si>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</si>
  <si>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</si>
  <si>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</si>
  <si>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</si>
  <si>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</si>
  <si>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</si>
  <si>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</si>
  <si>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</si>
  <si>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</si>
  <si>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</si>
  <si>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</si>
  <si>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</si>
  <si>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</si>
  <si>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</si>
  <si>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</si>
  <si>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</si>
  <si>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</si>
  <si>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</si>
  <si>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</si>
  <si>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</si>
  <si>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</si>
  <si>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</si>
  <si>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</si>
  <si>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</si>
  <si>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</si>
  <si>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</si>
  <si>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</si>
  <si>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</si>
  <si>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</si>
  <si>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</si>
  <si>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</si>
  <si>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</si>
  <si>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</si>
  <si>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</si>
  <si>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</si>
  <si>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</si>
  <si>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</si>
  <si>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</si>
  <si>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</si>
  <si>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</si>
  <si>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</si>
  <si>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</si>
  <si>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</si>
  <si>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</si>
  <si>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</si>
  <si>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</si>
  <si>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</si>
  <si>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</si>
  <si>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</si>
  <si>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</si>
  <si>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</si>
  <si>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</si>
  <si>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</si>
  <si>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</si>
  <si>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</si>
  <si>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</si>
  <si>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</si>
  <si>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</si>
  <si>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</si>
  <si>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</si>
  <si>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</si>
  <si>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</si>
  <si>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</si>
  <si>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</si>
  <si>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</si>
  <si>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</si>
  <si>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</si>
  <si>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</si>
  <si>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</si>
  <si>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</si>
  <si>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</si>
  <si>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</si>
  <si>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</si>
  <si>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</si>
  <si>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</si>
  <si>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</si>
  <si>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</si>
  <si>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</si>
  <si>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</si>
  <si>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</si>
  <si>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</si>
  <si>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</si>
  <si>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</si>
  <si>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</si>
  <si>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</si>
  <si>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</si>
  <si>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</si>
  <si>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</si>
  <si>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</si>
  <si>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</si>
  <si>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</si>
  <si>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</si>
  <si>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</si>
  <si>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</si>
  <si>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</si>
  <si>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</si>
  <si>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</si>
  <si>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</si>
  <si>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</si>
  <si>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</si>
  <si>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</si>
  <si>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</si>
  <si>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</si>
  <si>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</si>
  <si>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</si>
  <si>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</si>
  <si>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</si>
  <si>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</si>
  <si>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</si>
  <si>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</si>
  <si>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</si>
  <si>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</si>
  <si>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</si>
  <si>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</si>
  <si>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</si>
  <si>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</si>
  <si>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</si>
  <si>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</si>
  <si>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</si>
  <si>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</si>
  <si>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</si>
  <si>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</si>
  <si>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</si>
  <si>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</si>
  <si>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</si>
  <si>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</si>
  <si>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</si>
  <si>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</si>
  <si>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</si>
  <si>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</si>
  <si>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</si>
  <si>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</si>
  <si>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</si>
  <si>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</si>
  <si>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</si>
  <si>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</si>
  <si>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</si>
  <si>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</si>
  <si>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</si>
  <si>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</si>
  <si>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</si>
  <si>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</si>
  <si>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</si>
  <si>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</si>
  <si>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</si>
  <si>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</si>
  <si>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</si>
  <si>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</si>
  <si>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</si>
  <si>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</si>
  <si>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</si>
  <si>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</si>
  <si>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</si>
  <si>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</si>
  <si>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</si>
  <si>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</si>
  <si>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</si>
  <si>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</si>
  <si>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</si>
  <si>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</si>
  <si>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</si>
  <si>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</si>
  <si>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</si>
  <si>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</si>
  <si>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</si>
  <si>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</si>
  <si>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</si>
  <si>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</si>
  <si>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</si>
  <si>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</si>
  <si>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</si>
  <si>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</si>
  <si>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</si>
  <si>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</si>
  <si>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</si>
  <si>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</si>
  <si>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</si>
  <si>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</si>
  <si>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</si>
  <si>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</si>
  <si>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</si>
  <si>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</si>
  <si>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</si>
  <si>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</si>
  <si>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</si>
  <si>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</si>
  <si>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</si>
  <si>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</si>
  <si>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</si>
  <si>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</si>
  <si>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</si>
  <si>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</si>
  <si>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</si>
  <si>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</si>
  <si>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</si>
  <si>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</si>
  <si>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</si>
  <si>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</si>
  <si>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</si>
  <si>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</si>
  <si>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</si>
  <si>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</si>
  <si>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</si>
  <si>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</si>
  <si>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</si>
  <si>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</si>
  <si>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</si>
  <si>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</si>
  <si>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</si>
  <si>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</si>
  <si>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</si>
  <si>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</si>
  <si>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</si>
  <si>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</si>
  <si>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</si>
  <si>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</si>
  <si>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</si>
  <si>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</si>
  <si>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</si>
  <si>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</si>
  <si>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</si>
  <si>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</si>
  <si>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</si>
  <si>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</si>
  <si>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</si>
  <si>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</si>
  <si>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</si>
  <si>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</si>
  <si>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</si>
  <si>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</si>
  <si>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</si>
  <si>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</si>
  <si>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</si>
  <si>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</si>
  <si>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</si>
  <si>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</si>
  <si>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</si>
  <si>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</si>
  <si>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</si>
  <si>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</si>
  <si>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</si>
  <si>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</si>
  <si>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</si>
  <si>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</si>
  <si>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</si>
  <si>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</si>
  <si>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</si>
  <si>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</si>
  <si>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</si>
  <si>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</si>
  <si>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</si>
  <si>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</si>
  <si>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</si>
  <si>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</si>
  <si>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</si>
  <si>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</si>
  <si>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</si>
  <si>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</si>
  <si>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</si>
  <si>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</si>
  <si>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</si>
  <si>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</si>
  <si>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</si>
  <si>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</si>
  <si>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</si>
  <si>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</si>
  <si>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</si>
  <si>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</si>
  <si>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</si>
  <si>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</si>
  <si>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</si>
  <si>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</si>
  <si>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</si>
  <si>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</si>
  <si>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</si>
  <si>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</si>
  <si>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</si>
  <si>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</si>
  <si>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</si>
  <si>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</si>
  <si>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</si>
  <si>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</si>
  <si>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</si>
  <si>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</si>
  <si>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</si>
  <si>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</si>
  <si>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</si>
  <si>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</si>
  <si>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</si>
  <si>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</si>
  <si>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</si>
  <si>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</si>
  <si>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</si>
  <si>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</si>
  <si>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</si>
  <si>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</si>
  <si>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</si>
  <si>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</si>
  <si>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</si>
  <si>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</si>
  <si>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</si>
  <si>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</si>
  <si>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</si>
  <si>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</si>
  <si>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</si>
  <si>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</si>
  <si>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</si>
  <si>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</si>
  <si>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</si>
  <si>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</si>
  <si>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</si>
  <si>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</si>
  <si>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</si>
  <si>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</si>
  <si>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</si>
  <si>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</si>
  <si>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</si>
  <si>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</si>
  <si>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</si>
  <si>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</si>
  <si>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</si>
  <si>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</si>
  <si>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</si>
  <si>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</si>
  <si>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</si>
  <si>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</si>
  <si>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</si>
  <si>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</si>
  <si>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</si>
  <si>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</si>
  <si>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</si>
  <si>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</si>
  <si>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</si>
  <si>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</si>
  <si>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</si>
  <si>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</si>
  <si>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</si>
  <si>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</si>
  <si>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</si>
  <si>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</si>
  <si>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</si>
  <si>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</si>
  <si>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</si>
  <si>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</si>
  <si>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</si>
  <si>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</si>
  <si>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</si>
  <si>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</si>
  <si>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</si>
  <si>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</si>
  <si>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</si>
  <si>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</si>
  <si>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</si>
  <si>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</si>
  <si>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</si>
  <si>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</si>
  <si>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</si>
  <si>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</si>
  <si>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</si>
  <si>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</si>
  <si>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</si>
  <si>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</si>
  <si>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</si>
  <si>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</si>
  <si>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</si>
  <si>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</si>
  <si>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</si>
  <si>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</si>
  <si>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</si>
  <si>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</si>
  <si>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</si>
  <si>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</si>
  <si>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</si>
  <si>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</si>
  <si>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</si>
  <si>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</si>
  <si>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</si>
  <si>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</si>
  <si>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</si>
  <si>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</si>
  <si>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</si>
  <si>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</si>
  <si>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</si>
  <si>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</si>
  <si>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</si>
  <si>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</si>
  <si>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</si>
  <si>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</si>
  <si>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</si>
  <si>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</si>
  <si>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</si>
  <si>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</si>
  <si>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</si>
  <si>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</si>
  <si>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</si>
  <si>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</si>
  <si>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</si>
  <si>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</si>
  <si>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</si>
  <si>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</si>
  <si>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</si>
  <si>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</si>
  <si>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</si>
  <si>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</si>
  <si>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</si>
  <si>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</si>
  <si>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</si>
  <si>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</si>
  <si>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</si>
  <si>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</si>
  <si>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</si>
  <si>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</si>
  <si>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</si>
  <si>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</si>
  <si>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</si>
  <si>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</si>
  <si>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</si>
  <si>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</si>
  <si>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</si>
  <si>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</si>
  <si>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</si>
  <si>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</si>
  <si>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</si>
  <si>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</si>
  <si>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</si>
  <si>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</si>
  <si>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</si>
  <si>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</si>
  <si>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</si>
  <si>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</si>
  <si>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</si>
  <si>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</si>
  <si>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</si>
  <si>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</si>
  <si>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</si>
  <si>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</si>
  <si>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</si>
  <si>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</si>
  <si>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</si>
  <si>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</si>
  <si>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</si>
  <si>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</si>
  <si>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</si>
  <si>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</si>
  <si>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</si>
  <si>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</si>
  <si>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</si>
  <si>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</si>
  <si>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</si>
  <si>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</si>
  <si>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</si>
  <si>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</si>
  <si>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</si>
  <si>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</si>
  <si>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</si>
  <si>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</si>
  <si>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</si>
  <si>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</si>
  <si>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</si>
  <si>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</si>
  <si>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</si>
  <si>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</si>
  <si>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</si>
  <si>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</si>
  <si>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</si>
  <si>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</si>
  <si>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</si>
  <si>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</si>
  <si>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</si>
  <si>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</si>
  <si>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</si>
  <si>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</si>
  <si>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</si>
  <si>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</si>
  <si>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</si>
  <si>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</si>
  <si>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</si>
  <si>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</si>
  <si>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</si>
  <si>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</si>
  <si>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</si>
  <si>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</si>
  <si>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</si>
  <si>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</si>
  <si>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</si>
  <si>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</si>
  <si>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</si>
  <si>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</si>
  <si>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</si>
  <si>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</si>
  <si>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</si>
  <si>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</si>
  <si>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</si>
  <si>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</si>
  <si>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</si>
  <si>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</si>
  <si>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</si>
  <si>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</si>
  <si>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</si>
  <si>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</si>
  <si>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</si>
  <si>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</si>
  <si>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</si>
  <si>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</si>
  <si>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</si>
  <si>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</si>
  <si>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</si>
  <si>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</si>
  <si>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</si>
  <si>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</si>
  <si>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</si>
  <si>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</si>
  <si>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</si>
  <si>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</si>
  <si>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</si>
  <si>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</si>
  <si>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</si>
  <si>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</si>
  <si>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</si>
  <si>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</si>
  <si>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</si>
  <si>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</si>
  <si>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</si>
  <si>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</si>
  <si>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</si>
  <si>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</si>
  <si>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</si>
  <si>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</si>
  <si>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</si>
  <si>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</si>
  <si>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</si>
  <si>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</si>
  <si>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</si>
  <si>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</si>
  <si>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</si>
  <si>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</si>
  <si>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</si>
  <si>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</si>
  <si>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</si>
  <si>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</si>
  <si>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</si>
  <si>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</si>
  <si>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</si>
  <si>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</si>
  <si>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</si>
  <si>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</si>
  <si>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</si>
  <si>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</si>
  <si>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</si>
  <si>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</si>
  <si>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</si>
  <si>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</si>
  <si>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</si>
  <si>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</si>
  <si>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</si>
  <si>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</si>
  <si>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</si>
  <si>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</si>
  <si>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</si>
  <si>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</si>
  <si>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</si>
  <si>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</si>
  <si>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</si>
  <si>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</si>
  <si>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</si>
  <si>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</si>
  <si>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</si>
  <si>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</si>
  <si>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</si>
  <si>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</si>
  <si>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</si>
  <si>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</si>
  <si>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</si>
  <si>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</si>
  <si>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</si>
  <si>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</si>
  <si>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</si>
  <si>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</si>
  <si>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</si>
  <si>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</si>
  <si>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</si>
  <si>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</si>
  <si>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</si>
  <si>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</si>
  <si>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</si>
  <si>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</si>
  <si>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</si>
  <si>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</si>
  <si>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</si>
  <si>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</si>
  <si>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</si>
  <si>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</si>
  <si>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</si>
  <si>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</si>
  <si>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</si>
  <si>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</si>
  <si>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</si>
  <si>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</si>
  <si>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</si>
  <si>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</si>
  <si>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</si>
  <si>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</si>
  <si>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</si>
  <si>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</si>
  <si>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</si>
  <si>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</si>
  <si>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</si>
  <si>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</si>
  <si>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</si>
  <si>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</si>
  <si>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</si>
  <si>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</si>
  <si>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</si>
  <si>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</si>
  <si>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</si>
  <si>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</si>
  <si>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</si>
  <si>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</si>
  <si>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</si>
  <si>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</si>
  <si>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</si>
  <si>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</si>
  <si>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</si>
  <si>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</si>
  <si>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</si>
  <si>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</si>
  <si>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</si>
  <si>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</si>
  <si>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</si>
  <si>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</si>
  <si>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</si>
  <si>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</si>
  <si>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</si>
  <si>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</si>
  <si>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</si>
  <si>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</si>
  <si>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</si>
  <si>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</si>
  <si>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</si>
  <si>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</si>
  <si>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</si>
  <si>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</si>
  <si>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</si>
  <si>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</si>
  <si>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</si>
  <si>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</si>
  <si>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</si>
  <si>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</si>
  <si>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</si>
  <si>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</si>
  <si>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</si>
  <si>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</si>
  <si>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</si>
  <si>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</si>
  <si>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</si>
  <si>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</si>
  <si>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</si>
  <si>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</si>
  <si>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</si>
  <si>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</si>
  <si>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</si>
  <si>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</si>
  <si>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</si>
  <si>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</si>
  <si>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</si>
  <si>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</si>
  <si>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</si>
  <si>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</si>
  <si>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</si>
  <si>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</si>
  <si>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</si>
  <si>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</si>
  <si>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</si>
  <si>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</si>
  <si>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</si>
  <si>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</si>
  <si>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</si>
  <si>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</si>
  <si>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</si>
  <si>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</si>
  <si>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</si>
  <si>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</si>
  <si>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</si>
  <si>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</si>
  <si>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</si>
  <si>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</si>
  <si>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</si>
  <si>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</si>
  <si>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</si>
  <si>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</si>
  <si>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</si>
  <si>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</si>
  <si>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</si>
  <si>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</si>
  <si>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</si>
  <si>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</si>
  <si>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</si>
  <si>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</si>
  <si>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</si>
  <si>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</si>
  <si>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</si>
  <si>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</si>
  <si>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</si>
  <si>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</si>
  <si>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</si>
  <si>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</si>
  <si>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</si>
  <si>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</si>
  <si>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</si>
  <si>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</si>
  <si>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</si>
  <si>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</si>
  <si>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</si>
  <si>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</si>
  <si>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</si>
  <si>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</si>
  <si>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</si>
  <si>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</si>
  <si>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</si>
  <si>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</si>
  <si>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</si>
  <si>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</si>
  <si>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</si>
  <si>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</si>
  <si>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</si>
  <si>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</si>
  <si>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</si>
  <si>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</si>
  <si>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</si>
  <si>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</si>
  <si>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</si>
  <si>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</si>
  <si>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</si>
  <si>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</si>
  <si>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</si>
  <si>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</si>
  <si>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</si>
  <si>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</si>
  <si>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</si>
  <si>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</si>
  <si>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</si>
  <si>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</si>
  <si>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</si>
  <si>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</si>
  <si>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</si>
  <si>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</si>
  <si>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</si>
  <si>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</si>
  <si>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</si>
  <si>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</si>
  <si>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</si>
  <si>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</si>
  <si>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</si>
  <si>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</si>
  <si>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</si>
  <si>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</si>
  <si>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</si>
  <si>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</si>
  <si>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</si>
  <si>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</si>
  <si>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</si>
  <si>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</si>
  <si>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</si>
  <si>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</si>
  <si>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</si>
  <si>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</si>
  <si>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</si>
  <si>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</si>
  <si>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</si>
  <si>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</si>
  <si>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</si>
  <si>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</si>
  <si>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</si>
  <si>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</si>
  <si>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</si>
  <si>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</si>
  <si>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</si>
  <si>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</si>
  <si>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</si>
  <si>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</si>
  <si>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</si>
  <si>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</si>
  <si>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</si>
  <si>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</si>
  <si>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</si>
  <si>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</si>
  <si>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</si>
  <si>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</si>
  <si>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</si>
  <si>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</si>
  <si>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</si>
  <si>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</si>
  <si>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</si>
  <si>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</si>
  <si>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</si>
  <si>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</si>
  <si>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</si>
  <si>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</si>
  <si>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</si>
  <si>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</si>
  <si>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</si>
  <si>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</si>
  <si>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</si>
  <si>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</si>
  <si>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</si>
  <si>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</si>
  <si>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</si>
  <si>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</si>
  <si>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</si>
  <si>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</si>
  <si>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</si>
  <si>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</si>
  <si>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</si>
  <si>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</si>
  <si>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</si>
  <si>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</si>
  <si>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</si>
  <si>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</si>
  <si>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</si>
  <si>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</si>
  <si>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</si>
  <si>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</si>
  <si>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</si>
  <si>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</si>
  <si>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</si>
  <si>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</si>
  <si>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</si>
  <si>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</si>
  <si>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</si>
  <si>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</si>
  <si>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</si>
  <si>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</si>
  <si>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</si>
  <si>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</si>
  <si>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</si>
  <si>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</si>
  <si>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</si>
  <si>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</si>
  <si>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</si>
  <si>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</si>
  <si>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</si>
  <si>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</si>
  <si>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</si>
  <si>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</si>
  <si>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</si>
  <si>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</si>
  <si>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</si>
  <si>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</si>
  <si>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</si>
  <si>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</si>
  <si>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</si>
  <si>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</si>
  <si>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</si>
  <si>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</si>
  <si>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</si>
  <si>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</si>
  <si>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</si>
  <si>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</si>
  <si>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</si>
  <si>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</si>
  <si>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</si>
  <si>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</si>
  <si>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</si>
  <si>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</si>
  <si>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</si>
  <si>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</si>
  <si>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</si>
  <si>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</si>
  <si>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</si>
  <si>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</si>
  <si>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</si>
  <si>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</si>
  <si>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</si>
  <si>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</si>
  <si>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</si>
  <si>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</si>
  <si>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</si>
  <si>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</si>
  <si>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</si>
  <si>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</si>
  <si>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</si>
  <si>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</si>
  <si>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</si>
  <si>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</si>
  <si>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</si>
  <si>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</si>
  <si>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</si>
  <si>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</si>
  <si>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</si>
  <si>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</si>
  <si>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</si>
  <si>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</si>
  <si>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</si>
  <si>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</si>
  <si>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</si>
  <si>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</si>
  <si>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</si>
  <si>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</si>
  <si>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</si>
  <si>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</si>
  <si>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</si>
  <si>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</si>
  <si>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</si>
  <si>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</si>
  <si>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</si>
  <si>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</si>
  <si>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</si>
  <si>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</si>
  <si>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</si>
  <si>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</si>
  <si>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</si>
  <si>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</si>
  <si>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</si>
  <si>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</si>
  <si>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</si>
  <si>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</si>
  <si>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</si>
  <si>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</si>
  <si>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</si>
  <si>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</si>
  <si>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</si>
  <si>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</si>
  <si>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</si>
  <si>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</si>
  <si>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</si>
  <si>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</si>
  <si>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</si>
  <si>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</si>
  <si>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</si>
  <si>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</si>
  <si>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</si>
  <si>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</si>
  <si>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</si>
  <si>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</si>
  <si>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</si>
  <si>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</si>
  <si>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</si>
  <si>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</si>
  <si>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</si>
  <si>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</si>
  <si>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</si>
  <si>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</si>
  <si>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</si>
  <si>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</si>
  <si>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</si>
  <si>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</si>
  <si>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</si>
  <si>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</si>
  <si>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</si>
  <si>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</si>
  <si>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</si>
  <si>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</si>
  <si>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</si>
  <si>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</si>
  <si>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</si>
  <si>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</si>
  <si>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</si>
  <si>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</si>
  <si>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</si>
  <si>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</si>
  <si>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</si>
  <si>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</si>
  <si>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</si>
  <si>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</si>
  <si>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</si>
  <si>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</si>
  <si>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</si>
  <si>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</si>
  <si>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</si>
  <si>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</si>
  <si>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</si>
  <si>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</si>
  <si>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</si>
  <si>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</si>
  <si>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</si>
  <si>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</si>
  <si>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</si>
  <si>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</si>
  <si>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</si>
  <si>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</si>
  <si>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</si>
  <si>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</si>
  <si>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</si>
  <si>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</si>
  <si>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</si>
  <si>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</si>
  <si>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</si>
  <si>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</si>
  <si>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</si>
  <si>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</si>
  <si>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</si>
  <si>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</si>
  <si>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</si>
  <si>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</si>
  <si>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</si>
  <si>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</si>
  <si>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</si>
  <si>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</si>
  <si>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</si>
  <si>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</si>
  <si>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</si>
  <si>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</si>
  <si>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</si>
  <si>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</si>
  <si>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</si>
  <si>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</si>
  <si>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</si>
  <si>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</si>
  <si>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</si>
  <si>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</si>
  <si>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</si>
  <si>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</si>
  <si>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</si>
  <si>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</si>
  <si>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</si>
  <si>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</si>
  <si>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</si>
  <si>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</si>
  <si>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</si>
  <si>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</si>
  <si>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</si>
  <si>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</si>
  <si>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</si>
  <si>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</si>
  <si>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</si>
  <si>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</si>
  <si>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</si>
  <si>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</si>
  <si>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</si>
  <si>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</si>
  <si>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</si>
  <si>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</si>
  <si>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</si>
  <si>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</si>
  <si>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</si>
  <si>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</si>
  <si>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</si>
  <si>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</si>
  <si>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</si>
  <si>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</si>
  <si>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</si>
  <si>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</si>
  <si>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</si>
  <si>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</si>
  <si>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</si>
  <si>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</si>
  <si>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</si>
  <si>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</si>
  <si>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</si>
  <si>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</si>
  <si>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</si>
  <si>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</si>
  <si>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</si>
  <si>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</si>
  <si>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</si>
  <si>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</si>
  <si>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</si>
  <si>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</si>
  <si>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</si>
  <si>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</si>
  <si>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</si>
  <si>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</si>
  <si>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</si>
  <si>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</si>
  <si>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</si>
  <si>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</si>
  <si>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</si>
  <si>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</si>
  <si>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</si>
  <si>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</si>
  <si>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</si>
  <si>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</si>
  <si>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</si>
  <si>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</si>
  <si>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</si>
  <si>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</si>
  <si>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</si>
  <si>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</si>
  <si>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</si>
  <si>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</si>
  <si>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</si>
  <si>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</si>
  <si>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</si>
  <si>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</si>
  <si>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</si>
  <si>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</si>
  <si>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</si>
  <si>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</si>
  <si>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</si>
  <si>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</si>
  <si>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</si>
  <si>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</si>
  <si>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</si>
  <si>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</si>
  <si>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</si>
  <si>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</si>
  <si>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</si>
  <si>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</si>
  <si>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</si>
  <si>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</si>
  <si>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</si>
  <si>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</si>
  <si>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</si>
  <si>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</si>
  <si>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</si>
  <si>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</si>
  <si>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</si>
  <si>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</si>
  <si>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</si>
  <si>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</si>
  <si>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</si>
  <si>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</si>
  <si>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</si>
  <si>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</si>
  <si>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</si>
  <si>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</si>
  <si>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</si>
  <si>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</si>
  <si>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</si>
  <si>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</si>
  <si>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</si>
  <si>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</si>
  <si>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</si>
  <si>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</si>
  <si>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</si>
  <si>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</si>
  <si>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</si>
  <si>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</si>
  <si>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</si>
  <si>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</si>
  <si>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</si>
  <si>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</si>
  <si>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</si>
  <si>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</si>
  <si>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</si>
  <si>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</si>
  <si>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</si>
  <si>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</si>
  <si>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</si>
  <si>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</si>
  <si>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</si>
  <si>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</si>
  <si>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</si>
  <si>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</si>
  <si>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</si>
  <si>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</si>
  <si>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</si>
  <si>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</si>
  <si>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</si>
  <si>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</si>
  <si>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</si>
  <si>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</si>
  <si>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</si>
  <si>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</si>
  <si>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</si>
  <si>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</si>
  <si>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</si>
  <si>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</si>
  <si>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</si>
  <si>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</si>
  <si>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</si>
  <si>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</si>
  <si>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</si>
  <si>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</si>
  <si>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</si>
  <si>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</si>
  <si>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</si>
  <si>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</si>
  <si>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</si>
  <si>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</si>
  <si>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</si>
  <si>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</si>
  <si>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</si>
  <si>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</si>
  <si>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</si>
  <si>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</si>
  <si>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</si>
  <si>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</si>
  <si>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</si>
  <si>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</si>
  <si>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</si>
  <si>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</si>
  <si>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</si>
  <si>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</si>
  <si>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</si>
  <si>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</si>
  <si>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</si>
  <si>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</si>
  <si>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</si>
  <si>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</si>
  <si>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</si>
  <si>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</si>
  <si>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</si>
  <si>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</si>
  <si>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</si>
  <si>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</si>
  <si>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</si>
  <si>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</si>
  <si>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</si>
  <si>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</si>
  <si>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</si>
  <si>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</si>
  <si>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</si>
  <si>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</si>
  <si>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</si>
  <si>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</si>
  <si>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</si>
  <si>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</si>
  <si>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</si>
  <si>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</si>
  <si>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</si>
  <si>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</si>
  <si>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</si>
  <si>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</si>
  <si>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</si>
  <si>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</si>
  <si>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</si>
  <si>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</si>
  <si>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</si>
  <si>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</si>
  <si>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</si>
  <si>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</si>
  <si>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</si>
  <si>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</si>
  <si>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</si>
  <si>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</si>
  <si>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</si>
  <si>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</si>
  <si>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</si>
  <si>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</si>
  <si>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</si>
  <si>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</si>
  <si>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</si>
  <si>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</si>
  <si>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</si>
  <si>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</si>
  <si>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</si>
  <si>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</si>
  <si>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</si>
  <si>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</si>
  <si>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</si>
  <si>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</si>
  <si>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</si>
  <si>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</si>
  <si>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</si>
  <si>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</si>
  <si>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</si>
  <si>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</si>
  <si>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</si>
  <si>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</si>
  <si>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</si>
  <si>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</si>
  <si>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</si>
  <si>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</si>
  <si>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</si>
  <si>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</si>
  <si>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</si>
  <si>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</si>
  <si>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</si>
  <si>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</si>
  <si>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</si>
  <si>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</si>
  <si>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</si>
  <si>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</si>
  <si>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</si>
  <si>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</si>
  <si>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</si>
  <si>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</si>
  <si>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</si>
  <si>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</si>
  <si>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</si>
  <si>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</si>
  <si>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</si>
  <si>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</si>
  <si>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</si>
  <si>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</si>
  <si>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</si>
  <si>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</si>
  <si>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</si>
  <si>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</si>
  <si>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</si>
  <si>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</si>
  <si>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</si>
  <si>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</si>
  <si>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</si>
  <si>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</si>
  <si>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</si>
  <si>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</si>
  <si>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</si>
  <si>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</si>
  <si>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</si>
  <si>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</si>
  <si>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</si>
  <si>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</si>
  <si>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</si>
  <si>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</si>
  <si>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</si>
  <si>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</si>
  <si>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</si>
  <si>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</si>
  <si>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</si>
  <si>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</si>
  <si>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</si>
  <si>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</si>
  <si>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</si>
  <si>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</si>
  <si>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</si>
  <si>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</si>
  <si>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</si>
  <si>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</si>
  <si>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</si>
  <si>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</si>
  <si>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</si>
  <si>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</si>
  <si>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</si>
  <si>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</si>
  <si>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</si>
  <si>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</si>
  <si>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</si>
  <si>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</si>
  <si>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</si>
  <si>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</si>
  <si>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</si>
  <si>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</si>
  <si>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</si>
  <si>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</si>
  <si>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</si>
  <si>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</si>
  <si>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</si>
  <si>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</si>
  <si>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</si>
  <si>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</si>
  <si>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</si>
  <si>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</si>
  <si>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</si>
  <si>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</si>
  <si>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</si>
  <si>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</si>
  <si>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</si>
  <si>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</si>
  <si>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</si>
  <si>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</si>
  <si>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</si>
  <si>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</si>
  <si>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</si>
  <si>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</si>
  <si>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</si>
  <si>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</si>
  <si>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</si>
  <si>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</si>
  <si>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</si>
  <si>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</si>
  <si>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</si>
  <si>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</si>
  <si>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</si>
  <si>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</si>
  <si>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</si>
  <si>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</si>
  <si>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</si>
  <si>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</si>
  <si>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</si>
  <si>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</si>
  <si>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</si>
  <si>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</si>
  <si>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</si>
  <si>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</si>
  <si>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</si>
  <si>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</si>
  <si>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</si>
  <si>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</si>
  <si>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</si>
  <si>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</si>
  <si>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</si>
  <si>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</si>
  <si>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</si>
  <si>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</si>
  <si>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</si>
  <si>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</si>
  <si>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</si>
  <si>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</si>
  <si>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</si>
  <si>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</si>
  <si>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</si>
  <si>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</si>
  <si>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</si>
  <si>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</si>
  <si>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</si>
  <si>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</si>
  <si>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</si>
  <si>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</si>
  <si>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</si>
  <si>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</si>
  <si>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</si>
  <si>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</si>
  <si>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</si>
  <si>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</si>
  <si>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</si>
  <si>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</si>
  <si>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</si>
  <si>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</si>
  <si>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</si>
  <si>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</si>
  <si>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</si>
  <si>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</si>
  <si>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</si>
  <si>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</si>
  <si>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</si>
  <si>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</si>
  <si>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</si>
  <si>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</si>
  <si>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</si>
  <si>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</si>
  <si>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</si>
  <si>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</si>
  <si>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</si>
  <si>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</si>
  <si>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</si>
  <si>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</si>
  <si>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</si>
  <si>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</si>
  <si>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</si>
  <si>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</si>
  <si>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</si>
  <si>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</si>
  <si>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</si>
  <si>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</si>
  <si>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</si>
  <si>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</si>
  <si>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</si>
  <si>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</si>
  <si>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</si>
  <si>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</si>
  <si>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</si>
  <si>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</si>
  <si>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</si>
  <si>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</si>
  <si>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</si>
  <si>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</si>
  <si>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</si>
  <si>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</si>
  <si>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</si>
  <si>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</si>
  <si>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</si>
  <si>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</si>
  <si>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</si>
  <si>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</si>
  <si>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</si>
  <si>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</si>
  <si>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</si>
  <si>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</si>
  <si>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</si>
  <si>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</si>
  <si>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</si>
  <si>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</si>
  <si>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</si>
  <si>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</si>
  <si>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</si>
  <si>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</si>
  <si>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</si>
  <si>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</si>
  <si>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</si>
  <si>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</si>
  <si>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</si>
  <si>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</si>
  <si>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</si>
  <si>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</si>
  <si>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</si>
  <si>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</si>
  <si>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</si>
  <si>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</si>
  <si>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</si>
  <si>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</si>
  <si>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</si>
  <si>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</si>
  <si>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</si>
  <si>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</si>
  <si>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</si>
  <si>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</si>
  <si>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</si>
  <si>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</si>
  <si>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</si>
  <si>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</si>
  <si>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</si>
  <si>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</si>
  <si>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</si>
  <si>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</si>
  <si>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</si>
  <si>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</si>
  <si>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</si>
  <si>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</si>
  <si>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</si>
  <si>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</si>
  <si>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</si>
  <si>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</si>
  <si>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</si>
  <si>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</si>
  <si>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</si>
  <si>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</si>
  <si>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</si>
  <si>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</si>
  <si>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</si>
  <si>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</si>
  <si>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</si>
  <si>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</si>
  <si>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</si>
  <si>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</si>
  <si>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</si>
  <si>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</si>
  <si>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</si>
  <si>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</si>
  <si>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</si>
  <si>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</si>
  <si>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</si>
  <si>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</si>
  <si>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</si>
  <si>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</si>
  <si>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</si>
  <si>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</si>
  <si>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</si>
  <si>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</si>
  <si>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</si>
  <si>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</si>
  <si>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</si>
  <si>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</si>
  <si>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</si>
  <si>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</si>
  <si>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</si>
  <si>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</si>
  <si>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</si>
  <si>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</si>
  <si>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</si>
  <si>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</si>
  <si>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</si>
  <si>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</si>
  <si>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</si>
  <si>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</si>
  <si>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</si>
  <si>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</si>
  <si>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</si>
  <si>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</si>
  <si>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</si>
  <si>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</si>
  <si>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</si>
  <si>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</si>
  <si>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</si>
  <si>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</si>
  <si>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</si>
  <si>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</si>
  <si>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</si>
  <si>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</si>
  <si>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</si>
  <si>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</si>
  <si>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</si>
  <si>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</si>
  <si>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</si>
  <si>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</si>
  <si>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</si>
  <si>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</si>
  <si>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</si>
  <si>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</si>
  <si>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</si>
  <si>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</si>
  <si>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</si>
  <si>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</si>
  <si>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</si>
  <si>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</si>
  <si>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</si>
  <si>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</si>
  <si>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</si>
  <si>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</si>
  <si>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</si>
  <si>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</si>
  <si>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</si>
  <si>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</si>
  <si>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</si>
  <si>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</si>
  <si>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</si>
  <si>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</si>
  <si>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</si>
  <si>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</si>
  <si>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</si>
  <si>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</si>
  <si>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</si>
  <si>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</si>
  <si>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</si>
  <si>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</si>
  <si>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</si>
  <si>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</si>
  <si>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</si>
  <si>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</si>
  <si>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</si>
  <si>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</si>
  <si>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</si>
  <si>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</si>
  <si>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</si>
  <si>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</si>
  <si>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</si>
  <si>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</si>
  <si>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</si>
  <si>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</si>
  <si>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</si>
  <si>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</si>
  <si>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</si>
  <si>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</si>
  <si>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</si>
  <si>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</si>
  <si>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</si>
  <si>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</si>
  <si>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</si>
  <si>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</si>
  <si>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</si>
  <si>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</si>
  <si>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</si>
  <si>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</si>
  <si>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</si>
  <si>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</si>
  <si>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</si>
  <si>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</si>
  <si>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</si>
  <si>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</si>
  <si>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</si>
  <si>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</si>
  <si>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</si>
  <si>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</si>
  <si>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</si>
  <si>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</si>
  <si>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</si>
  <si>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</si>
  <si>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</si>
  <si>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</si>
  <si>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</si>
  <si>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</si>
  <si>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</si>
  <si>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</si>
  <si>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</si>
  <si>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</si>
  <si>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</si>
  <si>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</si>
  <si>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</si>
  <si>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</si>
  <si>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</si>
  <si>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</si>
  <si>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</si>
  <si>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</si>
  <si>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</si>
  <si>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</si>
  <si>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</si>
  <si>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</si>
  <si>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</si>
  <si>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</si>
  <si>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</si>
  <si>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</si>
  <si>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</si>
  <si>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</si>
  <si>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</si>
  <si>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</si>
  <si>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</si>
  <si>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</si>
  <si>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</si>
  <si>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</si>
  <si>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</si>
  <si>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</si>
  <si>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</si>
  <si>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</si>
  <si>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</si>
  <si>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</si>
  <si>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</si>
  <si>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</si>
  <si>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</si>
  <si>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</si>
  <si>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</si>
  <si>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</si>
  <si>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</si>
  <si>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</si>
  <si>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</si>
  <si>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</si>
  <si>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</si>
  <si>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</si>
  <si>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</si>
  <si>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</si>
  <si>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</si>
  <si>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</si>
  <si>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</si>
  <si>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</si>
  <si>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</si>
  <si>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</si>
  <si>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</si>
  <si>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</si>
  <si>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</si>
  <si>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</si>
  <si>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</si>
  <si>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</si>
  <si>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</si>
  <si>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</si>
  <si>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</si>
  <si>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</si>
  <si>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</si>
  <si>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</si>
  <si>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</si>
  <si>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</si>
  <si>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</si>
  <si>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</si>
  <si>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</si>
  <si>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</si>
  <si>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</si>
  <si>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</si>
  <si>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</si>
  <si>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</si>
  <si>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</si>
  <si>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</si>
  <si>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</si>
  <si>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</si>
  <si>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</si>
  <si>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</si>
  <si>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</si>
  <si>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</si>
  <si>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</si>
  <si>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</si>
  <si>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</si>
  <si>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</si>
  <si>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</si>
  <si>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</si>
  <si>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</si>
  <si>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</si>
  <si>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</si>
  <si>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</si>
  <si>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</si>
  <si>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</si>
  <si>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</si>
  <si>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</si>
  <si>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</si>
  <si>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</si>
  <si>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</si>
  <si>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</si>
  <si>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</si>
  <si>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</si>
  <si>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</si>
  <si>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</si>
  <si>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</si>
  <si>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</si>
  <si>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</si>
  <si>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</si>
  <si>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</si>
  <si>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</si>
  <si>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</si>
  <si>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</si>
  <si>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</si>
  <si>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</si>
  <si>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</si>
  <si>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</si>
  <si>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</si>
  <si>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</si>
  <si>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</si>
  <si>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</si>
  <si>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</si>
  <si>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</si>
  <si>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</si>
  <si>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</si>
  <si>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</si>
  <si>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</si>
  <si>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</si>
  <si>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</si>
  <si>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</si>
  <si>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</si>
  <si>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</si>
  <si>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</si>
  <si>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</si>
  <si>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</si>
  <si>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</si>
  <si>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</si>
  <si>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</si>
  <si>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</si>
  <si>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</si>
  <si>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</si>
  <si>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</si>
  <si>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</si>
  <si>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</si>
  <si>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</si>
  <si>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</si>
  <si>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</si>
  <si>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</si>
  <si>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</si>
  <si>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</si>
  <si>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</si>
  <si>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</si>
  <si>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</si>
  <si>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</si>
  <si>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</si>
  <si>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</si>
  <si>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</si>
  <si>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</si>
  <si>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</si>
  <si>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</si>
  <si>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</si>
  <si>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</si>
  <si>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</si>
  <si>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</si>
  <si>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</si>
  <si>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</si>
  <si>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</si>
  <si>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</si>
  <si>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</si>
  <si>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</si>
  <si>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</si>
  <si>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</si>
  <si>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</si>
  <si>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</si>
  <si>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</si>
  <si>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</si>
  <si>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</si>
  <si>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</si>
  <si>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</si>
  <si>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</si>
  <si>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</si>
  <si>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</si>
  <si>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</si>
  <si>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</si>
  <si>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</si>
  <si>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</si>
  <si>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</si>
  <si>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</si>
  <si>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</si>
  <si>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</si>
  <si>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</si>
  <si>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</si>
  <si>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</si>
  <si>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</si>
  <si>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</si>
  <si>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</si>
  <si>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</si>
  <si>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</si>
  <si>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</si>
  <si>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</si>
  <si>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</si>
  <si>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</si>
  <si>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</si>
  <si>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</si>
  <si>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</si>
  <si>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</si>
  <si>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</si>
  <si>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</si>
  <si>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</si>
  <si>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</si>
  <si>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</si>
  <si>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</si>
  <si>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</si>
  <si>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</si>
  <si>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</si>
  <si>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</si>
  <si>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</si>
  <si>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</si>
  <si>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</si>
  <si>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</si>
  <si>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</si>
  <si>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</si>
  <si>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</si>
  <si>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</si>
  <si>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</si>
  <si>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</si>
  <si>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</si>
  <si>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</si>
  <si>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</si>
  <si>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</si>
  <si>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</si>
  <si>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</si>
  <si>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</si>
  <si>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</si>
  <si>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</si>
  <si>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</si>
  <si>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</si>
  <si>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</si>
  <si>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</si>
  <si>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</si>
  <si>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</si>
  <si>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</si>
  <si>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</si>
  <si>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</si>
  <si>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</si>
  <si>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</si>
  <si>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</si>
  <si>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</si>
  <si>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</si>
  <si>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</si>
  <si>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</si>
  <si>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</si>
  <si>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</si>
  <si>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</si>
  <si>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</si>
  <si>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</si>
  <si>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</si>
  <si>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</si>
  <si>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</si>
  <si>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</si>
  <si>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</si>
  <si>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</si>
  <si>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</si>
  <si>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</si>
  <si>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</si>
  <si>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</si>
  <si>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</si>
  <si>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</si>
  <si>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</si>
  <si>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</si>
  <si>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</si>
  <si>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</si>
  <si>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</si>
  <si>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</si>
  <si>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</si>
  <si>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</si>
  <si>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</si>
  <si>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</si>
  <si>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</si>
  <si>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</si>
  <si>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</si>
  <si>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</si>
  <si>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</si>
  <si>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</si>
  <si>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</si>
  <si>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</si>
  <si>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</si>
  <si>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</si>
  <si>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</si>
  <si>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</si>
  <si>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</si>
  <si>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</si>
  <si>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</si>
  <si>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</si>
  <si>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</si>
  <si>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</si>
  <si>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</si>
  <si>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</si>
  <si>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</si>
  <si>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</si>
  <si>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</si>
  <si>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</si>
  <si>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</si>
  <si>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</si>
  <si>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</si>
  <si>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</si>
  <si>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</si>
  <si>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</si>
  <si>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</si>
  <si>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</si>
  <si>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</si>
  <si>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</si>
  <si>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</si>
  <si>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</si>
  <si>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</si>
  <si>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</si>
  <si>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</si>
  <si>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</si>
  <si>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</si>
  <si>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</si>
  <si>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</si>
  <si>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</si>
  <si>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</si>
  <si>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</si>
  <si>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</si>
  <si>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</si>
  <si>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</si>
  <si>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</si>
  <si>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</si>
  <si>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</si>
  <si>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</si>
  <si>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</si>
  <si>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</si>
  <si>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</si>
  <si>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</si>
  <si>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</si>
  <si>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</si>
  <si>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</si>
  <si>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</si>
  <si>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</si>
  <si>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</si>
  <si>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</si>
  <si>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</si>
  <si>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</si>
  <si>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</si>
  <si>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</si>
  <si>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</si>
  <si>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</si>
  <si>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</si>
  <si>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</si>
  <si>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</si>
  <si>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</si>
  <si>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</si>
  <si>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</si>
  <si>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</si>
  <si>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</si>
  <si>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</si>
  <si>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</si>
  <si>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</si>
  <si>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</si>
  <si>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</si>
  <si>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</si>
  <si>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</si>
  <si>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</si>
  <si>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</si>
  <si>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</si>
  <si>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</si>
  <si>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</si>
  <si>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</si>
  <si>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</si>
  <si>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</si>
  <si>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</si>
  <si>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</si>
  <si>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</si>
  <si>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</si>
  <si>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</si>
  <si>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</si>
  <si>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</si>
  <si>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</si>
  <si>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</si>
  <si>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</si>
  <si>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</si>
  <si>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</si>
  <si>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</si>
  <si>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</si>
  <si>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</si>
  <si>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</si>
  <si>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</si>
  <si>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</si>
  <si>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</si>
  <si>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</si>
  <si>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</si>
  <si>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</si>
  <si>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</si>
  <si>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</si>
  <si>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</si>
  <si>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</si>
  <si>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</si>
  <si>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</si>
  <si>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</si>
  <si>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</si>
  <si>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</si>
  <si>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</si>
  <si>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</si>
  <si>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</si>
  <si>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</si>
  <si>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</si>
  <si>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</si>
  <si>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</si>
  <si>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</si>
  <si>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</si>
  <si>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</si>
  <si>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</si>
  <si>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</si>
  <si>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</si>
  <si>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</si>
  <si>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</si>
  <si>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</si>
  <si>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</si>
  <si>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</si>
  <si>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</si>
  <si>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</si>
  <si>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</si>
  <si>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</si>
  <si>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</si>
  <si>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</si>
  <si>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</si>
  <si>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</si>
  <si>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</si>
  <si>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</si>
  <si>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</si>
  <si>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</si>
  <si>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</si>
  <si>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</si>
  <si>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</si>
  <si>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</si>
  <si>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</si>
  <si>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</si>
  <si>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</si>
  <si>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</si>
  <si>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</si>
  <si>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</si>
  <si>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</si>
  <si>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</si>
  <si>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</si>
  <si>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</si>
  <si>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</si>
  <si>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</si>
  <si>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</si>
  <si>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</si>
  <si>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</si>
  <si>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</si>
  <si>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</si>
  <si>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</si>
  <si>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</si>
  <si>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</si>
  <si>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</si>
  <si>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</si>
  <si>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</si>
  <si>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</si>
  <si>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</si>
  <si>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</si>
  <si>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</si>
  <si>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</si>
  <si>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</si>
  <si>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</si>
  <si>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</si>
  <si>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</si>
  <si>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</si>
  <si>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</si>
  <si>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</si>
  <si>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</si>
  <si>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</si>
  <si>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</si>
  <si>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</si>
  <si>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</si>
  <si>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</si>
  <si>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</si>
  <si>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</si>
  <si>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</si>
  <si>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</si>
  <si>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</si>
  <si>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</si>
  <si>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</si>
  <si>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</si>
  <si>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</si>
  <si>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</si>
  <si>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</si>
  <si>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</si>
  <si>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</si>
  <si>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</si>
  <si>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</si>
  <si>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</si>
  <si>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</si>
  <si>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</si>
  <si>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</si>
  <si>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</si>
  <si>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</si>
  <si>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</si>
  <si>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</si>
  <si>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</si>
  <si>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</si>
  <si>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</si>
  <si>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</si>
  <si>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</si>
  <si>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</si>
  <si>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</si>
  <si>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</si>
  <si>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</si>
  <si>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</si>
  <si>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</si>
  <si>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</si>
  <si>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</si>
  <si>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</si>
  <si>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</si>
  <si>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</si>
  <si>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</si>
  <si>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</si>
  <si>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</si>
  <si>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</si>
  <si>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</si>
  <si>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</si>
  <si>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</si>
  <si>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</si>
  <si>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</si>
  <si>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</si>
  <si>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</si>
  <si>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</si>
  <si>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</si>
  <si>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</si>
  <si>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</si>
  <si>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</si>
  <si>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</si>
  <si>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</si>
  <si>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</si>
  <si>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</si>
  <si>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</si>
  <si>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</si>
  <si>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</si>
  <si>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</si>
  <si>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</si>
  <si>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</si>
  <si>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</si>
  <si>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</si>
  <si>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</si>
  <si>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</si>
  <si>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</si>
  <si>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</si>
  <si>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</si>
  <si>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</si>
  <si>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</si>
  <si>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</si>
  <si>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</si>
  <si>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</si>
  <si>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</si>
  <si>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</si>
  <si>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</si>
  <si>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</si>
  <si>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</si>
  <si>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</si>
  <si>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</si>
  <si>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</si>
  <si>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</si>
  <si>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</si>
  <si>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</si>
  <si>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</si>
  <si>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</si>
  <si>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</si>
  <si>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</si>
  <si>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</si>
  <si>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</si>
  <si>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</si>
  <si>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</si>
  <si>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</si>
  <si>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</si>
  <si>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</si>
  <si>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</si>
  <si>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</si>
  <si>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</si>
  <si>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</si>
  <si>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</si>
  <si>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</si>
  <si>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</si>
  <si>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</si>
  <si>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</si>
  <si>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</si>
  <si>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</si>
  <si>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</si>
  <si>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</si>
  <si>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</si>
  <si>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</si>
  <si>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</si>
  <si>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</si>
  <si>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</si>
  <si>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</si>
  <si>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</si>
  <si>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</si>
  <si>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</si>
  <si>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</si>
  <si>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</si>
  <si>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</si>
  <si>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</si>
  <si>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</si>
  <si>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</si>
  <si>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</si>
  <si>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</si>
  <si>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</si>
  <si>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</si>
  <si>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</si>
  <si>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</si>
  <si>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</si>
  <si>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</si>
  <si>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</si>
  <si>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</si>
  <si>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</si>
  <si>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</si>
  <si>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</si>
  <si>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</si>
  <si>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</si>
  <si>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</si>
  <si>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</si>
  <si>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</si>
  <si>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</si>
  <si>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</si>
  <si>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</si>
  <si>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</si>
  <si>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</si>
  <si>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</si>
  <si>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</si>
  <si>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</si>
  <si>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</si>
  <si>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</si>
  <si>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</si>
  <si>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</si>
  <si>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</si>
  <si>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</si>
  <si>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</si>
  <si>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</si>
  <si>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</si>
  <si>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</si>
  <si>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</si>
  <si>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</si>
  <si>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</si>
  <si>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</si>
  <si>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</si>
  <si>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</si>
  <si>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</si>
  <si>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</si>
  <si>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</si>
  <si>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</si>
  <si>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</si>
  <si>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</si>
  <si>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</si>
  <si>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</si>
  <si>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</si>
  <si>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</si>
  <si>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</si>
  <si>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</si>
  <si>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</si>
  <si>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</si>
  <si>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</si>
  <si>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</si>
  <si>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</si>
  <si>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</si>
  <si>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</si>
  <si>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</si>
  <si>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</si>
  <si>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</si>
  <si>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</si>
  <si>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</si>
  <si>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</si>
  <si>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</si>
  <si>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</si>
  <si>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</si>
  <si>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</si>
  <si>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</si>
  <si>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</si>
  <si>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</si>
  <si>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</si>
  <si>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</si>
  <si>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</si>
  <si>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</si>
  <si>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</si>
  <si>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</si>
  <si>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</si>
  <si>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</si>
  <si>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</si>
  <si>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</si>
  <si>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</si>
  <si>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</si>
  <si>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</si>
  <si>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</si>
  <si>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</si>
  <si>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</si>
  <si>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</si>
  <si>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</si>
  <si>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</si>
  <si>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</si>
  <si>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</si>
  <si>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</si>
  <si>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</si>
  <si>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</si>
  <si>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</si>
  <si>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</si>
  <si>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</si>
  <si>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</si>
  <si>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</si>
  <si>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</si>
  <si>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</si>
  <si>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</si>
  <si>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</si>
  <si>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</si>
  <si>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</si>
  <si>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</si>
  <si>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</si>
  <si>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</si>
  <si>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</si>
  <si>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</si>
  <si>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</si>
  <si>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</si>
  <si>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</si>
  <si>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</si>
  <si>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</si>
  <si>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</si>
  <si>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</si>
  <si>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</si>
  <si>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</si>
  <si>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</si>
  <si>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</si>
  <si>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</si>
  <si>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</si>
  <si>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</si>
  <si>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</si>
  <si>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</si>
  <si>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</si>
  <si>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</si>
  <si>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</si>
  <si>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</si>
  <si>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</si>
  <si>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</si>
  <si>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</si>
  <si>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</si>
  <si>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</si>
  <si>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</si>
  <si>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</si>
  <si>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</si>
  <si>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</si>
  <si>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</si>
  <si>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</si>
  <si>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</si>
  <si>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</si>
  <si>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</si>
  <si>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</si>
  <si>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</si>
  <si>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</si>
  <si>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</si>
  <si>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</si>
  <si>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</si>
  <si>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</si>
  <si>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</si>
  <si>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</si>
  <si>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</si>
  <si>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</si>
  <si>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</si>
  <si>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</si>
  <si>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</si>
  <si>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</si>
  <si>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</si>
  <si>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</si>
  <si>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</si>
  <si>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</si>
  <si>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</si>
  <si>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</si>
  <si>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</si>
  <si>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</si>
  <si>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</si>
  <si>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</si>
  <si>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</si>
  <si>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</si>
  <si>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</si>
  <si>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</si>
  <si>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</si>
  <si>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</si>
  <si>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</si>
  <si>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</si>
  <si>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</si>
  <si>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</si>
  <si>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</si>
  <si>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</si>
  <si>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</si>
  <si>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</si>
  <si>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</si>
  <si>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</si>
  <si>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</si>
  <si>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</si>
  <si>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</si>
  <si>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</si>
  <si>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</si>
  <si>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</si>
  <si>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</si>
  <si>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</si>
  <si>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</si>
  <si>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</si>
  <si>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</si>
  <si>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</si>
  <si>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</si>
  <si>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</si>
  <si>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</si>
  <si>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</si>
  <si>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</si>
  <si>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</si>
  <si>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</si>
  <si>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</si>
  <si>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</si>
  <si>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</si>
  <si>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</si>
  <si>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</si>
  <si>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</si>
  <si>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</si>
  <si>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</si>
  <si>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</si>
  <si>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</si>
  <si>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</si>
  <si>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</si>
  <si>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</si>
  <si>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</si>
  <si>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</si>
  <si>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</si>
  <si>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</si>
  <si>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</si>
  <si>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</si>
  <si>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</si>
  <si>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</si>
  <si>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</si>
  <si>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</si>
  <si>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</si>
  <si>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</si>
  <si>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</si>
  <si>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</si>
  <si>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</si>
  <si>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</si>
  <si>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</si>
  <si>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</si>
  <si>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</si>
  <si>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</si>
  <si>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</si>
  <si>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</si>
  <si>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</si>
  <si>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</si>
  <si>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</si>
  <si>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</si>
  <si>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</si>
  <si>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</si>
  <si>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</si>
  <si>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</si>
  <si>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</si>
  <si>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</si>
  <si>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</si>
  <si>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</si>
  <si>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</si>
  <si>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</si>
  <si>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</si>
  <si>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</si>
  <si>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</si>
  <si>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</si>
  <si>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</si>
  <si>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</si>
  <si>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</si>
  <si>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</si>
  <si>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</si>
  <si>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</si>
  <si>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</si>
  <si>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</si>
  <si>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</si>
  <si>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</si>
  <si>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</si>
  <si>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</si>
  <si>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</si>
  <si>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</si>
  <si>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</si>
  <si>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</si>
  <si>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</si>
  <si>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</si>
  <si>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</si>
  <si>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</si>
  <si>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</si>
  <si>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</si>
  <si>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</si>
  <si>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</si>
  <si>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</si>
  <si>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</si>
  <si>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</si>
  <si>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</si>
  <si>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</si>
  <si>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</si>
  <si>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</si>
  <si>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</si>
  <si>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</si>
  <si>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</si>
  <si>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</si>
  <si>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</si>
  <si>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</si>
  <si>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</si>
  <si>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</si>
  <si>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</si>
  <si>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</si>
  <si>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</si>
  <si>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</si>
  <si>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</si>
  <si>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</si>
  <si>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</si>
  <si>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</si>
  <si>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</si>
  <si>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</si>
  <si>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</si>
  <si>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</si>
  <si>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</si>
  <si>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</si>
  <si>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</si>
  <si>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</si>
  <si>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</si>
  <si>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</si>
  <si>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</si>
  <si>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</si>
  <si>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</si>
  <si>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</si>
  <si>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</si>
  <si>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</si>
  <si>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</si>
  <si>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</si>
  <si>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</si>
  <si>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</si>
  <si>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</si>
  <si>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</si>
  <si>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</si>
  <si>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</si>
  <si>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</si>
  <si>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</si>
  <si>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</si>
  <si>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</si>
  <si>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</si>
  <si>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</si>
  <si>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</si>
  <si>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</si>
  <si>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</si>
  <si>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</si>
  <si>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</si>
  <si>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</si>
  <si>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</si>
  <si>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</si>
  <si>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</si>
  <si>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</si>
  <si>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</si>
  <si>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</si>
  <si>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</si>
  <si>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</si>
  <si>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</si>
  <si>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</si>
  <si>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</si>
  <si>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</si>
  <si>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</si>
  <si>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</si>
  <si>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</si>
  <si>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</si>
  <si>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</si>
  <si>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</si>
  <si>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</si>
  <si>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</si>
  <si>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</si>
  <si>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</si>
  <si>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</si>
  <si>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</si>
  <si>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</si>
  <si>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</si>
  <si>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</si>
  <si>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</si>
  <si>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</si>
  <si>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</si>
  <si>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</si>
  <si>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</si>
  <si>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</si>
  <si>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</si>
  <si>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</si>
  <si>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</si>
  <si>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</si>
  <si>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</si>
  <si>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</si>
  <si>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</si>
  <si>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</si>
  <si>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</si>
  <si>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</si>
  <si>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</si>
  <si>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</si>
  <si>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</si>
  <si>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</si>
  <si>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</si>
  <si>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</si>
  <si>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</si>
  <si>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</si>
  <si>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</si>
  <si>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</si>
  <si>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</si>
  <si>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</si>
  <si>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</si>
  <si>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</si>
  <si>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</si>
  <si>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</si>
  <si>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</si>
  <si>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</si>
  <si>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</si>
  <si>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</si>
  <si>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</si>
  <si>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</si>
  <si>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</si>
  <si>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</si>
  <si>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</si>
  <si>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</si>
  <si>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</si>
  <si>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</si>
  <si>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</si>
  <si>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</si>
  <si>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</si>
  <si>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</si>
  <si>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</si>
  <si>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</si>
  <si>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</si>
  <si>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</si>
  <si>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</si>
  <si>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</si>
  <si>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</si>
  <si>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</si>
  <si>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</si>
  <si>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</si>
  <si>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</si>
  <si>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</si>
  <si>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</si>
  <si>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</si>
  <si>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</si>
  <si>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</si>
  <si>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</si>
  <si>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</si>
  <si>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</si>
  <si>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</si>
  <si>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</si>
  <si>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</si>
  <si>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</si>
  <si>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</si>
  <si>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</si>
  <si>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</si>
  <si>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</si>
  <si>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</si>
  <si>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</si>
  <si>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</si>
  <si>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</si>
  <si>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</si>
  <si>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</si>
  <si>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</si>
  <si>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</si>
  <si>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是</t>
  </si>
  <si>
    <t>地上</t>
  </si>
  <si>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</si>
  <si>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</si>
  <si>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</si>
  <si>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</si>
  <si>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</si>
  <si>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</si>
  <si>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</si>
  <si>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</si>
  <si>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</si>
  <si>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</si>
  <si>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</si>
  <si>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</si>
  <si>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</si>
  <si>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</si>
  <si>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</si>
  <si>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</si>
  <si>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</si>
  <si>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</si>
  <si>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吴薇</t>
  </si>
  <si>
    <t>郑燚</t>
  </si>
  <si>
    <t>一般</t>
  </si>
  <si>
    <t>自定义容积率</t>
  </si>
  <si>
    <t>较差</t>
  </si>
  <si>
    <t>商业</t>
    <phoneticPr fontId="7" type="noConversion"/>
  </si>
  <si>
    <t>不临65条商业街</t>
  </si>
  <si>
    <t>楼层修正</t>
  </si>
  <si>
    <t>中心城区</t>
  </si>
  <si>
    <t>企业</t>
  </si>
  <si>
    <t>商业</t>
    <phoneticPr fontId="134" type="noConversion"/>
  </si>
  <si>
    <t>办公</t>
    <phoneticPr fontId="134" type="noConversion"/>
  </si>
  <si>
    <t>办公</t>
    <phoneticPr fontId="7" type="noConversion"/>
  </si>
  <si>
    <t>收益法-1</t>
  </si>
  <si>
    <t>收益法-1</t>
    <phoneticPr fontId="16" type="noConversion"/>
  </si>
  <si>
    <t>商务金融用地</t>
  </si>
  <si>
    <t>容积率修正</t>
  </si>
  <si>
    <t>收益法（汇总）</t>
  </si>
  <si>
    <t>序号</t>
  </si>
  <si>
    <t>《不动产权证书》编号</t>
  </si>
  <si>
    <t>坐落</t>
  </si>
  <si>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</si>
  <si>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</si>
  <si>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</si>
  <si>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</si>
  <si>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</si>
  <si>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</si>
  <si>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</si>
  <si>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合计</t>
  </si>
  <si>
    <r>
      <t>　京（</t>
    </r>
    <r>
      <rPr>
        <sz val="9"/>
        <color rgb="FF000000"/>
        <rFont val="Arial"/>
        <family val="2"/>
      </rPr>
      <t>2022</t>
    </r>
    <r>
      <rPr>
        <sz val="9"/>
        <color rgb="FF000000"/>
        <rFont val="华文细黑"/>
        <family val="3"/>
        <charset val="134"/>
      </rPr>
      <t>）石不动产权第</t>
    </r>
    <r>
      <rPr>
        <sz val="9"/>
        <color rgb="FF000000"/>
        <rFont val="Arial"/>
        <family val="2"/>
      </rPr>
      <t>0014236</t>
    </r>
    <r>
      <rPr>
        <sz val="9"/>
        <color rgb="FF000000"/>
        <rFont val="华文细黑"/>
        <family val="3"/>
        <charset val="134"/>
      </rPr>
      <t>号</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</si>
  <si>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</si>
  <si>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0014217</t>
    </r>
    <r>
      <rPr>
        <sz val="9"/>
        <color rgb="FF000000"/>
        <rFont val="华文细黑"/>
        <family val="3"/>
        <charset val="134"/>
      </rPr>
      <t>号</t>
    </r>
    <phoneticPr fontId="134" type="noConversion"/>
  </si>
  <si>
    <t>石景山区五里坨西街11号院1号楼1层103</t>
    <phoneticPr fontId="134" type="noConversion"/>
  </si>
  <si>
    <r>
      <t>1</t>
    </r>
    <r>
      <rPr>
        <sz val="9"/>
        <color rgb="FF000000"/>
        <rFont val="宋体"/>
        <family val="3"/>
        <charset val="134"/>
      </rPr>
      <t>号楼</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</si>
  <si>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</si>
  <si>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0014219</t>
    </r>
    <r>
      <rPr>
        <sz val="9"/>
        <color rgb="FF000000"/>
        <rFont val="华文细黑"/>
        <family val="3"/>
        <charset val="134"/>
      </rPr>
      <t>号</t>
    </r>
    <phoneticPr fontId="134" type="noConversion"/>
  </si>
  <si>
    <t>石景山区五里坨西街11号院1号楼2层201</t>
    <phoneticPr fontId="134" type="noConversion"/>
  </si>
  <si>
    <t>办公</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</si>
  <si>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</si>
  <si>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0014232</t>
    </r>
    <r>
      <rPr>
        <sz val="9"/>
        <color rgb="FF000000"/>
        <rFont val="华文细黑"/>
        <family val="3"/>
        <charset val="134"/>
      </rPr>
      <t>号</t>
    </r>
    <phoneticPr fontId="134" type="noConversion"/>
  </si>
  <si>
    <t>石景山区五里坨西街11号院1号楼2层202</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</si>
  <si>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0014233</t>
    </r>
    <r>
      <rPr>
        <sz val="9"/>
        <color rgb="FF000000"/>
        <rFont val="华文细黑"/>
        <family val="3"/>
        <charset val="134"/>
      </rPr>
      <t>号</t>
    </r>
    <phoneticPr fontId="134" type="noConversion"/>
  </si>
  <si>
    <t>石景山区五里坨西街11号院1号楼3层301</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</si>
  <si>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0014215</t>
    </r>
    <r>
      <rPr>
        <sz val="9"/>
        <color rgb="FF000000"/>
        <rFont val="华文细黑"/>
        <family val="3"/>
        <charset val="134"/>
      </rPr>
      <t>号</t>
    </r>
    <phoneticPr fontId="134" type="noConversion"/>
  </si>
  <si>
    <t>石景山区五里坨西街11号院1号楼3层302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</si>
  <si>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</si>
  <si>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0014218</t>
    </r>
    <r>
      <rPr>
        <sz val="9"/>
        <color rgb="FF000000"/>
        <rFont val="华文细黑"/>
        <family val="3"/>
        <charset val="134"/>
      </rPr>
      <t>号</t>
    </r>
    <phoneticPr fontId="134" type="noConversion"/>
  </si>
  <si>
    <t>石景山区五里坨西街11号院1号楼4层401</t>
    <phoneticPr fontId="134" type="noConversion"/>
  </si>
  <si>
    <t xml:space="preserve"> 办公</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</si>
  <si>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</si>
  <si>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0014231</t>
    </r>
    <r>
      <rPr>
        <sz val="9"/>
        <color rgb="FF000000"/>
        <rFont val="华文细黑"/>
        <family val="3"/>
        <charset val="134"/>
      </rPr>
      <t>号</t>
    </r>
    <phoneticPr fontId="134" type="noConversion"/>
  </si>
  <si>
    <t>石景山区五里坨西街11号院1号楼4层402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</si>
  <si>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</si>
  <si>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0014222</t>
    </r>
    <r>
      <rPr>
        <sz val="9"/>
        <color rgb="FF000000"/>
        <rFont val="华文细黑"/>
        <family val="3"/>
        <charset val="134"/>
      </rPr>
      <t>号</t>
    </r>
    <phoneticPr fontId="134" type="noConversion"/>
  </si>
  <si>
    <t>石景山区五里坨西街11号院1号楼5层501</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</si>
  <si>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</si>
  <si>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0014230</t>
    </r>
    <r>
      <rPr>
        <sz val="9"/>
        <color rgb="FF000000"/>
        <rFont val="华文细黑"/>
        <family val="3"/>
        <charset val="134"/>
      </rPr>
      <t>号</t>
    </r>
    <phoneticPr fontId="134" type="noConversion"/>
  </si>
  <si>
    <t>石景山区五里坨西街11号院1号楼5层502</t>
    <phoneticPr fontId="134" type="noConversion"/>
  </si>
  <si>
    <t>石景山区五里坨西街11号院1号楼1层101</t>
    <phoneticPr fontId="134" type="noConversion"/>
  </si>
  <si>
    <r>
      <rPr>
        <sz val="10"/>
        <color theme="9" tint="-0.249977111117893"/>
        <rFont val="宋体"/>
        <family val="3"/>
        <charset val="134"/>
      </rPr>
      <t>石景山区五里坨西街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</si>
  <si>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北京兴盛恒泰投资管理公司</t>
    <phoneticPr fontId="6" type="noConversion"/>
  </si>
  <si>
    <t>商业项目</t>
  </si>
  <si>
    <t>无</t>
  </si>
  <si>
    <t>现房</t>
  </si>
  <si>
    <t>通路</t>
  </si>
  <si>
    <t>通电</t>
  </si>
  <si>
    <t>通讯</t>
  </si>
  <si>
    <t>通上水</t>
  </si>
  <si>
    <t>通下水</t>
  </si>
  <si>
    <t>燃气</t>
  </si>
  <si>
    <t>平整</t>
  </si>
  <si>
    <t>成新度</t>
  </si>
  <si>
    <t>较好</t>
    <phoneticPr fontId="40" type="noConversion"/>
  </si>
  <si>
    <t>一般</t>
    <phoneticPr fontId="24" type="noConversion"/>
  </si>
  <si>
    <t>一般</t>
    <phoneticPr fontId="40" type="noConversion"/>
  </si>
  <si>
    <t>一般</t>
    <phoneticPr fontId="40" type="noConversion"/>
  </si>
  <si>
    <t>七通</t>
    <phoneticPr fontId="24" type="noConversion"/>
  </si>
  <si>
    <t>与级别开发程度不一致</t>
  </si>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</sst>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179" fontId="44" fillId="22" borderId="23" xfId="0" applyNumberFormat="1" applyFont="1" applyFill="1" applyBorder="1" applyAlignment="1" applyProtection="1">
      <alignment horizontal="center" vertical="center"/>
      <protection locked="0"/>
    </xf>
    <xf numFmtId="58" fontId="9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0" fillId="0" borderId="82" xfId="0" applyFont="1" applyBorder="1" applyAlignment="1">
      <alignment horizontal="justify" vertical="center" wrapText="1"/>
    </xf>
    <xf numFmtId="0" fontId="270" fillId="0" borderId="65" xfId="0" applyFont="1" applyBorder="1" applyAlignment="1">
      <alignment horizontal="justify" vertical="center"/>
    </xf>
    <xf numFmtId="0" fontId="271" fillId="0" borderId="65" xfId="0" applyFont="1" applyBorder="1" applyAlignment="1">
      <alignment horizontal="justify" vertical="center"/>
    </xf>
    <xf numFmtId="0" fontId="271"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4" fillId="0" borderId="43" xfId="0" applyFont="1" applyBorder="1" applyAlignment="1">
      <alignment horizontal="justify" vertical="center"/>
    </xf>
    <xf numFmtId="0" fontId="266" fillId="0" borderId="43" xfId="0" applyFont="1" applyBorder="1" applyAlignment="1">
      <alignment horizontal="justify" vertical="center" wrapText="1"/>
    </xf>
    <xf numFmtId="0" fontId="266" fillId="0" borderId="43" xfId="0" applyFont="1" applyBorder="1" applyAlignment="1">
      <alignment vertical="center" wrapText="1"/>
    </xf>
    <xf numFmtId="0" fontId="264" fillId="0" borderId="43"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27" xfId="0" applyFont="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6" fillId="0" borderId="27" xfId="0" applyFont="1" applyBorder="1" applyAlignment="1">
      <alignment horizontal="center" vertical="center"/>
    </xf>
    <xf numFmtId="0" fontId="266" fillId="0" borderId="80" xfId="0" applyFont="1" applyBorder="1" applyAlignment="1">
      <alignment horizontal="center" vertical="center"/>
    </xf>
    <xf numFmtId="0" fontId="266" fillId="0" borderId="81" xfId="0" applyFont="1" applyBorder="1" applyAlignment="1">
      <alignment horizontal="center"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4</xdr:col>
      <xdr:colOff>266068</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0"/>
          <a:ext cx="505714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北京市石景山区五里坨西街11号院1号楼房地产抵押价值预评估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受贵公司委托，我公司对北京市石景山区五里坨西街11号院1号楼房地产抵押价值进行了预评估。</v>
      </c>
    </row>
    <row r="7" spans="1:2" s="1203" customFormat="1">
      <c r="A7" s="1201" t="s">
        <v>566</v>
      </c>
      <c r="B7" s="1202" t="str">
        <f>'预评函-1'!A7</f>
        <v>估价对象为北京市石景山区五里坨西街11号院1号楼房地产，为北京兴盛恒泰投资管理公司所有。根据《国有土地使用证》[]，估价对象（分摊）出让国有建设用地使用权面积为0平方米，建筑面积为14258.28平方米。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20905</v>
      </c>
    </row>
    <row r="21" spans="1:2" s="1203" customFormat="1">
      <c r="A21" s="1201" t="s">
        <v>537</v>
      </c>
      <c r="B21" s="1202">
        <f ca="1">'预评函-2'!D7</f>
        <v>14662</v>
      </c>
    </row>
    <row r="22" spans="1:2" s="1203" customFormat="1">
      <c r="A22" s="1201" t="s">
        <v>538</v>
      </c>
      <c r="B22" s="1202" t="str">
        <f ca="1">'预评函-2'!D6</f>
        <v>贰亿零玖佰零伍万元整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20905</v>
      </c>
    </row>
    <row r="31" spans="1:2" s="1203" customFormat="1">
      <c r="A31" s="1201" t="s">
        <v>576</v>
      </c>
      <c r="B31" s="1202">
        <f ca="1">'预评函-2'!D15</f>
        <v>14662</v>
      </c>
    </row>
    <row r="32" spans="1:2" s="1203" customFormat="1">
      <c r="A32" s="1201" t="s">
        <v>543</v>
      </c>
      <c r="B32" s="1202" t="str">
        <f ca="1">'预评函-2'!D14</f>
        <v>贰亿零玖佰零伍万元整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18785</v>
      </c>
    </row>
    <row r="39" spans="1:2" s="1203" customFormat="1">
      <c r="A39" s="1201" t="s">
        <v>545</v>
      </c>
      <c r="B39" s="1202">
        <f ca="1">'预评函-2'!D21</f>
        <v>13175</v>
      </c>
    </row>
    <row r="40" spans="1:2" s="1203" customFormat="1">
      <c r="A40" s="1201" t="s">
        <v>546</v>
      </c>
      <c r="B40" s="1202" t="str">
        <f ca="1">'预评函-2'!D20</f>
        <v>壹亿捌仟柒佰捌拾伍万元整</v>
      </c>
    </row>
    <row r="41" spans="1:2" s="1203" customFormat="1">
      <c r="A41" s="1201" t="s">
        <v>592</v>
      </c>
      <c r="B41" s="1202" t="str">
        <f>'预评函-3'!A4</f>
        <v>北京市石景山区五里坨西街11号院1号楼房地产</v>
      </c>
    </row>
    <row r="42" spans="1:2" s="1203" customFormat="1">
      <c r="A42" s="1201" t="s">
        <v>590</v>
      </c>
      <c r="B42" s="1202" t="str">
        <f>'预评函-3'!B2</f>
        <v>建筑面积</v>
      </c>
    </row>
    <row r="43" spans="1:2" s="1203" customFormat="1">
      <c r="A43" s="1201" t="s">
        <v>591</v>
      </c>
      <c r="B43" s="1202">
        <f>'预评函-3'!B4</f>
        <v>14258.28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14404</v>
      </c>
    </row>
    <row r="48" spans="1:2" s="1203" customFormat="1">
      <c r="A48" s="1201" t="s">
        <v>549</v>
      </c>
      <c r="B48" s="1202">
        <f ca="1">'预评函-3'!E4</f>
        <v>10103</v>
      </c>
    </row>
    <row r="49" spans="1:2" s="1203" customFormat="1">
      <c r="A49" s="1201" t="s">
        <v>550</v>
      </c>
      <c r="B49" s="1202" t="str">
        <f ca="1">'预评函-3'!D5</f>
        <v>壹亿肆仟肆佰零肆万元整</v>
      </c>
    </row>
    <row r="50" spans="1:2" s="1203" customFormat="1">
      <c r="A50" s="1201" t="s">
        <v>574</v>
      </c>
      <c r="B50" s="1202" t="str">
        <f>'预评函-3'!F2</f>
        <v>在建建筑物价值</v>
      </c>
    </row>
    <row r="51" spans="1:2" s="1203" customFormat="1">
      <c r="A51" s="1201" t="s">
        <v>551</v>
      </c>
      <c r="B51" s="1202">
        <f ca="1">'预评函-3'!F4</f>
        <v>6501</v>
      </c>
    </row>
    <row r="52" spans="1:2" s="1203" customFormat="1">
      <c r="A52" s="1201" t="s">
        <v>552</v>
      </c>
      <c r="B52" s="1202">
        <f ca="1">'预评函-3'!G4</f>
        <v>4559</v>
      </c>
    </row>
    <row r="53" spans="1:2" s="1203" customFormat="1">
      <c r="A53" s="1201" t="s">
        <v>580</v>
      </c>
      <c r="B53" s="1202" t="str">
        <f ca="1">'预评函-3'!F5</f>
        <v>陆仟伍佰零壹万元整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Q33" sqref="Q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2575</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2576</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9" t="s">
        <v>3421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4" t="s">
        <v>385</v>
      </c>
      <c r="C54" s="1551" t="s">
        <v>583</v>
      </c>
    </row>
    <row r="55" spans="1:4">
      <c r="A55" s="3531"/>
      <c r="B55" s="1554" t="s">
        <v>386</v>
      </c>
      <c r="C55" s="1551" t="s">
        <v>584</v>
      </c>
    </row>
    <row r="56" spans="1:4">
      <c r="A56" s="3531"/>
      <c r="B56" s="1554" t="s">
        <v>387</v>
      </c>
      <c r="C56" s="1551" t="s">
        <v>588</v>
      </c>
    </row>
    <row r="57" spans="1:4">
      <c r="A57" s="353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2" t="s">
        <v>2578</v>
      </c>
      <c r="J2" s="3532"/>
      <c r="K2" s="3532"/>
      <c r="L2" s="3532"/>
      <c r="M2" s="3532"/>
      <c r="N2" s="3532"/>
      <c r="O2" s="3532"/>
      <c r="P2" s="3532"/>
      <c r="Q2" s="3532"/>
      <c r="R2" s="3532"/>
    </row>
    <row r="3" spans="1:18">
      <c r="A3" s="3016" t="s">
        <v>2499</v>
      </c>
      <c r="B3" s="3017">
        <f>项目基本情况!D3</f>
        <v>45645</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v>
      </c>
      <c r="D5" s="3021">
        <f>IF(ISERROR(ROUND(POWER(1+E5,A5-C5)*(POWER(1+E5,C5)-1)/(POWER(1+E5,A5)-1),3)),0,ROUND(POWER(1+E5,A5-C5)*(POWER(1+E5,C5)-1)/(POWER(1+E5,A5)-1),4))</f>
        <v>9.5299999999999996E-2</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v>
      </c>
      <c r="D6" s="3021">
        <f>IF(ISERROR(ROUND(POWER(1+E6,A6-C6)*(POWER(1+E6,C6)-1)/(POWER(1+E6,A6)-1),3)),0,ROUND(POWER(1+E6,A6-C6)*(POWER(1+E6,C6)-1)/(POWER(1+E6,A6)-1),4))</f>
        <v>0.43690000000000001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32.020000000000003</v>
      </c>
      <c r="D7" s="3021">
        <f>IF(ISERROR(ROUND(POWER(1+E7,A7-C7)*(POWER(1+E7,C7)-1)/(POWER(1+E7,A7)-1),3)),0,ROUND(POWER(1+E7,A7-C7)*(POWER(1+E7,C7)-1)/(POWER(1+E7,A7)-1),4))</f>
        <v>0.76419999999999999</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北京市石景山区五里坨西街11号院1号楼房地产抵押价值预评估</v>
      </c>
      <c r="C1" s="3534"/>
      <c r="D1" s="3534"/>
      <c r="E1" s="3534"/>
      <c r="F1" s="3534"/>
      <c r="G1" s="3534"/>
      <c r="H1" s="3534"/>
      <c r="I1" s="353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北京市石景山区五里坨西街11号院1号楼房地产抵押价值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北京市石景山区五里坨西街11号院1号楼房地产</v>
      </c>
      <c r="T2" s="1745"/>
      <c r="U2" s="1745"/>
      <c r="V2" s="1745"/>
      <c r="W2" s="1745"/>
      <c r="X2" s="1745"/>
      <c r="Y2" s="1745"/>
      <c r="Z2" s="1745"/>
      <c r="AA2" s="1745"/>
      <c r="AB2" s="1745"/>
    </row>
    <row r="3" spans="1:30">
      <c r="A3" s="302" t="s">
        <v>2170</v>
      </c>
      <c r="B3" s="2373">
        <v>45645</v>
      </c>
      <c r="C3" s="2374" t="s">
        <v>2171</v>
      </c>
      <c r="D3" s="2373">
        <f>B3</f>
        <v>45645</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3407</v>
      </c>
      <c r="C4" s="2376">
        <f ca="1">SUMIF(注册房地产估价师,B4,估价师及机构信息!B3:B24)</f>
        <v>1419970001</v>
      </c>
      <c r="D4" s="2375" t="s">
        <v>3408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0"/>
      <c r="F5" s="2660"/>
      <c r="G5" s="2660"/>
      <c r="H5" s="2660"/>
      <c r="I5" s="2660"/>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8"/>
      <c r="F6" s="2660"/>
      <c r="G6" s="2660"/>
      <c r="H6" s="2660"/>
      <c r="I6" s="2660"/>
      <c r="J6" s="2438"/>
      <c r="K6" s="2611" t="str">
        <f>IF(COUNTIF(B6,"*上海银行*"),"上海银行","")</f>
        <v/>
      </c>
      <c r="L6" s="2609"/>
      <c r="M6" s="2609"/>
      <c r="N6" s="2438"/>
      <c r="O6" s="2449"/>
      <c r="P6" s="2438"/>
      <c r="Q6" s="2438"/>
      <c r="R6" s="2438"/>
    </row>
    <row r="7" spans="1:30">
      <c r="A7" s="2383" t="s">
        <v>2175</v>
      </c>
      <c r="B7" s="2387"/>
      <c r="C7" s="2385"/>
      <c r="D7" s="2386"/>
      <c r="E7" s="2658"/>
      <c r="F7" s="2660"/>
      <c r="G7" s="2660"/>
      <c r="H7" s="2660"/>
      <c r="I7" s="2660"/>
      <c r="J7" s="2438"/>
      <c r="K7" s="2612"/>
      <c r="L7" s="2609"/>
      <c r="M7" s="2609"/>
      <c r="N7" s="2438"/>
      <c r="O7" s="2449"/>
      <c r="P7" s="2438"/>
      <c r="Q7" s="2438"/>
      <c r="R7" s="2438"/>
    </row>
    <row r="8" spans="1:30">
      <c r="A8" s="2388" t="s">
        <v>2176</v>
      </c>
      <c r="B8" s="2389" t="s">
        <v>3384</v>
      </c>
      <c r="C8" s="2390"/>
      <c r="D8" s="3536" t="s">
        <v>2177</v>
      </c>
      <c r="E8" s="2391" t="s">
        <v>3385</v>
      </c>
      <c r="F8" s="2392"/>
      <c r="G8" s="2659"/>
      <c r="H8" s="2659"/>
      <c r="I8" s="2659"/>
      <c r="J8" s="2438"/>
      <c r="K8" s="2610"/>
      <c r="L8" s="2609"/>
      <c r="M8" s="2609"/>
      <c r="N8" s="2438"/>
      <c r="O8" s="2449"/>
      <c r="P8" s="2438"/>
      <c r="Q8" s="2438"/>
      <c r="R8" s="2438"/>
    </row>
    <row r="9" spans="1:30" ht="13.5" thickBot="1">
      <c r="A9" s="2393" t="s">
        <v>2178</v>
      </c>
      <c r="B9" s="2394" t="s">
        <v>3385</v>
      </c>
      <c r="C9" s="2395"/>
      <c r="D9" s="3537"/>
      <c r="E9" s="2394" t="s">
        <v>587</v>
      </c>
      <c r="F9" s="2396"/>
      <c r="G9" s="2661"/>
      <c r="H9" s="2661"/>
      <c r="I9" s="2661"/>
      <c r="J9" s="2438"/>
      <c r="K9" s="2612"/>
      <c r="L9" s="2609"/>
      <c r="M9" s="2609"/>
      <c r="N9" s="2438"/>
      <c r="O9" s="2449"/>
      <c r="P9" s="2438"/>
      <c r="Q9" s="2438"/>
      <c r="R9" s="2438"/>
    </row>
    <row r="10" spans="1:30" ht="13.5" thickTop="1">
      <c r="A10" s="2397" t="s">
        <v>2179</v>
      </c>
      <c r="B10" s="2398" t="s">
        <v>3386</v>
      </c>
      <c r="C10" s="2399"/>
      <c r="D10" s="2382"/>
      <c r="E10" s="2400" t="s">
        <v>2180</v>
      </c>
      <c r="F10" s="2662" t="s">
        <v>3466</v>
      </c>
      <c r="G10" s="2663"/>
      <c r="H10" s="2664"/>
      <c r="I10" s="2665"/>
      <c r="J10" s="2438"/>
      <c r="K10" s="2612"/>
      <c r="L10" s="2609"/>
      <c r="M10" s="2609"/>
      <c r="N10" s="2438"/>
      <c r="O10" s="2449"/>
      <c r="P10" s="2438"/>
      <c r="Q10" s="2438"/>
      <c r="R10" s="2438"/>
    </row>
    <row r="11" spans="1:30" ht="24">
      <c r="A11" s="2401" t="s">
        <v>2181</v>
      </c>
      <c r="B11" s="2402" t="s">
        <v>3416</v>
      </c>
      <c r="C11" s="3836" t="s">
        <v>3467</v>
      </c>
      <c r="D11" s="2403"/>
      <c r="E11" s="2370"/>
      <c r="F11" s="2370"/>
      <c r="G11" s="2370"/>
      <c r="H11" s="2370"/>
      <c r="I11" s="2370"/>
      <c r="J11" s="3057"/>
      <c r="K11" s="3056"/>
      <c r="L11" s="2609"/>
      <c r="M11" s="2609"/>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2574</v>
      </c>
      <c r="J12" s="3058"/>
      <c r="K12" s="2609"/>
      <c r="L12" s="2609"/>
      <c r="M12" s="2438"/>
      <c r="N12" s="2449"/>
      <c r="O12" s="2438"/>
      <c r="P12" s="2438"/>
      <c r="Q12" s="2438"/>
      <c r="AD12" s="1745"/>
    </row>
    <row r="13" spans="1:30">
      <c r="A13" s="3419" t="s">
        <v>3329</v>
      </c>
      <c r="B13" s="2406" t="s">
        <v>2190</v>
      </c>
      <c r="C13" s="856"/>
      <c r="D13" s="856">
        <v>57696</v>
      </c>
      <c r="E13" s="856">
        <v>61348</v>
      </c>
      <c r="F13" s="856"/>
      <c r="G13" s="856"/>
      <c r="H13" s="856"/>
      <c r="I13" s="856">
        <v>51507</v>
      </c>
      <c r="J13" s="3058"/>
      <c r="K13" s="2609"/>
      <c r="L13" s="2609"/>
      <c r="M13" s="2438"/>
      <c r="N13" s="2449"/>
      <c r="O13" s="2438"/>
      <c r="P13" s="2438"/>
      <c r="Q13" s="2438"/>
      <c r="AD13" s="1745"/>
    </row>
    <row r="14" spans="1:30">
      <c r="A14" s="1081"/>
      <c r="B14" s="2406" t="s">
        <v>2191</v>
      </c>
      <c r="C14" s="2407"/>
      <c r="D14" s="2407">
        <v>40</v>
      </c>
      <c r="E14" s="2407">
        <v>50</v>
      </c>
      <c r="F14" s="2407"/>
      <c r="G14" s="2407"/>
      <c r="H14" s="2407">
        <v>50</v>
      </c>
      <c r="I14" s="2407"/>
      <c r="J14" s="3059"/>
      <c r="K14" s="2609"/>
      <c r="L14" s="2609"/>
      <c r="M14" s="2438"/>
      <c r="N14" s="2449"/>
      <c r="O14" s="2438"/>
      <c r="P14" s="2438"/>
      <c r="Q14" s="2438"/>
      <c r="AD14" s="1745"/>
    </row>
    <row r="15" spans="1:30">
      <c r="A15" s="320"/>
      <c r="B15" s="2408" t="s">
        <v>2192</v>
      </c>
      <c r="C15" s="2409" t="str">
        <f>IF(A13="出让",IF(C13="","",ROUNDDOWN(MIN((C13-$D$3)/365,C14),2)),C14)</f>
        <v/>
      </c>
      <c r="D15" s="2409">
        <f>IF(A13="出让",IF(D13="","",ROUNDDOWN(MIN((D13-$D$3)/365,D14),2)),D14)</f>
        <v>33.01</v>
      </c>
      <c r="E15" s="2409">
        <f>IF(A13="出让",IF(E13="","",ROUNDDOWN(MIN((E13-$D$3)/365,E14),2)),E14)</f>
        <v>43.02</v>
      </c>
      <c r="F15" s="2409" t="str">
        <f>IF(A13="出让",IF(F13="","",ROUNDDOWN(MIN((F13-$D$3)/365,F14),2)),F14)</f>
        <v/>
      </c>
      <c r="G15" s="2409" t="str">
        <f>IF(A13="出让",IF(G13="","",ROUNDDOWN(MIN((G13-$D$3)/365,G14),2)),G14)</f>
        <v/>
      </c>
      <c r="H15" s="2409" t="str">
        <f>IF(A13="出让",IF(H13="","",ROUNDDOWN(MIN((H13-$D$3)/365,H14),2)),H14)</f>
        <v/>
      </c>
      <c r="I15" s="2409">
        <f>IF(A13="出让",IF(I13="","",ROUNDDOWN(MIN((I13-$D$3)/365,I14),2)),I14)</f>
        <v>16.059999999999999</v>
      </c>
      <c r="J15" s="3060"/>
      <c r="K15" s="2450"/>
      <c r="L15" s="2450"/>
      <c r="M15" s="2506"/>
      <c r="N15" s="2450"/>
      <c r="O15" s="2506"/>
      <c r="P15" s="2438"/>
      <c r="Q15" s="2438"/>
      <c r="AD15" s="1745"/>
    </row>
    <row r="16" spans="1:30">
      <c r="A16" s="2400" t="s">
        <v>2193</v>
      </c>
      <c r="B16" s="3543"/>
      <c r="C16" s="3544"/>
      <c r="D16" s="3545"/>
      <c r="E16" s="2412" t="s">
        <v>2194</v>
      </c>
      <c r="F16" s="3546"/>
      <c r="G16" s="3547"/>
      <c r="H16" s="3547"/>
      <c r="I16" s="3548"/>
      <c r="J16" s="2438"/>
      <c r="K16" s="2613"/>
      <c r="L16" s="2450"/>
      <c r="M16" s="2450"/>
      <c r="N16" s="2506"/>
      <c r="O16" s="2450"/>
      <c r="P16" s="2506"/>
      <c r="Q16" s="2438"/>
      <c r="R16" s="2438"/>
    </row>
    <row r="17" spans="1:28">
      <c r="A17" s="313" t="s">
        <v>2195</v>
      </c>
      <c r="B17" s="302" t="s">
        <v>2196</v>
      </c>
      <c r="C17" s="8">
        <f>'数据-汇总表'!E3</f>
        <v>14258.28</v>
      </c>
      <c r="D17" s="2322" t="s">
        <v>2197</v>
      </c>
      <c r="E17" s="3549" t="s">
        <v>2198</v>
      </c>
      <c r="F17" s="3550"/>
      <c r="G17" s="3550"/>
      <c r="H17" s="3550"/>
      <c r="I17" s="3551"/>
      <c r="J17" s="2438"/>
      <c r="K17" s="2614"/>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52" t="s">
        <v>2202</v>
      </c>
      <c r="F18" s="3553"/>
      <c r="G18" s="3553"/>
      <c r="H18" s="3553"/>
      <c r="I18" s="3554"/>
      <c r="J18" s="2438"/>
      <c r="K18" s="2614"/>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0"/>
      <c r="I19" s="2660"/>
      <c r="J19" s="2438"/>
      <c r="K19" s="2612"/>
      <c r="L19" s="2609"/>
      <c r="M19" s="2609"/>
      <c r="N19" s="2506"/>
      <c r="O19" s="2450"/>
      <c r="P19" s="2506"/>
      <c r="Q19" s="2438"/>
      <c r="R19" s="2438"/>
      <c r="S19" s="2438"/>
      <c r="T19" s="2438"/>
      <c r="U19" s="2438"/>
      <c r="V19" s="2438"/>
    </row>
    <row r="20" spans="1:28">
      <c r="A20" s="2628" t="s">
        <v>2205</v>
      </c>
      <c r="B20" s="3539" t="s">
        <v>2206</v>
      </c>
      <c r="C20" s="3540"/>
      <c r="D20" s="3541" t="s">
        <v>2207</v>
      </c>
      <c r="E20" s="3542"/>
      <c r="F20" s="2643" t="s">
        <v>1056</v>
      </c>
      <c r="G20" s="2660"/>
      <c r="H20" s="2660"/>
      <c r="I20" s="2660"/>
      <c r="J20" s="2438"/>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8"/>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8"/>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3" t="s">
        <v>2212</v>
      </c>
      <c r="B23" s="2499" t="s">
        <v>2213</v>
      </c>
      <c r="C23" s="2634"/>
      <c r="D23" s="2635" t="s">
        <v>2213</v>
      </c>
      <c r="E23" s="2636"/>
      <c r="F23" s="2659"/>
      <c r="G23" s="2660"/>
      <c r="H23" s="2660"/>
      <c r="I23" s="2660"/>
      <c r="J23" s="2438"/>
      <c r="K23" s="2615"/>
      <c r="L23" s="2472"/>
      <c r="M23" s="2609"/>
      <c r="N23" s="2506"/>
      <c r="O23" s="2450"/>
      <c r="P23" s="2506"/>
      <c r="Q23" s="2438"/>
      <c r="R23" s="2438"/>
      <c r="S23" s="2438"/>
      <c r="T23" s="2438"/>
      <c r="U23" s="2438"/>
      <c r="V23" s="2438"/>
    </row>
    <row r="24" spans="1:28">
      <c r="A24" s="2633"/>
      <c r="B24" s="2499" t="s">
        <v>1059</v>
      </c>
      <c r="C24" s="2637"/>
      <c r="D24" s="2633" t="s">
        <v>1059</v>
      </c>
      <c r="E24" s="2638"/>
      <c r="F24" s="2659"/>
      <c r="G24" s="2660"/>
      <c r="H24" s="2660"/>
      <c r="I24" s="2660"/>
      <c r="J24" s="2438"/>
      <c r="K24" s="2615"/>
      <c r="L24" s="2472"/>
      <c r="M24" s="2609"/>
      <c r="N24" s="2506"/>
      <c r="O24" s="2450"/>
      <c r="P24" s="2506"/>
      <c r="Q24" s="2438"/>
      <c r="R24" s="2438"/>
      <c r="S24" s="2438"/>
      <c r="T24" s="2438"/>
      <c r="U24" s="2438"/>
      <c r="V24" s="2438"/>
    </row>
    <row r="25" spans="1:28">
      <c r="A25" s="2633"/>
      <c r="B25" s="2499" t="s">
        <v>1060</v>
      </c>
      <c r="C25" s="2637"/>
      <c r="D25" s="2633" t="s">
        <v>1060</v>
      </c>
      <c r="E25" s="2638"/>
      <c r="F25" s="2659"/>
      <c r="G25" s="2660"/>
      <c r="H25" s="2660"/>
      <c r="I25" s="2660"/>
      <c r="J25" s="2438"/>
      <c r="K25" s="2612"/>
      <c r="L25" s="2609"/>
      <c r="M25" s="2609"/>
      <c r="N25" s="2506"/>
      <c r="O25" s="2450"/>
      <c r="P25" s="2506"/>
      <c r="Q25" s="2438"/>
      <c r="R25" s="2438"/>
      <c r="S25" s="2438"/>
      <c r="T25" s="2438"/>
      <c r="U25" s="2438"/>
      <c r="V25" s="2438"/>
    </row>
    <row r="26" spans="1:28" ht="13.5" thickBot="1">
      <c r="A26" s="2639"/>
      <c r="B26" s="2640" t="s">
        <v>1061</v>
      </c>
      <c r="C26" s="2641"/>
      <c r="D26" s="2639" t="s">
        <v>1061</v>
      </c>
      <c r="E26" s="2642"/>
      <c r="F26" s="2661"/>
      <c r="G26" s="2661"/>
      <c r="H26" s="2661"/>
      <c r="I26" s="2661"/>
      <c r="J26" s="2438"/>
      <c r="K26" s="2612"/>
      <c r="L26" s="2609"/>
      <c r="M26" s="2609"/>
      <c r="N26" s="2506"/>
      <c r="O26" s="2450"/>
      <c r="P26" s="2506"/>
      <c r="Q26" s="2438"/>
      <c r="R26" s="2438"/>
      <c r="S26" s="2438"/>
      <c r="T26" s="2438"/>
      <c r="U26" s="2438"/>
      <c r="V26" s="2438"/>
    </row>
    <row r="27" spans="1:28" ht="13.5" thickTop="1">
      <c r="A27" s="3556" t="s">
        <v>2214</v>
      </c>
      <c r="B27" s="320" t="s">
        <v>2215</v>
      </c>
      <c r="C27" s="2415" t="s">
        <v>3468</v>
      </c>
      <c r="D27" s="2416"/>
      <c r="E27" s="2660"/>
      <c r="F27" s="2660"/>
      <c r="G27" s="2660"/>
      <c r="H27" s="2660"/>
      <c r="I27" s="2660"/>
      <c r="J27" s="2438"/>
      <c r="K27" s="2613"/>
      <c r="L27" s="2450"/>
      <c r="M27" s="2450"/>
      <c r="N27" s="2506"/>
      <c r="O27" s="2450"/>
      <c r="P27" s="2506"/>
      <c r="Q27" s="2438"/>
      <c r="R27" s="2438"/>
      <c r="S27" s="2438"/>
      <c r="T27" s="2438"/>
      <c r="U27" s="2438"/>
      <c r="V27" s="2438"/>
    </row>
    <row r="28" spans="1:28">
      <c r="A28" s="3556"/>
      <c r="B28" s="302" t="s">
        <v>2216</v>
      </c>
      <c r="C28" s="2417" t="s">
        <v>3469</v>
      </c>
      <c r="D28" s="2418"/>
      <c r="E28" s="2660"/>
      <c r="F28" s="2660"/>
      <c r="G28" s="2660"/>
      <c r="H28" s="2660"/>
      <c r="I28" s="2660"/>
      <c r="J28" s="2438"/>
      <c r="K28" s="2612"/>
      <c r="L28" s="2609"/>
      <c r="M28" s="2609"/>
      <c r="N28" s="2438"/>
      <c r="O28" s="2449"/>
      <c r="P28" s="2438"/>
      <c r="Q28" s="2438"/>
      <c r="R28" s="2438"/>
      <c r="S28" s="2438"/>
      <c r="T28" s="2438"/>
      <c r="U28" s="2438"/>
      <c r="V28" s="2438"/>
    </row>
    <row r="29" spans="1:28">
      <c r="A29" s="3556"/>
      <c r="B29" s="302" t="s">
        <v>2217</v>
      </c>
      <c r="C29" s="2419" t="s">
        <v>3393</v>
      </c>
      <c r="D29" s="2420"/>
      <c r="E29" s="2660"/>
      <c r="F29" s="2660"/>
      <c r="G29" s="2660"/>
      <c r="H29" s="2660"/>
      <c r="I29" s="2660"/>
      <c r="J29" s="2438"/>
      <c r="K29" s="2612"/>
      <c r="L29" s="2609"/>
      <c r="M29" s="2609"/>
      <c r="N29" s="2438"/>
      <c r="O29" s="2449"/>
      <c r="P29" s="2438"/>
      <c r="Q29" s="2438"/>
      <c r="R29" s="2438"/>
      <c r="S29" s="2438"/>
      <c r="T29" s="2438"/>
      <c r="U29" s="2438"/>
      <c r="V29" s="2438"/>
    </row>
    <row r="30" spans="1:28">
      <c r="A30" s="3557"/>
      <c r="B30" s="302" t="s">
        <v>2218</v>
      </c>
      <c r="C30" s="3558"/>
      <c r="D30" s="3559"/>
      <c r="E30" s="2660"/>
      <c r="F30" s="2660"/>
      <c r="G30" s="2660"/>
      <c r="H30" s="2660"/>
      <c r="I30" s="2660"/>
      <c r="J30" s="2438"/>
      <c r="K30" s="2612"/>
      <c r="L30" s="2609"/>
      <c r="M30" s="2609"/>
      <c r="N30" s="2438"/>
      <c r="O30" s="2449"/>
      <c r="P30" s="2438"/>
      <c r="Q30" s="2438"/>
      <c r="R30" s="2438"/>
      <c r="S30" s="2438"/>
      <c r="T30" s="2438"/>
      <c r="U30" s="2438"/>
      <c r="V30" s="2438"/>
    </row>
    <row r="31" spans="1:28">
      <c r="A31" s="3560" t="s">
        <v>2219</v>
      </c>
      <c r="B31" s="2421" t="s">
        <v>3470</v>
      </c>
      <c r="C31" s="2323" t="str">
        <f>IF(B31="现房","成新及维护状况正常否",IF(B31="在建","工程状态是否正常",IF(B31="土地","是否闲置","-")))</f>
        <v>成新及维护状况正常否</v>
      </c>
      <c r="D31" s="1373"/>
      <c r="E31" s="2422"/>
      <c r="F31" s="2660"/>
      <c r="G31" s="2660"/>
      <c r="H31" s="2660"/>
      <c r="I31" s="2660"/>
      <c r="J31" s="2438"/>
      <c r="K31" s="2611"/>
      <c r="L31" s="2609"/>
      <c r="M31" s="2609"/>
      <c r="N31" s="2438"/>
      <c r="O31" s="2449"/>
      <c r="P31" s="2438"/>
      <c r="Q31" s="2438"/>
      <c r="R31" s="2438"/>
      <c r="S31" s="2438"/>
      <c r="T31" s="2438"/>
      <c r="U31" s="2438"/>
      <c r="V31" s="2438"/>
    </row>
    <row r="32" spans="1:28">
      <c r="A32" s="3561"/>
      <c r="B32" s="2421"/>
      <c r="C32" s="2323" t="str">
        <f>IF(B32="现房","成新及维护状况是否正常",IF(B32="在建","工程状态是否正常",IF(B32="土地","是否闲置","-")))</f>
        <v>-</v>
      </c>
      <c r="D32" s="1373"/>
      <c r="E32" s="2422"/>
      <c r="F32" s="2660"/>
      <c r="G32" s="2660"/>
      <c r="H32" s="2660"/>
      <c r="I32" s="2660"/>
      <c r="J32" s="2438"/>
      <c r="K32" s="2612"/>
      <c r="L32" s="2609"/>
      <c r="M32" s="2609"/>
      <c r="N32" s="2438"/>
      <c r="O32" s="2449"/>
      <c r="P32" s="2438"/>
      <c r="Q32" s="2438"/>
      <c r="R32" s="2438"/>
      <c r="S32" s="2438"/>
      <c r="T32" s="2438"/>
      <c r="U32" s="2438"/>
      <c r="V32" s="2438"/>
    </row>
    <row r="33" spans="1:30">
      <c r="A33" s="3561"/>
      <c r="B33" s="2424"/>
      <c r="C33" s="1590" t="str">
        <f>IF(B33="现房","成新及维护状况是否正常",IF(B33="在建","工程状态是否正常",IF(B33="土地","是否闲置","-")))</f>
        <v>-</v>
      </c>
      <c r="D33" s="1365"/>
      <c r="E33" s="2425"/>
      <c r="F33" s="2660"/>
      <c r="G33" s="2660"/>
      <c r="H33" s="2660"/>
      <c r="I33" s="2660"/>
      <c r="J33" s="2438"/>
      <c r="K33" s="2612"/>
      <c r="L33" s="2609"/>
      <c r="M33" s="2609"/>
      <c r="N33" s="2438"/>
      <c r="O33" s="2449"/>
      <c r="P33" s="2438"/>
      <c r="Q33" s="2438"/>
      <c r="R33" s="2438"/>
      <c r="S33" s="2438"/>
      <c r="T33" s="2438"/>
      <c r="U33" s="2438"/>
      <c r="V33" s="2438"/>
    </row>
    <row r="34" spans="1:30">
      <c r="A34" s="302" t="s">
        <v>2220</v>
      </c>
      <c r="B34" s="2026" t="s">
        <v>3471</v>
      </c>
      <c r="C34" s="2026" t="s">
        <v>3472</v>
      </c>
      <c r="D34" s="2026" t="s">
        <v>3473</v>
      </c>
      <c r="E34" s="2026" t="s">
        <v>3474</v>
      </c>
      <c r="F34" s="2026" t="s">
        <v>3475</v>
      </c>
      <c r="G34" s="2026" t="s">
        <v>3476</v>
      </c>
      <c r="H34" s="2026" t="s">
        <v>3477</v>
      </c>
      <c r="I34" s="2660"/>
      <c r="J34" s="2438"/>
      <c r="K34" s="2426">
        <f>COUNTIF(B34:H34,"——")</f>
        <v>0</v>
      </c>
      <c r="L34" s="323" t="s">
        <v>2221</v>
      </c>
      <c r="M34" s="323" t="s">
        <v>2222</v>
      </c>
      <c r="N34" s="323" t="s">
        <v>2223</v>
      </c>
      <c r="O34" s="323" t="s">
        <v>2224</v>
      </c>
      <c r="P34" s="323" t="s">
        <v>2225</v>
      </c>
      <c r="Q34" s="323" t="s">
        <v>2226</v>
      </c>
      <c r="R34" s="323" t="s">
        <v>2227</v>
      </c>
      <c r="S34" s="3555" t="s">
        <v>2228</v>
      </c>
      <c r="T34" s="2427" t="str">
        <f>NUMBERSTRING(7-K34,1)&amp;"通"</f>
        <v>七通</v>
      </c>
      <c r="U34" s="2438"/>
      <c r="V34" s="2438"/>
    </row>
    <row r="35" spans="1:30">
      <c r="A35" s="2428"/>
      <c r="B35" s="3562" t="s">
        <v>2229</v>
      </c>
      <c r="C35" s="3562"/>
      <c r="D35" s="3562"/>
      <c r="E35" s="3562"/>
      <c r="F35" s="664">
        <f>C10</f>
        <v>0</v>
      </c>
      <c r="G35" s="2660"/>
      <c r="H35" s="2660"/>
      <c r="I35" s="2660"/>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5"/>
      <c r="T35" s="329" t="str">
        <f>IF(T34="一通",L35,IF(T34="二通",M35,IF(T34="三通",N35,IF(T34="四通",O35,IF(T34="五通",P35,IF(T34="六通",Q35,R35))))))</f>
        <v>通路、通电、通讯、通上水、通下水、燃气、平整</v>
      </c>
      <c r="U35" s="2438"/>
      <c r="V35" s="2438"/>
    </row>
    <row r="36" spans="1:30">
      <c r="A36" s="2429"/>
      <c r="B36" s="664" t="s">
        <v>2185</v>
      </c>
      <c r="C36" s="664" t="s">
        <v>2186</v>
      </c>
      <c r="D36" s="664" t="s">
        <v>2184</v>
      </c>
      <c r="E36" s="664" t="s">
        <v>2189</v>
      </c>
      <c r="F36" s="3061" t="s">
        <v>2577</v>
      </c>
      <c r="G36" s="2660"/>
      <c r="H36" s="2660"/>
      <c r="I36" s="2660"/>
      <c r="J36" s="2438"/>
      <c r="K36" s="2612"/>
      <c r="L36" s="2609"/>
      <c r="M36" s="2609"/>
      <c r="N36" s="2438"/>
      <c r="O36" s="2449"/>
      <c r="P36" s="2438"/>
      <c r="Q36" s="2438"/>
      <c r="R36" s="2438"/>
      <c r="S36" s="2438"/>
      <c r="T36" s="2438"/>
      <c r="U36" s="2438"/>
      <c r="V36" s="2438"/>
    </row>
    <row r="37" spans="1:30">
      <c r="A37" s="2626" t="s">
        <v>2230</v>
      </c>
      <c r="B37" s="2430" t="s">
        <v>304</v>
      </c>
      <c r="C37" s="2430" t="s">
        <v>304</v>
      </c>
      <c r="D37" s="2430"/>
      <c r="E37" s="2430"/>
      <c r="F37" s="2430"/>
      <c r="G37" s="2660"/>
      <c r="H37" s="2660"/>
      <c r="I37" s="2660"/>
      <c r="J37" s="2438"/>
      <c r="K37" s="2612"/>
      <c r="L37" s="2609"/>
      <c r="M37" s="2609"/>
      <c r="N37" s="2438"/>
      <c r="O37" s="2449"/>
      <c r="P37" s="2438"/>
      <c r="Q37" s="2438"/>
      <c r="R37" s="2438"/>
      <c r="S37" s="2438"/>
      <c r="T37" s="2438"/>
      <c r="U37" s="2438"/>
      <c r="V37" s="2438"/>
    </row>
    <row r="38" spans="1:30" ht="13.5" thickBot="1">
      <c r="A38" s="2627" t="s">
        <v>2231</v>
      </c>
      <c r="B38" s="2431" t="s">
        <v>151</v>
      </c>
      <c r="C38" s="2431" t="s">
        <v>151</v>
      </c>
      <c r="D38" s="2431"/>
      <c r="E38" s="2431"/>
      <c r="F38" s="2431"/>
      <c r="G38" s="2661"/>
      <c r="H38" s="2661"/>
      <c r="I38" s="2661"/>
      <c r="J38" s="2438"/>
      <c r="K38" s="2612"/>
      <c r="L38" s="2609"/>
      <c r="M38" s="2609"/>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6"/>
      <c r="K40" s="2611"/>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2"/>
      <c r="L41" s="2609"/>
      <c r="M41" s="2609"/>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14258.28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14258.28</v>
      </c>
      <c r="H5" s="13">
        <f t="shared" ref="H5:AT5" si="0">SUM(H13:H656)</f>
        <v>14258.28</v>
      </c>
      <c r="I5" s="13">
        <f t="shared" si="0"/>
        <v>8653.92</v>
      </c>
      <c r="J5" s="13">
        <f t="shared" si="0"/>
        <v>0</v>
      </c>
      <c r="K5" s="13">
        <f t="shared" si="0"/>
        <v>5604.3600000000006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14258.28</v>
      </c>
      <c r="BA5" s="15">
        <f t="shared" si="1"/>
        <v>14258.28</v>
      </c>
      <c r="BB5" s="15">
        <f t="shared" si="1"/>
        <v>8653.92</v>
      </c>
      <c r="BC5" s="15">
        <f t="shared" si="1"/>
        <v>5604.3600000000006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54"/>
      <c r="C13" s="3454"/>
      <c r="D13" s="1625" t="s">
        <v>3387</v>
      </c>
      <c r="E13" s="13">
        <f>IF($C$3="是",ROUND($A$3*G13/$B$3,2),ROUND($A$3*(G13-AT13)/$B$3,2))</f>
        <v>0</v>
      </c>
      <c r="F13" s="29"/>
      <c r="G13" s="30">
        <f>H13+AC13+AT13</f>
        <v>14258.28</v>
      </c>
      <c r="H13" s="17">
        <f>SUMIF(I$12:AB$12,"总值",I13:AB13)</f>
        <v>14258.28</v>
      </c>
      <c r="I13" s="1626">
        <f>面积指标!I21</f>
        <v>8653.92</v>
      </c>
      <c r="J13" s="1626"/>
      <c r="K13" s="3449">
        <f>面积指标!I22</f>
        <v>5604.3600000000006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14258.28</v>
      </c>
      <c r="BA13" s="13">
        <f>SUM(BB13:BK13)</f>
        <v>14258.28</v>
      </c>
      <c r="BB13" s="13">
        <f>IF($D13="是",I13-J13,0)</f>
        <v>8653.92</v>
      </c>
      <c r="BC13" s="13">
        <f>IF($D13="是",K13-L13,0)</f>
        <v>5604.3600000000006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54"/>
      <c r="C14" s="344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454"/>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
  <sheetViews>
    <sheetView topLeftCell="A7" workbookViewId="0">
      <selection activeCell="J43" sqref="A32:J43"/>
    </sheetView>
  </sheetViews>
  <sheetFormatPr defaultRowHeight="13.5"/>
  <cols>
    <col min="2" max="2" width="29.5" customWidth="1"/>
    <col min="3" max="3" width="20.625" customWidth="1"/>
  </cols>
  <sheetData>
    <row r="2" spans="1:12">
      <c r="A2" s="3455"/>
    </row>
    <row r="3" spans="1:12">
      <c r="A3" s="3455"/>
    </row>
    <row r="4" spans="1:12">
      <c r="A4" s="3455"/>
    </row>
    <row r="5" spans="1:12">
      <c r="A5" s="3455"/>
    </row>
    <row r="6" spans="1:12">
      <c r="A6" s="3455"/>
    </row>
    <row r="7" spans="1:12">
      <c r="A7" s="3455"/>
    </row>
    <row r="8" spans="1:12">
      <c r="A8" s="3455"/>
    </row>
    <row r="10" spans="1:12">
      <c r="A10" s="3455"/>
      <c r="B10" s="3455"/>
      <c r="C10" s="3455"/>
      <c r="D10" s="3455"/>
      <c r="E10" s="3455"/>
    </row>
    <row r="11" spans="1:12">
      <c r="B11" s="3457"/>
      <c r="C11" s="3455"/>
    </row>
    <row r="12" spans="1:12">
      <c r="B12" s="3457"/>
      <c r="C12" s="3455"/>
    </row>
    <row r="13" spans="1:12">
      <c r="B13" s="3455"/>
      <c r="C13" s="3455"/>
    </row>
    <row r="16" spans="1:12">
      <c r="B16">
        <v>101</v>
      </c>
      <c r="C16">
        <v>1251.25</v>
      </c>
      <c r="D16" s="3455" t="s">
        <v>3417</v>
      </c>
      <c r="G16" s="3455" t="s">
        <v>3417</v>
      </c>
      <c r="H16">
        <v>1</v>
      </c>
      <c r="I16">
        <f>C16+C17</f>
        <v>1964.25</v>
      </c>
      <c r="J16">
        <v>1</v>
      </c>
      <c r="K16">
        <v>5.5</v>
      </c>
      <c r="L16">
        <f>K16*I16</f>
        <v>10803.375</v>
      </c>
    </row>
    <row r="17" spans="1:12">
      <c r="B17">
        <v>103</v>
      </c>
      <c r="C17">
        <v>713</v>
      </c>
      <c r="D17" s="3455" t="s">
        <v>3417</v>
      </c>
      <c r="H17">
        <v>2</v>
      </c>
      <c r="I17">
        <f>C19</f>
        <v>1644</v>
      </c>
      <c r="J17">
        <v>0.7</v>
      </c>
      <c r="K17">
        <f>J17*K16</f>
        <v>3.8499999999999996</v>
      </c>
      <c r="L17">
        <f t="shared" ref="L17:L20" si="0">K17*I17</f>
        <v>6329.4</v>
      </c>
    </row>
    <row r="18" spans="1:12">
      <c r="B18">
        <v>201</v>
      </c>
      <c r="C18">
        <v>1402</v>
      </c>
      <c r="D18" s="3455" t="s">
        <v>3418</v>
      </c>
      <c r="H18">
        <v>3</v>
      </c>
      <c r="I18">
        <f>C21</f>
        <v>1633.82</v>
      </c>
      <c r="J18">
        <v>0.6</v>
      </c>
      <c r="K18">
        <f>J18*K16</f>
        <v>3.3</v>
      </c>
      <c r="L18">
        <f t="shared" si="0"/>
        <v>5391.6059999999998</v>
      </c>
    </row>
    <row r="19" spans="1:12">
      <c r="B19">
        <v>202</v>
      </c>
      <c r="C19">
        <v>1644</v>
      </c>
      <c r="D19" s="3455" t="s">
        <v>3417</v>
      </c>
      <c r="H19">
        <v>4</v>
      </c>
      <c r="I19">
        <f>C23</f>
        <v>1706.91</v>
      </c>
      <c r="J19">
        <v>0.5</v>
      </c>
      <c r="K19">
        <f>J19*K16</f>
        <v>2.75</v>
      </c>
      <c r="L19">
        <f t="shared" si="0"/>
        <v>4694.0025000000005</v>
      </c>
    </row>
    <row r="20" spans="1:12">
      <c r="B20">
        <v>301</v>
      </c>
      <c r="C20" s="3455">
        <v>1402</v>
      </c>
      <c r="D20" s="3455" t="s">
        <v>3418</v>
      </c>
      <c r="H20">
        <v>5</v>
      </c>
      <c r="I20">
        <f>C25</f>
        <v>1704.94</v>
      </c>
      <c r="J20">
        <v>0.5</v>
      </c>
      <c r="K20">
        <f>J20*K16</f>
        <v>2.75</v>
      </c>
      <c r="L20">
        <f t="shared" si="0"/>
        <v>4688.585</v>
      </c>
    </row>
    <row r="21" spans="1:12">
      <c r="B21">
        <v>302</v>
      </c>
      <c r="C21" s="3455">
        <v>1633.82</v>
      </c>
      <c r="D21" s="3455" t="s">
        <v>3417</v>
      </c>
      <c r="I21">
        <f>SUM(I16:I20)</f>
        <v>8653.92</v>
      </c>
      <c r="K21">
        <f>L21/I21</f>
        <v>3.6869960087451701</v>
      </c>
      <c r="L21">
        <f>SUM(L16:L20)</f>
        <v>31906.968500000003</v>
      </c>
    </row>
    <row r="22" spans="1:12">
      <c r="B22">
        <v>401</v>
      </c>
      <c r="C22" s="3455">
        <v>1400.18</v>
      </c>
      <c r="D22" s="3455" t="s">
        <v>3418</v>
      </c>
      <c r="G22" s="3455" t="s">
        <v>3418</v>
      </c>
      <c r="I22">
        <f>C18+C20+C22+C24</f>
        <v>5604.3600000000006</v>
      </c>
    </row>
    <row r="23" spans="1:12">
      <c r="B23">
        <v>402</v>
      </c>
      <c r="C23" s="3455">
        <v>1706.91</v>
      </c>
      <c r="D23" s="3455" t="s">
        <v>3417</v>
      </c>
    </row>
    <row r="24" spans="1:12">
      <c r="B24">
        <v>501</v>
      </c>
      <c r="C24" s="3455">
        <v>1400.18</v>
      </c>
      <c r="D24" s="3455" t="s">
        <v>3418</v>
      </c>
      <c r="I24">
        <f>I16+I17+I18+I19+I20+I22</f>
        <v>14258.28</v>
      </c>
    </row>
    <row r="25" spans="1:12">
      <c r="B25">
        <v>502</v>
      </c>
      <c r="C25" s="3455">
        <v>1704.94</v>
      </c>
      <c r="D25" s="3455" t="s">
        <v>3417</v>
      </c>
    </row>
    <row r="27" spans="1:12">
      <c r="I27">
        <f>1900*10000/I24/365</f>
        <v>3.6508467024457327</v>
      </c>
    </row>
    <row r="31" spans="1:12" ht="14.25" thickBot="1"/>
    <row r="32" spans="1:12" ht="26.25" thickBot="1">
      <c r="A32" s="3480" t="s">
        <v>3425</v>
      </c>
      <c r="B32" s="3481" t="s">
        <v>3426</v>
      </c>
      <c r="C32" s="3482" t="s">
        <v>3427</v>
      </c>
      <c r="D32" s="3482" t="s">
        <v>3428</v>
      </c>
      <c r="E32" s="3483" t="s">
        <v>3429</v>
      </c>
      <c r="F32" s="3483" t="s">
        <v>3430</v>
      </c>
      <c r="G32" s="3483" t="s">
        <v>3431</v>
      </c>
      <c r="H32" s="3483" t="s">
        <v>3432</v>
      </c>
      <c r="I32" s="3483" t="s">
        <v>3433</v>
      </c>
      <c r="J32" s="3483" t="s">
        <v>3434</v>
      </c>
    </row>
    <row r="33" spans="1:11" ht="27.75" customHeight="1" thickBot="1">
      <c r="A33" s="3484">
        <v>1</v>
      </c>
      <c r="B33" s="3490" t="s">
        <v>3436</v>
      </c>
      <c r="C33" s="3485" t="s">
        <v>3465</v>
      </c>
      <c r="D33" s="3833" t="s">
        <v>3440</v>
      </c>
      <c r="E33" s="3486">
        <v>101</v>
      </c>
      <c r="F33" s="3486">
        <v>11</v>
      </c>
      <c r="G33" s="3486">
        <v>1</v>
      </c>
      <c r="H33" s="3487">
        <v>1251.25</v>
      </c>
      <c r="I33" s="3488" t="s">
        <v>3437</v>
      </c>
      <c r="J33" s="3488" t="s">
        <v>3437</v>
      </c>
      <c r="K33">
        <f>H33+H34+H36+H38+H40+H42</f>
        <v>8653.92</v>
      </c>
    </row>
    <row r="34" spans="1:11" ht="27.75" customHeight="1" thickBot="1">
      <c r="A34" s="3484">
        <v>2</v>
      </c>
      <c r="B34" s="3490" t="s">
        <v>3438</v>
      </c>
      <c r="C34" s="3485" t="s">
        <v>3439</v>
      </c>
      <c r="D34" s="3834"/>
      <c r="E34" s="3486">
        <v>103</v>
      </c>
      <c r="F34" s="3486">
        <v>11</v>
      </c>
      <c r="G34" s="3486">
        <v>1</v>
      </c>
      <c r="H34" s="3487">
        <v>713</v>
      </c>
      <c r="I34" s="3488" t="s">
        <v>3437</v>
      </c>
      <c r="J34" s="3488" t="s">
        <v>3441</v>
      </c>
      <c r="K34">
        <f>H35+H37+H39+H41</f>
        <v>5604.3600000000006</v>
      </c>
    </row>
    <row r="35" spans="1:11" ht="27.75" customHeight="1" thickBot="1">
      <c r="A35" s="3484">
        <v>3</v>
      </c>
      <c r="B35" s="3490" t="s">
        <v>3442</v>
      </c>
      <c r="C35" s="3485" t="s">
        <v>3443</v>
      </c>
      <c r="D35" s="3834"/>
      <c r="E35" s="3486">
        <v>201</v>
      </c>
      <c r="F35" s="3486">
        <v>11</v>
      </c>
      <c r="G35" s="3486">
        <v>2</v>
      </c>
      <c r="H35" s="3487">
        <v>1402</v>
      </c>
      <c r="I35" s="3488" t="s">
        <v>3444</v>
      </c>
      <c r="J35" s="3488" t="s">
        <v>3445</v>
      </c>
    </row>
    <row r="36" spans="1:11" ht="27.75" customHeight="1" thickBot="1">
      <c r="A36" s="3484">
        <v>4</v>
      </c>
      <c r="B36" s="3490" t="s">
        <v>3446</v>
      </c>
      <c r="C36" s="3485" t="s">
        <v>3447</v>
      </c>
      <c r="D36" s="3834"/>
      <c r="E36" s="3486">
        <v>202</v>
      </c>
      <c r="F36" s="3486">
        <v>11</v>
      </c>
      <c r="G36" s="3486">
        <v>2</v>
      </c>
      <c r="H36" s="3487">
        <v>1644</v>
      </c>
      <c r="I36" s="3488" t="s">
        <v>3437</v>
      </c>
      <c r="J36" s="3488" t="s">
        <v>3445</v>
      </c>
    </row>
    <row r="37" spans="1:11" ht="27.75" customHeight="1" thickBot="1">
      <c r="A37" s="3484">
        <v>5</v>
      </c>
      <c r="B37" s="3490" t="s">
        <v>3448</v>
      </c>
      <c r="C37" s="3485" t="s">
        <v>3449</v>
      </c>
      <c r="D37" s="3834"/>
      <c r="E37" s="3486">
        <v>301</v>
      </c>
      <c r="F37" s="3486">
        <v>11</v>
      </c>
      <c r="G37" s="3486">
        <v>3</v>
      </c>
      <c r="H37" s="3487">
        <v>1402</v>
      </c>
      <c r="I37" s="3488" t="s">
        <v>3444</v>
      </c>
      <c r="J37" s="3488" t="s">
        <v>3437</v>
      </c>
    </row>
    <row r="38" spans="1:11" ht="27.75" customHeight="1" thickBot="1">
      <c r="A38" s="3484">
        <v>6</v>
      </c>
      <c r="B38" s="3490" t="s">
        <v>3450</v>
      </c>
      <c r="C38" s="3485" t="s">
        <v>3451</v>
      </c>
      <c r="D38" s="3834"/>
      <c r="E38" s="3486">
        <v>302</v>
      </c>
      <c r="F38" s="3486">
        <v>11</v>
      </c>
      <c r="G38" s="3486">
        <v>3</v>
      </c>
      <c r="H38" s="3487">
        <v>1633.82</v>
      </c>
      <c r="I38" s="3488" t="s">
        <v>3437</v>
      </c>
      <c r="J38" s="3488" t="s">
        <v>3452</v>
      </c>
    </row>
    <row r="39" spans="1:11" ht="26.25" thickBot="1">
      <c r="A39" s="3484">
        <v>7</v>
      </c>
      <c r="B39" s="3490" t="s">
        <v>3453</v>
      </c>
      <c r="C39" s="3485" t="s">
        <v>3454</v>
      </c>
      <c r="D39" s="3834"/>
      <c r="E39" s="3486">
        <v>401</v>
      </c>
      <c r="F39" s="3486">
        <v>11</v>
      </c>
      <c r="G39" s="3486">
        <v>4</v>
      </c>
      <c r="H39" s="3487">
        <v>1400.18</v>
      </c>
      <c r="I39" s="3488" t="s">
        <v>3455</v>
      </c>
      <c r="J39" s="3488" t="s">
        <v>3456</v>
      </c>
    </row>
    <row r="40" spans="1:11" ht="26.25" thickBot="1">
      <c r="A40" s="3484">
        <v>8</v>
      </c>
      <c r="B40" s="3490" t="s">
        <v>3457</v>
      </c>
      <c r="C40" s="3485" t="s">
        <v>3458</v>
      </c>
      <c r="D40" s="3834"/>
      <c r="E40" s="3486">
        <v>402</v>
      </c>
      <c r="F40" s="3486">
        <v>11</v>
      </c>
      <c r="G40" s="3486">
        <v>4</v>
      </c>
      <c r="H40" s="3487">
        <v>1706.91</v>
      </c>
      <c r="I40" s="3488" t="s">
        <v>3441</v>
      </c>
      <c r="J40" s="3488" t="s">
        <v>3459</v>
      </c>
    </row>
    <row r="41" spans="1:11" ht="26.25" thickBot="1">
      <c r="A41" s="3484">
        <v>9</v>
      </c>
      <c r="B41" s="3490" t="s">
        <v>3460</v>
      </c>
      <c r="C41" s="3485" t="s">
        <v>3461</v>
      </c>
      <c r="D41" s="3834"/>
      <c r="E41" s="3486">
        <v>501</v>
      </c>
      <c r="F41" s="3486">
        <v>11</v>
      </c>
      <c r="G41" s="3486">
        <v>5</v>
      </c>
      <c r="H41" s="3487">
        <v>1400.18</v>
      </c>
      <c r="I41" s="3488" t="s">
        <v>3462</v>
      </c>
      <c r="J41" s="3488" t="s">
        <v>3437</v>
      </c>
    </row>
    <row r="42" spans="1:11" ht="26.25" thickBot="1">
      <c r="A42" s="3484">
        <v>10</v>
      </c>
      <c r="B42" s="3490" t="s">
        <v>3463</v>
      </c>
      <c r="C42" s="3485" t="s">
        <v>3464</v>
      </c>
      <c r="D42" s="3835"/>
      <c r="E42" s="3486">
        <v>502</v>
      </c>
      <c r="F42" s="3486">
        <v>11</v>
      </c>
      <c r="G42" s="3486">
        <v>5</v>
      </c>
      <c r="H42" s="3487">
        <v>1704.94</v>
      </c>
      <c r="I42" s="3488" t="s">
        <v>3437</v>
      </c>
      <c r="J42" s="3488" t="s">
        <v>3437</v>
      </c>
    </row>
    <row r="43" spans="1:11" ht="14.25" thickBot="1">
      <c r="A43" s="3489" t="s">
        <v>3435</v>
      </c>
      <c r="B43" s="3485" t="s">
        <v>43</v>
      </c>
      <c r="C43" s="3485" t="s">
        <v>43</v>
      </c>
      <c r="D43" s="3485" t="s">
        <v>43</v>
      </c>
      <c r="E43" s="3488" t="s">
        <v>43</v>
      </c>
      <c r="F43" s="3488" t="s">
        <v>43</v>
      </c>
      <c r="G43" s="3488" t="s">
        <v>43</v>
      </c>
      <c r="H43" s="3486">
        <v>45499.9</v>
      </c>
      <c r="I43" s="3488" t="s">
        <v>43</v>
      </c>
      <c r="J43" s="3488" t="s">
        <v>43</v>
      </c>
    </row>
  </sheetData>
  <mergeCells count="1">
    <mergeCell ref="D33:D42"/>
  </mergeCells>
  <phoneticPr fontId="13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2" t="s">
        <v>1131</v>
      </c>
      <c r="B2" s="3572"/>
      <c r="C2" s="3572"/>
      <c r="D2" s="796" t="s">
        <v>1107</v>
      </c>
      <c r="E2" s="1639" t="s">
        <v>1108</v>
      </c>
      <c r="F2" s="2655"/>
      <c r="G2" s="2646"/>
      <c r="H2" s="2647"/>
      <c r="I2" s="2325" t="s">
        <v>1132</v>
      </c>
      <c r="J2" s="2655"/>
      <c r="K2" s="2655"/>
      <c r="L2" s="2655"/>
      <c r="M2" s="2655"/>
      <c r="N2" s="2657"/>
      <c r="O2" s="2655"/>
      <c r="P2" s="2655"/>
    </row>
    <row r="3" spans="1:16" ht="15.75" thickBot="1">
      <c r="A3" s="3573" t="s">
        <v>1105</v>
      </c>
      <c r="B3" s="3573"/>
      <c r="C3" s="3573"/>
      <c r="D3" s="43">
        <f>'数据-基础表'!AY6</f>
        <v>0</v>
      </c>
      <c r="E3" s="43">
        <f>'数据-基础表'!AZ5</f>
        <v>14258.28</v>
      </c>
      <c r="F3" s="2655"/>
      <c r="G3" s="1145"/>
      <c r="H3" s="1026" t="s">
        <v>1106</v>
      </c>
      <c r="I3" s="855" t="e">
        <f>ROUND('数据-基础表'!B3/'数据-基础表'!A3,2)</f>
        <v>#DIV/0!</v>
      </c>
      <c r="J3" s="2655"/>
      <c r="K3" s="2655"/>
      <c r="L3" s="2655"/>
      <c r="M3" s="2655"/>
      <c r="N3" s="2657"/>
      <c r="O3" s="2655"/>
      <c r="P3" s="2655"/>
    </row>
    <row r="4" spans="1:16" ht="15">
      <c r="A4" s="3574"/>
      <c r="B4" s="3575"/>
      <c r="C4" s="357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77" t="s">
        <v>1110</v>
      </c>
      <c r="C5" s="357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77" t="s">
        <v>1111</v>
      </c>
      <c r="C6" s="3577"/>
      <c r="D6" s="45">
        <f>ROUND($D$3*E6/$E$3,2)</f>
        <v>0</v>
      </c>
      <c r="E6" s="46">
        <f>E3-E5</f>
        <v>14258.28</v>
      </c>
      <c r="F6" s="2655"/>
      <c r="G6" s="2649" t="s">
        <v>1112</v>
      </c>
      <c r="H6" s="1146" t="s">
        <v>1113</v>
      </c>
      <c r="I6" s="2650" t="e">
        <f>ROUND(F31/D31,2)</f>
        <v>#DIV/0!</v>
      </c>
      <c r="J6" s="2655"/>
      <c r="K6" s="2655"/>
      <c r="L6" s="2655"/>
      <c r="M6" s="2655"/>
      <c r="N6" s="2655"/>
      <c r="O6" s="2655"/>
      <c r="P6" s="2655"/>
    </row>
    <row r="7" spans="1:16" ht="15.75" thickBot="1">
      <c r="A7" s="3569"/>
      <c r="B7" s="3570"/>
      <c r="C7" s="3571"/>
      <c r="D7" s="1641" t="s">
        <v>1107</v>
      </c>
      <c r="E7" s="1645"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14258.28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14258.28</v>
      </c>
      <c r="F16" s="2655"/>
      <c r="G16" s="2656"/>
      <c r="H16" s="1648" t="s">
        <v>1135</v>
      </c>
      <c r="I16" s="1649"/>
      <c r="J16" s="1139"/>
      <c r="K16" s="3566" t="s">
        <v>1135</v>
      </c>
      <c r="L16" s="3567"/>
      <c r="M16" s="3567"/>
      <c r="N16" s="3567"/>
      <c r="O16" s="3567"/>
      <c r="P16" s="3568"/>
    </row>
    <row r="17" spans="1:19" ht="15">
      <c r="A17" s="1650" t="s">
        <v>1136</v>
      </c>
      <c r="B17" s="1651" t="s">
        <v>1137</v>
      </c>
      <c r="C17" s="1652" t="s">
        <v>1138</v>
      </c>
      <c r="D17" s="1653" t="s">
        <v>1126</v>
      </c>
      <c r="E17" s="1654" t="s">
        <v>1127</v>
      </c>
      <c r="F17" s="1655"/>
      <c r="G17" s="1656"/>
      <c r="H17" s="1657" t="s">
        <v>1139</v>
      </c>
      <c r="I17" s="1658" t="s">
        <v>1124</v>
      </c>
      <c r="J17" s="1139"/>
      <c r="K17" s="3563" t="s">
        <v>1140</v>
      </c>
      <c r="L17" s="3564"/>
      <c r="M17" s="3565"/>
      <c r="N17" s="3563" t="s">
        <v>1141</v>
      </c>
      <c r="O17" s="3564"/>
      <c r="P17" s="356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3412</v>
      </c>
      <c r="D19" s="45">
        <f>ROUND($D$3*E19/$E$3,2)</f>
        <v>0</v>
      </c>
      <c r="E19" s="53">
        <f t="shared" ref="E19:E26" si="1">SUM(F19:G19)</f>
        <v>8653.92</v>
      </c>
      <c r="F19" s="2791">
        <f>'数据-基础表'!I13</f>
        <v>8653.92</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8653.92</v>
      </c>
    </row>
    <row r="20" spans="1:19">
      <c r="A20" s="1670"/>
      <c r="B20" s="47" t="s">
        <v>1153</v>
      </c>
      <c r="C20" s="3413" t="s">
        <v>3419</v>
      </c>
      <c r="D20" s="45">
        <f t="shared" ref="D20:D26" si="6">ROUND($D$3*E20/$E$3,2)</f>
        <v>0</v>
      </c>
      <c r="E20" s="53">
        <f t="shared" si="1"/>
        <v>5604.3600000000006</v>
      </c>
      <c r="F20" s="2791">
        <f>'数据-基础表'!K13:K13</f>
        <v>5604.3600000000006</v>
      </c>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5604.3600000000006</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14258.28</v>
      </c>
      <c r="F27" s="1140">
        <f>IF(SUM(F19:F26)=E8,SUM(F19:F26),"地上面积有误")</f>
        <v>14258.28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14258.28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14258.28</v>
      </c>
      <c r="F31" s="677">
        <f>F27+F30</f>
        <v>14258.28</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33.01</v>
      </c>
      <c r="G6" s="65">
        <f>IF(ISERROR(ROUND(POWER(1+H6,D6-F6)*(POWER(1+H6,F6)-1)/(POWER(1+H6,D6)-1),3)),0,ROUND(POWER(1+H6,D6-F6)*(POWER(1+H6,F6)-1)/(POWER(1+H6,D6)-1),3))</f>
        <v>0.93300000000000005</v>
      </c>
      <c r="H6" s="732">
        <v>0.05</v>
      </c>
      <c r="I6" s="732">
        <v>5.5E-2</v>
      </c>
      <c r="J6" s="66">
        <v>7.0000000000000007E-2</v>
      </c>
      <c r="K6" s="1030">
        <f>SUMIF('数据-汇总表'!C$19:C$33,A6,'数据-汇总表'!E$19:E$33)</f>
        <v>8653.92</v>
      </c>
      <c r="L6" s="733">
        <v>4000</v>
      </c>
      <c r="M6" s="67">
        <f>ROUND(K6*L6/10000,0)</f>
        <v>3462</v>
      </c>
      <c r="N6" s="731">
        <f>N19</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2.8</v>
      </c>
      <c r="V6" s="70">
        <v>1.4999999999999999E-2</v>
      </c>
      <c r="W6" s="70">
        <v>0</v>
      </c>
      <c r="X6" s="1040"/>
      <c r="Y6" s="71">
        <f>N6</f>
        <v>0.95</v>
      </c>
      <c r="Z6" s="72">
        <f>ROUND(U6*(1+V6)^AF6,1)</f>
        <v>3.6</v>
      </c>
      <c r="AA6" s="66">
        <v>1.4999999999999999E-2</v>
      </c>
      <c r="AB6" s="66">
        <v>0.1</v>
      </c>
      <c r="AC6" s="1040"/>
      <c r="AD6" s="73">
        <f>AD17</f>
        <v>0.67</v>
      </c>
      <c r="AE6" s="1041">
        <f ca="1">IF(AN6="",0,SUMIF(INDIRECT("'"&amp;AN6&amp;"'"&amp;"!E:E"),$AE$5,INDIRECT("'"&amp;AN6&amp;"'"&amp;"!F:F")))</f>
        <v>33.01</v>
      </c>
      <c r="AF6" s="1348">
        <f>项目基本情况!I15</f>
        <v>16.059999999999999</v>
      </c>
      <c r="AG6" s="138">
        <f ca="1">IF(AF6="",0,AE6-AF6)</f>
        <v>16.95</v>
      </c>
      <c r="AH6" s="74"/>
      <c r="AI6" s="76">
        <v>365</v>
      </c>
      <c r="AJ6" s="77"/>
      <c r="AK6" s="78">
        <v>3.0000000000000001E-3</v>
      </c>
      <c r="AL6" s="79">
        <v>1E-3</v>
      </c>
      <c r="AM6" s="80">
        <v>0.01</v>
      </c>
      <c r="AN6" s="1715" t="s">
        <v>3389</v>
      </c>
      <c r="AO6" s="52">
        <f ca="1">SUMIF(INDIRECT("'"&amp;AN6&amp;"'"&amp;"!A:A"),"总价",INDIRECT("'"&amp;AN6&amp;"'"&amp;"!B:B"))</f>
        <v>12552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0">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43.02</v>
      </c>
      <c r="G7" s="65">
        <f t="shared" ref="G7:G11" si="1">IF(ISERROR(ROUND(POWER(1+H7,D7-F7)*(POWER(1+H7,F7)-1)/(POWER(1+H7,D7)-1),3)),0,ROUND(POWER(1+H7,D7-F7)*(POWER(1+H7,F7)-1)/(POWER(1+H7,D7)-1),3))</f>
        <v>0.96099999999999997</v>
      </c>
      <c r="H7" s="732">
        <v>0.05</v>
      </c>
      <c r="I7" s="732">
        <v>5.5E-2</v>
      </c>
      <c r="J7" s="66">
        <v>7.0000000000000007E-2</v>
      </c>
      <c r="K7" s="1030">
        <f>SUMIF('数据-汇总表'!C$19:C$33,A7,'数据-汇总表'!E$19:E$33)</f>
        <v>5604.3600000000006</v>
      </c>
      <c r="L7" s="733">
        <v>4000</v>
      </c>
      <c r="M7" s="67">
        <f t="shared" ref="M7:M14" si="2">ROUND(K7*L7/10000,0)</f>
        <v>2242</v>
      </c>
      <c r="N7" s="731">
        <f>N6</f>
        <v>0.95</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v>1.6</v>
      </c>
      <c r="V7" s="70">
        <v>1.4999999999999999E-2</v>
      </c>
      <c r="W7" s="70">
        <v>0</v>
      </c>
      <c r="X7" s="1040"/>
      <c r="Y7" s="71">
        <f>Y6</f>
        <v>0.95</v>
      </c>
      <c r="Z7" s="72">
        <f>ROUND(U7*(1+V7)^AF7,1)</f>
        <v>2</v>
      </c>
      <c r="AA7" s="66">
        <f>AA6</f>
        <v>1.4999999999999999E-2</v>
      </c>
      <c r="AB7" s="66">
        <f>AB6</f>
        <v>0.1</v>
      </c>
      <c r="AC7" s="1040"/>
      <c r="AD7" s="73">
        <f>AD6</f>
        <v>0.67</v>
      </c>
      <c r="AE7" s="1041">
        <f t="shared" ref="AE7:AE13" ca="1" si="6">IF(AN7="",0,SUMIF(INDIRECT("'"&amp;AN7&amp;"'"&amp;"!E:E"),$AE$5,INDIRECT("'"&amp;AN7&amp;"'"&amp;"!F:F")))</f>
        <v>43.02</v>
      </c>
      <c r="AF7" s="1348">
        <f>AF6</f>
        <v>16.059999999999999</v>
      </c>
      <c r="AG7" s="138">
        <f t="shared" ref="AG7:AG13" ca="1" si="7">IF(AF7="",0,AE7-AF7)</f>
        <v>26.960000000000004</v>
      </c>
      <c r="AH7" s="74"/>
      <c r="AI7" s="76">
        <f>AI6</f>
        <v>365</v>
      </c>
      <c r="AJ7" s="77"/>
      <c r="AK7" s="78">
        <f>AK6</f>
        <v>3.0000000000000001E-3</v>
      </c>
      <c r="AL7" s="78">
        <f t="shared" ref="AL7:AM7" si="8">AL6</f>
        <v>1E-3</v>
      </c>
      <c r="AM7" s="78">
        <f t="shared" si="8"/>
        <v>0.01</v>
      </c>
      <c r="AN7" s="1715" t="s">
        <v>3420</v>
      </c>
      <c r="AO7" s="52">
        <f t="shared" ref="AO7:AO13" ca="1" si="9">SUMIF(INDIRECT("'"&amp;AN7&amp;"'"&amp;"!A:A"),"总价",INDIRECT("'"&amp;AN7&amp;"'"&amp;"!B:B"))</f>
        <v>5011</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4000</v>
      </c>
      <c r="M14" s="67">
        <f t="shared" si="2"/>
        <v>0</v>
      </c>
      <c r="N14" s="83">
        <f>N6</f>
        <v>0.95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14258.28</v>
      </c>
      <c r="L16" s="93">
        <f>ROUND(M16*10000/SUM(K6:K14),0)</f>
        <v>4000</v>
      </c>
      <c r="M16" s="93">
        <f>SUM(M6:M14)</f>
        <v>5704</v>
      </c>
      <c r="N16" s="94">
        <f>ROUND(SUMPRODUCT(M6:M14,N6:N14)/M16,3)</f>
        <v>0.95</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f>ROUND(1-(2041-2021)/60,2)</f>
        <v>0.67</v>
      </c>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6"/>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6"/>
      <c r="N19" s="2667">
        <f>ROUND(1-(2024-2021)/60,2)</f>
        <v>0.95</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1.5</v>
      </c>
      <c r="C20" s="2796" t="s">
        <v>2297</v>
      </c>
      <c r="D20" s="2672"/>
      <c r="E20" s="2669"/>
      <c r="F20" s="2669"/>
      <c r="G20" s="2669"/>
      <c r="H20" s="2669"/>
      <c r="I20" s="2669"/>
      <c r="J20" s="2669"/>
      <c r="K20" s="2668"/>
      <c r="L20" s="2668"/>
      <c r="M20" s="2667"/>
      <c r="N20" s="2667">
        <v>0.85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1.5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2301</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285</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3372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3373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f>C58</f>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78" t="s">
        <v>2282</v>
      </c>
      <c r="B1" s="3579"/>
      <c r="C1" s="3579"/>
      <c r="D1" s="3579"/>
      <c r="E1" s="3579"/>
      <c r="F1" s="3579"/>
      <c r="G1" s="357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837" t="s">
        <v>3479</v>
      </c>
      <c r="D3" s="2463"/>
      <c r="E3" s="2441" t="s">
        <v>2280</v>
      </c>
      <c r="F3" s="2464" t="s">
        <v>2253</v>
      </c>
      <c r="G3" s="2465" t="s">
        <v>2281</v>
      </c>
      <c r="H3" s="799"/>
      <c r="I3" s="799"/>
      <c r="J3" s="799"/>
      <c r="K3" s="799"/>
      <c r="L3" s="799"/>
      <c r="M3" s="799"/>
      <c r="N3" s="799"/>
      <c r="O3" s="799"/>
      <c r="P3" s="799"/>
      <c r="Q3" s="799"/>
      <c r="R3" s="799"/>
    </row>
    <row r="4" spans="1:29" ht="36">
      <c r="A4" s="2441"/>
      <c r="B4" s="323" t="s">
        <v>2254</v>
      </c>
      <c r="C4" s="3838" t="s">
        <v>3480</v>
      </c>
      <c r="D4" s="2463"/>
      <c r="E4" s="2466"/>
      <c r="F4" s="1373" t="s">
        <v>2255</v>
      </c>
      <c r="G4" s="2467" t="s">
        <v>2256</v>
      </c>
      <c r="H4" s="799"/>
      <c r="I4" s="799"/>
      <c r="J4" s="799"/>
      <c r="K4" s="799"/>
      <c r="L4" s="799"/>
      <c r="M4" s="799"/>
      <c r="N4" s="799"/>
      <c r="O4" s="799"/>
      <c r="P4" s="799"/>
      <c r="Q4" s="799"/>
      <c r="R4" s="799"/>
    </row>
    <row r="5" spans="1:29" ht="24">
      <c r="A5" s="2441"/>
      <c r="B5" s="323" t="s">
        <v>2257</v>
      </c>
      <c r="C5" s="3838" t="s">
        <v>3485</v>
      </c>
      <c r="D5" s="2463"/>
      <c r="E5" s="2466"/>
      <c r="F5" s="323" t="s">
        <v>2258</v>
      </c>
      <c r="G5" s="2467" t="s">
        <v>2259</v>
      </c>
      <c r="H5" s="799"/>
      <c r="I5" s="799"/>
      <c r="J5" s="799"/>
      <c r="K5" s="799"/>
      <c r="L5" s="799"/>
      <c r="M5" s="799"/>
      <c r="N5" s="799"/>
      <c r="O5" s="799"/>
      <c r="P5" s="799"/>
      <c r="Q5" s="799"/>
      <c r="R5" s="799"/>
    </row>
    <row r="6" spans="1:29">
      <c r="A6" s="2441"/>
      <c r="B6" s="323" t="s">
        <v>2260</v>
      </c>
      <c r="C6" s="3839" t="s">
        <v>3481</v>
      </c>
      <c r="D6" s="2463"/>
      <c r="E6" s="2466"/>
      <c r="F6" s="323" t="s">
        <v>2261</v>
      </c>
      <c r="G6" s="2467" t="s">
        <v>2262</v>
      </c>
      <c r="H6" s="799"/>
      <c r="I6" s="799"/>
      <c r="J6" s="799"/>
      <c r="K6" s="799"/>
      <c r="L6" s="799"/>
      <c r="M6" s="799"/>
      <c r="N6" s="799"/>
      <c r="O6" s="799"/>
      <c r="P6" s="799"/>
      <c r="Q6" s="799"/>
      <c r="R6" s="799"/>
    </row>
    <row r="7" spans="1:29" ht="24.75" thickBot="1">
      <c r="A7" s="2441"/>
      <c r="B7" s="323" t="s">
        <v>2258</v>
      </c>
      <c r="C7" s="3839" t="s">
        <v>3482</v>
      </c>
      <c r="D7" s="2468"/>
      <c r="E7" s="2469"/>
      <c r="F7" s="2470" t="s">
        <v>2263</v>
      </c>
      <c r="G7" s="2471" t="s">
        <v>2264</v>
      </c>
      <c r="H7" s="799"/>
      <c r="I7" s="799"/>
      <c r="J7" s="799"/>
      <c r="K7" s="799"/>
      <c r="L7" s="799"/>
      <c r="M7" s="799"/>
      <c r="N7" s="799"/>
      <c r="O7" s="799"/>
      <c r="P7" s="799"/>
      <c r="Q7" s="799"/>
      <c r="R7" s="799"/>
    </row>
    <row r="8" spans="1:29">
      <c r="A8" s="2441"/>
      <c r="B8" s="323" t="s">
        <v>2261</v>
      </c>
      <c r="C8" s="3839" t="s">
        <v>3483</v>
      </c>
      <c r="D8" s="2468"/>
      <c r="E8" s="2468"/>
      <c r="F8" s="2472"/>
      <c r="G8" s="2472"/>
      <c r="H8" s="799"/>
      <c r="I8" s="799"/>
      <c r="J8" s="799"/>
      <c r="K8" s="799"/>
      <c r="L8" s="799"/>
      <c r="M8" s="799"/>
      <c r="N8" s="799"/>
      <c r="O8" s="799"/>
      <c r="P8" s="799"/>
      <c r="Q8" s="799"/>
      <c r="R8" s="799"/>
    </row>
    <row r="9" spans="1:29">
      <c r="A9" s="2441"/>
      <c r="B9" s="323" t="s">
        <v>2265</v>
      </c>
      <c r="C9" s="3838" t="s">
        <v>3482</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51">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ht="38.25">
      <c r="A17" s="2445"/>
      <c r="B17" s="2497" t="s">
        <v>2257</v>
      </c>
      <c r="C17" s="2498" t="str">
        <f>C5</f>
        <v>较差</v>
      </c>
      <c r="D17" s="2468"/>
      <c r="E17" s="2446"/>
      <c r="F17" s="2499" t="s">
        <v>2272</v>
      </c>
      <c r="G17" s="2501"/>
    </row>
    <row r="18" spans="1:18" ht="38.2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ht="25.5">
      <c r="A20" s="2445"/>
      <c r="B20" s="2499" t="s">
        <v>2274</v>
      </c>
      <c r="C20" s="2498" t="str">
        <f>C9</f>
        <v>一般</v>
      </c>
      <c r="D20" s="2468"/>
      <c r="E20" s="2446"/>
      <c r="F20" s="323" t="s">
        <v>2261</v>
      </c>
      <c r="G20" s="2500" t="str">
        <f>G6</f>
        <v>估价对象所在区域基础设施水平</v>
      </c>
    </row>
    <row r="21" spans="1:18" ht="25.5">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14258.28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45645</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20905</v>
      </c>
      <c r="C5" s="2509">
        <f ca="1">IF(B5=D14,结果表!H102,ROUND(B5*10000/$B$1,0))</f>
        <v>14662</v>
      </c>
      <c r="D5" s="2509" t="e">
        <f ca="1">ROUND(B5*10000/$B$2,0)</f>
        <v>#DIV/0!</v>
      </c>
      <c r="E5" s="2682"/>
      <c r="F5" s="2683"/>
      <c r="G5" s="2683"/>
      <c r="H5" s="2684"/>
      <c r="I5" s="2684"/>
      <c r="J5" s="2684"/>
      <c r="K5" s="2684"/>
    </row>
    <row r="6" spans="1:11" ht="16.5">
      <c r="A6" s="2509" t="s">
        <v>656</v>
      </c>
      <c r="B6" s="2509">
        <f ca="1">SUM(G14:G23)</f>
        <v>20905</v>
      </c>
      <c r="C6" s="2509">
        <f ca="1">IF(B6=G14,结果表!H108,ROUND(B6*10000/$B$1,0))</f>
        <v>14662</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18785</v>
      </c>
      <c r="C8" s="2509">
        <f ca="1">IF(B8=I14,结果表!H112,ROUND(B8*10000/$B$1,0))</f>
        <v>13175</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3352</v>
      </c>
      <c r="D10" s="2509" t="s">
        <v>3353</v>
      </c>
      <c r="E10" s="3437"/>
      <c r="F10" s="3441" t="s">
        <v>3354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14258.28</v>
      </c>
      <c r="C14" s="2515">
        <f>结果表!C118</f>
        <v>0</v>
      </c>
      <c r="D14" s="2515">
        <f ca="1">结果表!H118</f>
        <v>20905</v>
      </c>
      <c r="E14" s="2515">
        <f ca="1">ROUND(D14*10000/B14,0)</f>
        <v>14662</v>
      </c>
      <c r="F14" s="2515" t="e">
        <f ca="1">ROUND(D14*10000/C14,0)</f>
        <v>#DIV/0!</v>
      </c>
      <c r="G14" s="2515">
        <f ca="1">结果表!D122</f>
        <v>20905</v>
      </c>
      <c r="H14" s="2515"/>
      <c r="I14" s="2515">
        <f ca="1">结果表!Q59</f>
        <v>18785</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Normal="100" zoomScaleSheetLayoutView="100" zoomScalePageLayoutView="80" workbookViewId="0">
      <selection activeCell="J101" sqref="J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0" t="str">
        <f>项目基本情况!S2</f>
        <v>北京市石景山区五里坨西街11号院1号楼房地产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4" t="s">
        <v>1265</v>
      </c>
      <c r="B4" s="1755" t="s">
        <v>1266</v>
      </c>
      <c r="C4" s="1756" t="s">
        <v>3399</v>
      </c>
      <c r="D4" s="1756" t="s">
        <v>3424</v>
      </c>
      <c r="E4" s="3659" t="s">
        <v>1267</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5" t="s">
        <v>1268</v>
      </c>
      <c r="B5" s="3653">
        <v>25</v>
      </c>
      <c r="C5" s="3656"/>
      <c r="D5" s="3644"/>
      <c r="E5" s="131" t="s">
        <v>1269</v>
      </c>
      <c r="F5" s="1757"/>
      <c r="G5" s="1757"/>
      <c r="H5" s="1757"/>
      <c r="I5" s="1373"/>
    </row>
    <row r="6" spans="1:12" ht="12.75">
      <c r="A6" s="3595"/>
      <c r="B6" s="3653"/>
      <c r="C6" s="3658"/>
      <c r="D6" s="3644"/>
      <c r="E6" s="131" t="s">
        <v>1270</v>
      </c>
      <c r="F6" s="1757"/>
      <c r="G6" s="1757"/>
      <c r="H6" s="1757"/>
      <c r="I6" s="1373"/>
    </row>
    <row r="7" spans="1:12" ht="12.75">
      <c r="A7" s="3595"/>
      <c r="B7" s="3653"/>
      <c r="C7" s="3657"/>
      <c r="D7" s="3644"/>
      <c r="E7" s="131" t="s">
        <v>1271</v>
      </c>
      <c r="F7" s="1757"/>
      <c r="G7" s="1757"/>
      <c r="H7" s="1757"/>
      <c r="I7" s="1373"/>
    </row>
    <row r="8" spans="1:12" ht="12.75">
      <c r="A8" s="3595" t="s">
        <v>1272</v>
      </c>
      <c r="B8" s="3653">
        <v>15</v>
      </c>
      <c r="C8" s="3656"/>
      <c r="D8" s="3644"/>
      <c r="E8" s="131" t="s">
        <v>1273</v>
      </c>
      <c r="F8" s="1757"/>
      <c r="G8" s="1757"/>
      <c r="H8" s="1757"/>
      <c r="I8" s="1373"/>
    </row>
    <row r="9" spans="1:12" ht="12.75">
      <c r="A9" s="3595"/>
      <c r="B9" s="3653"/>
      <c r="C9" s="3657"/>
      <c r="D9" s="3644"/>
      <c r="E9" s="131" t="s">
        <v>1274</v>
      </c>
      <c r="F9" s="1757"/>
      <c r="G9" s="1757"/>
      <c r="H9" s="1757"/>
      <c r="I9" s="1373"/>
    </row>
    <row r="10" spans="1:12" ht="12.75">
      <c r="A10" s="3595" t="s">
        <v>1275</v>
      </c>
      <c r="B10" s="3653">
        <v>15</v>
      </c>
      <c r="C10" s="3656"/>
      <c r="D10" s="3644"/>
      <c r="E10" s="131" t="s">
        <v>1276</v>
      </c>
      <c r="F10" s="1757"/>
      <c r="G10" s="1757"/>
      <c r="H10" s="1757"/>
      <c r="I10" s="1373"/>
    </row>
    <row r="11" spans="1:12" ht="12.75">
      <c r="A11" s="3595"/>
      <c r="B11" s="3653"/>
      <c r="C11" s="3657"/>
      <c r="D11" s="3644"/>
      <c r="E11" s="131" t="s">
        <v>1277</v>
      </c>
      <c r="F11" s="1757"/>
      <c r="G11" s="1757"/>
      <c r="H11" s="1757"/>
      <c r="I11" s="1373"/>
    </row>
    <row r="12" spans="1:12" ht="12.75">
      <c r="A12" s="3595" t="s">
        <v>1278</v>
      </c>
      <c r="B12" s="3653">
        <v>15</v>
      </c>
      <c r="C12" s="3656"/>
      <c r="D12" s="3644"/>
      <c r="E12" s="131" t="s">
        <v>1279</v>
      </c>
      <c r="F12" s="1757"/>
      <c r="G12" s="1757"/>
      <c r="H12" s="1757"/>
      <c r="I12" s="1373"/>
    </row>
    <row r="13" spans="1:12" ht="12.75">
      <c r="A13" s="3595"/>
      <c r="B13" s="3653"/>
      <c r="C13" s="3657"/>
      <c r="D13" s="3644"/>
      <c r="E13" s="131" t="s">
        <v>1280</v>
      </c>
      <c r="F13" s="1757"/>
      <c r="G13" s="1757"/>
      <c r="H13" s="1757"/>
      <c r="I13" s="1373"/>
    </row>
    <row r="14" spans="1:12" ht="12.75">
      <c r="A14" s="3595" t="s">
        <v>1281</v>
      </c>
      <c r="B14" s="3653">
        <v>30</v>
      </c>
      <c r="C14" s="3656">
        <v>4</v>
      </c>
      <c r="D14" s="3644">
        <v>6</v>
      </c>
      <c r="E14" s="131" t="s">
        <v>1282</v>
      </c>
      <c r="F14" s="1757"/>
      <c r="G14" s="1757"/>
      <c r="H14" s="1757"/>
      <c r="I14" s="1373"/>
    </row>
    <row r="15" spans="1:12" ht="12.75">
      <c r="A15" s="3595"/>
      <c r="B15" s="3653"/>
      <c r="C15" s="3658"/>
      <c r="D15" s="3644"/>
      <c r="E15" s="131" t="s">
        <v>1283</v>
      </c>
      <c r="F15" s="1757"/>
      <c r="G15" s="1757"/>
      <c r="H15" s="1757"/>
      <c r="I15" s="1373"/>
    </row>
    <row r="16" spans="1:12" ht="12.75">
      <c r="A16" s="3595"/>
      <c r="B16" s="3653"/>
      <c r="C16" s="3657"/>
      <c r="D16" s="364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75" t="s">
        <v>2131</v>
      </c>
      <c r="F18" s="3676"/>
      <c r="G18" s="3676"/>
      <c r="H18" s="3676"/>
      <c r="I18" s="3676"/>
      <c r="K18" s="302" t="s">
        <v>1289</v>
      </c>
      <c r="L18" s="302">
        <f>IF(C1="",'数据-汇总表'!E3,SUMIF(项目类型,C1,'数据-汇总表'!E17:E26)+SUMIF(项目类型,C1,'数据-汇总表'!I17:I26))</f>
        <v>14258.28</v>
      </c>
      <c r="M18" s="302">
        <f>IF(C1="",'数据-汇总表'!E3,SUMIF(项目类型,C1,'数据-汇总表'!E17:E26))</f>
        <v>14258.28</v>
      </c>
    </row>
    <row r="19" spans="1:36" ht="15">
      <c r="A19" s="1761" t="s">
        <v>1290</v>
      </c>
      <c r="B19" s="1762" t="s">
        <v>1291</v>
      </c>
      <c r="C19" s="134">
        <f ca="1">SUMIF(INDIRECT("'"&amp;C4&amp;"'"&amp;"!A:A"),结果表!B19,INDIRECT("'"&amp;C4&amp;"'"&amp;"!B:B"))</f>
        <v>25917</v>
      </c>
      <c r="D19" s="135">
        <f ca="1">SUMIF(INDIRECT("'"&amp;D4&amp;"'"&amp;"!A:A"),结果表!B19,INDIRECT("'"&amp;D4&amp;"'"&amp;"!B:B"))</f>
        <v>17563</v>
      </c>
      <c r="E19" s="1761" t="s">
        <v>1292</v>
      </c>
      <c r="F19" s="1762" t="s">
        <v>1291</v>
      </c>
      <c r="G19" s="136">
        <f ca="1">ROUND(C19*$C$18+D19*$D$18,0)</f>
        <v>20905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18177</v>
      </c>
      <c r="D20" s="138">
        <f ca="1">SUMIF(INDIRECT("'"&amp;D4&amp;"'"&amp;"!A:A"),结果表!B20,INDIRECT("'"&amp;D4&amp;"'"&amp;"!B:B"))</f>
        <v>12318</v>
      </c>
      <c r="E20" s="1764"/>
      <c r="F20" s="1026" t="s">
        <v>1295</v>
      </c>
      <c r="G20" s="139">
        <f ca="1">ROUND(C20*$C$18+D20*$D$18,0)</f>
        <v>14662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48"/>
    </row>
    <row r="22" spans="1:36" ht="15" thickBot="1">
      <c r="A22" s="1688" t="s">
        <v>1298</v>
      </c>
      <c r="B22" s="1767"/>
      <c r="C22" s="1768"/>
      <c r="D22" s="721">
        <f ca="1">IF(C19&lt;D19,D19/C19-1,C19/D19-1)</f>
        <v>0.47565905596993674</v>
      </c>
      <c r="E22" s="129"/>
      <c r="F22" s="129"/>
      <c r="G22" s="129"/>
      <c r="H22" s="129"/>
      <c r="I22" s="129"/>
      <c r="J22" s="3448"/>
    </row>
    <row r="23" spans="1:36" ht="13.5" thickBot="1">
      <c r="A23" s="1747"/>
      <c r="B23" s="1747"/>
      <c r="C23" s="1747"/>
      <c r="D23" s="1747"/>
      <c r="E23" s="129"/>
      <c r="F23" s="129"/>
      <c r="G23" s="129"/>
      <c r="H23" s="129"/>
      <c r="I23" s="129"/>
    </row>
    <row r="24" spans="1:36" ht="14.25">
      <c r="A24" s="3668" t="s">
        <v>1299</v>
      </c>
      <c r="B24" s="1762" t="s">
        <v>1291</v>
      </c>
      <c r="C24" s="136">
        <f>IF(B30=0,0,D30)</f>
        <v>0</v>
      </c>
      <c r="D24" s="1769"/>
      <c r="E24" s="129"/>
      <c r="F24" s="129"/>
      <c r="G24" s="129"/>
      <c r="H24" s="129"/>
      <c r="I24" s="129"/>
    </row>
    <row r="25" spans="1:36" ht="14.25">
      <c r="A25" s="36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20905</v>
      </c>
      <c r="D32" s="1775" t="s">
        <v>3400</v>
      </c>
      <c r="E32" s="129"/>
      <c r="F32" s="129"/>
      <c r="G32" s="129"/>
      <c r="H32" s="129"/>
      <c r="I32" s="129"/>
    </row>
    <row r="33" spans="1:15" ht="15">
      <c r="A33" s="786" t="s">
        <v>1306</v>
      </c>
      <c r="B33" s="1776"/>
      <c r="C33" s="1777" t="s">
        <v>3401</v>
      </c>
      <c r="D33" s="1778" t="s">
        <v>3399</v>
      </c>
      <c r="E33" s="1779" t="s">
        <v>1307</v>
      </c>
      <c r="F33" s="1780" t="str">
        <f>IF(D32="楼面单价","取值（单价）","取值（总价）")</f>
        <v>取值（总价）</v>
      </c>
      <c r="G33" s="129"/>
      <c r="H33" s="129"/>
      <c r="I33" s="129"/>
    </row>
    <row r="34" spans="1:15" ht="15">
      <c r="A34" s="1781"/>
      <c r="B34" s="1782" t="s">
        <v>1308</v>
      </c>
      <c r="C34" s="148">
        <f ca="1">IF(C33="自定义",F34,C32-C35)</f>
        <v>14404</v>
      </c>
      <c r="D34" s="861">
        <f ca="1">IF(C33="自定义",ROUND(C34/C32,3),IF(C33="收益比率",SUMIF(INDIRECT("'"&amp;D33&amp;"'"&amp;"!b:b"),"土地收益比率",INDIRECT("'"&amp;D33&amp;"'"&amp;"!c:c")),SUMIF(INDIRECT("'"&amp;D33&amp;"'"&amp;"!b:b"),"土地成本比率",INDIRECT("'"&amp;D33&amp;"'"&amp;"!c:c"))))</f>
        <v>0.68900000000000006</v>
      </c>
      <c r="E34" s="1783" t="s">
        <v>1309</v>
      </c>
      <c r="F34" s="1330"/>
      <c r="G34" s="129"/>
      <c r="H34" s="129"/>
      <c r="I34" s="129"/>
    </row>
    <row r="35" spans="1:15" ht="15.75" thickBot="1">
      <c r="A35" s="1784"/>
      <c r="B35" s="1785" t="s">
        <v>1310</v>
      </c>
      <c r="C35" s="1170">
        <f ca="1">IF(C33="自定义",F35,ROUND(C32*D35,0))</f>
        <v>6501</v>
      </c>
      <c r="D35" s="1171">
        <f ca="1">IF(C33="自定义",ROUND(C35/C32,3),IF(C33="收益比率",SUMIF(INDIRECT("'"&amp;D33&amp;"'"&amp;"!b:b"),"建筑物收益比率",INDIRECT("'"&amp;D33&amp;"'"&amp;"!c:c")),SUMIF(INDIRECT("'"&amp;D33&amp;"'"&amp;"!b:b"),"建筑物成本比率",INDIRECT("'"&amp;D33&amp;"'"&amp;"!c:c"))))</f>
        <v>0.311</v>
      </c>
      <c r="E35" s="1786" t="s">
        <v>1311</v>
      </c>
      <c r="F35" s="154"/>
      <c r="G35" s="129"/>
      <c r="H35" s="129"/>
      <c r="I35" s="129"/>
    </row>
    <row r="36" spans="1:15" ht="15.75" thickBot="1">
      <c r="A36" s="3645" t="s">
        <v>1312</v>
      </c>
      <c r="B36" s="1787" t="s">
        <v>1313</v>
      </c>
      <c r="C36" s="145"/>
      <c r="D36" s="1788"/>
      <c r="E36" s="1789"/>
      <c r="F36" s="1790"/>
      <c r="G36" s="129"/>
      <c r="H36" s="129"/>
      <c r="I36" s="129"/>
    </row>
    <row r="37" spans="1:15" ht="15.75" thickBot="1">
      <c r="A37" s="3646"/>
      <c r="B37" s="1674" t="s">
        <v>1314</v>
      </c>
      <c r="C37" s="147"/>
      <c r="D37" s="1139"/>
      <c r="E37" s="1139"/>
      <c r="F37" s="1790"/>
      <c r="G37" s="129"/>
      <c r="H37" s="129"/>
      <c r="I37" s="129"/>
    </row>
    <row r="38" spans="1:15" ht="15.75" thickBot="1">
      <c r="A38" s="364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5" t="s">
        <v>1326</v>
      </c>
      <c r="B45" s="3666"/>
      <c r="C45" s="3667"/>
      <c r="D45" s="155">
        <f ca="1">ROUND(H101*F45,0)</f>
        <v>20905</v>
      </c>
      <c r="E45" s="156" t="s">
        <v>1327</v>
      </c>
      <c r="F45" s="157">
        <v>1</v>
      </c>
      <c r="G45" s="158" t="s">
        <v>1328</v>
      </c>
      <c r="H45" s="129"/>
      <c r="I45" s="129"/>
      <c r="J45" s="3582" t="s">
        <v>1329</v>
      </c>
      <c r="K45" s="3582"/>
      <c r="L45" s="3582"/>
      <c r="M45" s="3582"/>
      <c r="N45" s="3582"/>
      <c r="O45" s="3582"/>
    </row>
    <row r="46" spans="1:15" ht="14.25" customHeight="1">
      <c r="A46" s="3662" t="s">
        <v>1330</v>
      </c>
      <c r="B46" s="3663"/>
      <c r="C46" s="3663"/>
      <c r="D46" s="3663"/>
      <c r="E46" s="3663"/>
      <c r="F46" s="3663"/>
      <c r="G46" s="3664"/>
      <c r="H46" s="1806"/>
      <c r="I46" s="159"/>
      <c r="J46" s="2520">
        <v>1</v>
      </c>
      <c r="K46" s="3583" t="s">
        <v>1331</v>
      </c>
      <c r="L46" s="3583"/>
      <c r="M46" s="3584"/>
      <c r="N46" s="3584"/>
      <c r="O46" s="3584"/>
    </row>
    <row r="47" spans="1:15" ht="12" customHeight="1">
      <c r="A47" s="160" t="s">
        <v>1332</v>
      </c>
      <c r="B47" s="161"/>
      <c r="C47" s="162"/>
      <c r="D47" s="1087" t="s">
        <v>1333</v>
      </c>
      <c r="E47" s="302" t="s">
        <v>1334</v>
      </c>
      <c r="F47" s="163" t="s">
        <v>1335</v>
      </c>
      <c r="G47" s="2543" t="s">
        <v>1336</v>
      </c>
      <c r="H47" s="2544"/>
      <c r="I47" s="159"/>
      <c r="J47" s="2520">
        <v>2</v>
      </c>
      <c r="K47" s="3583" t="s">
        <v>1337</v>
      </c>
      <c r="L47" s="3583"/>
      <c r="M47" s="3585">
        <f>'数据-取费表'!B2</f>
        <v>45645</v>
      </c>
      <c r="N47" s="3585"/>
      <c r="O47" s="3585"/>
    </row>
    <row r="48" spans="1:15" ht="25.5">
      <c r="A48" s="3648" t="s">
        <v>1338</v>
      </c>
      <c r="B48" s="3649"/>
      <c r="C48" s="3649"/>
      <c r="D48" s="2324">
        <f ca="1">IF(H48="情况1",0,IF(H48="情况2",D52,IF(H48="情况3",D53,IF(H48="情况4",D54))))</f>
        <v>1115</v>
      </c>
      <c r="E48" s="2334" t="str">
        <f>IF(H48="情况4","(销售额-原购置价)×税（费）率","销售额×税（费）率")</f>
        <v>销售额×税（费）率</v>
      </c>
      <c r="F48" s="2545">
        <f>IF(H48="情况1","免征",'数据-取费表'!B41)</f>
        <v>5.6000000000000001E-2</v>
      </c>
      <c r="G48" s="2546" t="s">
        <v>1339</v>
      </c>
      <c r="H48" s="2547" t="s">
        <v>3402</v>
      </c>
      <c r="I48" s="1806"/>
      <c r="J48" s="2520">
        <v>3</v>
      </c>
      <c r="K48" s="3583" t="s">
        <v>1340</v>
      </c>
      <c r="L48" s="3583"/>
      <c r="M48" s="3586">
        <f ca="1">H101</f>
        <v>20905</v>
      </c>
      <c r="N48" s="3586"/>
      <c r="O48" s="3586"/>
    </row>
    <row r="49" spans="1:35" ht="25.5" customHeight="1">
      <c r="A49" s="2333" t="s">
        <v>1341</v>
      </c>
      <c r="B49" s="3634" t="s">
        <v>1342</v>
      </c>
      <c r="C49" s="3634"/>
      <c r="D49" s="1590">
        <v>0</v>
      </c>
      <c r="E49" s="324" t="s">
        <v>1343</v>
      </c>
      <c r="F49" s="2423" t="s">
        <v>28</v>
      </c>
      <c r="G49" s="3617"/>
      <c r="H49" s="2310" t="s">
        <v>2134</v>
      </c>
      <c r="I49" s="2311"/>
      <c r="J49" s="2520">
        <v>4</v>
      </c>
      <c r="K49" s="3583" t="str">
        <f>IF(项目基本情况!E8="房地产抵押价值","房地产抵押价值","抵押担保权已注销时的房地产抵押价值")</f>
        <v>房地产抵押价值</v>
      </c>
      <c r="L49" s="3583"/>
      <c r="M49" s="3586">
        <f ca="1">IF(项目基本情况!E8="房地产抵押价值",H107,H109)</f>
        <v>20905</v>
      </c>
      <c r="N49" s="3586"/>
      <c r="O49" s="3586"/>
    </row>
    <row r="50" spans="1:35" ht="25.5" customHeight="1">
      <c r="A50" s="2548"/>
      <c r="B50" s="3634" t="s">
        <v>1344</v>
      </c>
      <c r="C50" s="3634"/>
      <c r="D50" s="2549"/>
      <c r="E50" s="332"/>
      <c r="F50" s="2423"/>
      <c r="G50" s="3618"/>
      <c r="H50" s="2312" t="s">
        <v>2135</v>
      </c>
      <c r="I50" s="2311"/>
      <c r="J50" s="3582" t="s">
        <v>1345</v>
      </c>
      <c r="K50" s="3582"/>
      <c r="L50" s="3582"/>
      <c r="M50" s="3582"/>
      <c r="N50" s="3582"/>
      <c r="O50" s="3582"/>
    </row>
    <row r="51" spans="1:35" ht="20.45" customHeight="1">
      <c r="A51" s="2550"/>
      <c r="B51" s="3634" t="s">
        <v>1346</v>
      </c>
      <c r="C51" s="3634"/>
      <c r="D51" s="1087"/>
      <c r="E51" s="327"/>
      <c r="F51" s="2423"/>
      <c r="G51" s="3619"/>
      <c r="H51" s="2312" t="s">
        <v>2136</v>
      </c>
      <c r="I51" s="2311"/>
      <c r="J51" s="2521" t="s">
        <v>1347</v>
      </c>
      <c r="K51" s="3583" t="s">
        <v>1348</v>
      </c>
      <c r="L51" s="3583"/>
      <c r="M51" s="2521" t="s">
        <v>1349</v>
      </c>
      <c r="N51" s="2521" t="s">
        <v>1350</v>
      </c>
      <c r="O51" s="2521" t="s">
        <v>1351</v>
      </c>
    </row>
    <row r="52" spans="1:35" ht="24" customHeight="1">
      <c r="A52" s="2335" t="s">
        <v>1352</v>
      </c>
      <c r="B52" s="3634" t="s">
        <v>1353</v>
      </c>
      <c r="C52" s="3634"/>
      <c r="D52" s="1087">
        <f ca="1">ROUND(D45*'数据-取费表'!B41/(1+'数据-取费表'!C42),0)</f>
        <v>1115</v>
      </c>
      <c r="E52" s="2334" t="s">
        <v>1354</v>
      </c>
      <c r="F52" s="2551">
        <f>'数据-取费表'!B41</f>
        <v>5.6000000000000001E-2</v>
      </c>
      <c r="G52" s="2552"/>
      <c r="H52" s="2541"/>
      <c r="I52" s="1807"/>
      <c r="J52" s="2520">
        <v>1</v>
      </c>
      <c r="K52" s="3611" t="s">
        <v>1355</v>
      </c>
      <c r="L52" s="3611"/>
      <c r="M52" s="2522">
        <f ca="1">D48</f>
        <v>1115</v>
      </c>
      <c r="N52" s="2520" t="str">
        <f>E48</f>
        <v>销售额×税（费）率</v>
      </c>
      <c r="O52" s="2523">
        <f>F48</f>
        <v>5.6000000000000001E-2</v>
      </c>
    </row>
    <row r="53" spans="1:35" ht="12" customHeight="1">
      <c r="A53" s="2335" t="s">
        <v>1356</v>
      </c>
      <c r="B53" s="3635" t="s">
        <v>2287</v>
      </c>
      <c r="C53" s="3636"/>
      <c r="D53" s="1087">
        <f ca="1">ROUND(D45*'数据-取费表'!B41/(1+'数据-取费表'!C42),0)</f>
        <v>1115</v>
      </c>
      <c r="E53" s="2334" t="s">
        <v>1354</v>
      </c>
      <c r="F53" s="2551">
        <f>'数据-取费表'!B41</f>
        <v>5.6000000000000001E-2</v>
      </c>
      <c r="G53" s="2552"/>
      <c r="H53" s="2541"/>
      <c r="I53" s="1807"/>
      <c r="J53" s="2520">
        <v>2</v>
      </c>
      <c r="K53" s="3611" t="s">
        <v>1357</v>
      </c>
      <c r="L53" s="3611"/>
      <c r="M53" s="2522">
        <f t="shared" ref="M53:O54" ca="1" si="0">D55</f>
        <v>10</v>
      </c>
      <c r="N53" s="2520" t="str">
        <f t="shared" si="0"/>
        <v>销售额×税（费）率</v>
      </c>
      <c r="O53" s="2523">
        <f t="shared" si="0"/>
        <v>5.0000000000000001E-4</v>
      </c>
    </row>
    <row r="54" spans="1:35" ht="12" customHeight="1">
      <c r="A54" s="2335" t="s">
        <v>1358</v>
      </c>
      <c r="B54" s="3635" t="s">
        <v>2288</v>
      </c>
      <c r="C54" s="3636"/>
      <c r="D54" s="1087">
        <f ca="1">C68</f>
        <v>1115</v>
      </c>
      <c r="E54" s="327" t="s">
        <v>1359</v>
      </c>
      <c r="F54" s="2551">
        <f>'数据-取费表'!B41</f>
        <v>5.6000000000000001E-2</v>
      </c>
      <c r="G54" s="2552"/>
      <c r="H54" s="2553"/>
      <c r="I54" s="1807"/>
      <c r="J54" s="2520">
        <v>3</v>
      </c>
      <c r="K54" s="3611" t="s">
        <v>1360</v>
      </c>
      <c r="L54" s="3611"/>
      <c r="M54" s="2522">
        <f t="shared" ca="1" si="0"/>
        <v>5310</v>
      </c>
      <c r="N54" s="2520" t="str">
        <f t="shared" si="0"/>
        <v>增值额×税（费）率</v>
      </c>
      <c r="O54" s="2524" t="str">
        <f t="shared" si="0"/>
        <v>——</v>
      </c>
      <c r="Q54" s="725">
        <f ca="1">ROUND(M49/1.05*0.05,0)</f>
        <v>995</v>
      </c>
    </row>
    <row r="55" spans="1:35" ht="24" customHeight="1">
      <c r="A55" s="3671" t="s">
        <v>1361</v>
      </c>
      <c r="B55" s="3649"/>
      <c r="C55" s="3649"/>
      <c r="D55" s="2324">
        <f ca="1">IF(H55="个人住宅",0,ROUND(D45*I55,0))</f>
        <v>10</v>
      </c>
      <c r="E55" s="2334" t="s">
        <v>1362</v>
      </c>
      <c r="F55" s="2551">
        <f>IF(H55="正常",I55,"免征")</f>
        <v>5.0000000000000001E-4</v>
      </c>
      <c r="G55" s="2552"/>
      <c r="H55" s="2547" t="s">
        <v>3403</v>
      </c>
      <c r="I55" s="165">
        <f>'数据-取费表'!B49</f>
        <v>5.0000000000000001E-4</v>
      </c>
      <c r="J55" s="2520" t="str">
        <f>IF(H59="非个人房产","",4)</f>
        <v/>
      </c>
      <c r="K55" s="3611" t="str">
        <f>IF(H59="非个人房产","——","个人所得税")</f>
        <v>——</v>
      </c>
      <c r="L55" s="3611"/>
      <c r="M55" s="2525" t="str">
        <f>D59</f>
        <v>——</v>
      </c>
      <c r="N55" s="2040" t="str">
        <f>E59</f>
        <v>——</v>
      </c>
      <c r="O55" s="2526" t="str">
        <f>F59</f>
        <v>——</v>
      </c>
    </row>
    <row r="56" spans="1:35" ht="24.75">
      <c r="A56" s="3671" t="s">
        <v>1363</v>
      </c>
      <c r="B56" s="3649"/>
      <c r="C56" s="3649"/>
      <c r="D56" s="2324">
        <f ca="1">IF(H56="个人住宅",D57,D58)</f>
        <v>5310</v>
      </c>
      <c r="E56" s="2334" t="s">
        <v>1364</v>
      </c>
      <c r="F56" s="2551" t="str">
        <f>IF(H56="正常",F58,"免征")</f>
        <v>——</v>
      </c>
      <c r="G56" s="2554" t="s">
        <v>1365</v>
      </c>
      <c r="H56" s="2555" t="s">
        <v>3403</v>
      </c>
      <c r="I56" s="1808"/>
      <c r="J56" s="2520" t="str">
        <f>IF(项目基本情况!K6="上海银行",IF(J55="",4,J55+1),"")</f>
        <v/>
      </c>
      <c r="K56" s="3589" t="str">
        <f>IF(项目基本情况!K6="上海银行","其他处置费用","")</f>
        <v/>
      </c>
      <c r="L56" s="3590"/>
      <c r="M56" s="2522" t="str">
        <f>IF(项目基本情况!K6="上海银行",M69,"")</f>
        <v/>
      </c>
      <c r="N56" s="3589" t="str">
        <f>IF(项目基本情况!K6="上海银行","包含处置中涉及的律师、诉讼、拍卖、评估等费用","")</f>
        <v/>
      </c>
      <c r="O56" s="3592"/>
    </row>
    <row r="57" spans="1:35" ht="12.75">
      <c r="A57" s="2335" t="s">
        <v>1341</v>
      </c>
      <c r="B57" s="3635" t="s">
        <v>1366</v>
      </c>
      <c r="C57" s="3636"/>
      <c r="D57" s="1590">
        <v>0</v>
      </c>
      <c r="E57" s="324" t="s">
        <v>1343</v>
      </c>
      <c r="F57" s="302"/>
      <c r="G57" s="2552"/>
      <c r="H57" s="2556"/>
      <c r="I57" s="1808"/>
      <c r="J57" s="3611">
        <f>IF(AND(J55="",J56=""),4,IF(项目基本情况!K6="上海银行",结果表!J56+1,结果表!J55+1))</f>
        <v>4</v>
      </c>
      <c r="K57" s="3611" t="s">
        <v>1367</v>
      </c>
      <c r="L57" s="2527" t="s">
        <v>1368</v>
      </c>
      <c r="M57" s="2528"/>
      <c r="N57" s="2529">
        <f ca="1">SUMIF(M52:M56,"&lt;9e307")</f>
        <v>6435</v>
      </c>
      <c r="O57" s="2530"/>
      <c r="P57" s="2686">
        <f ca="1">N57/M49</f>
        <v>0.30782109543171488</v>
      </c>
      <c r="Q57" s="725">
        <f ca="1">M52+M53+Q54</f>
        <v>2120</v>
      </c>
    </row>
    <row r="58" spans="1:35" ht="24.75">
      <c r="A58" s="2335" t="s">
        <v>1352</v>
      </c>
      <c r="B58" s="3635" t="s">
        <v>1369</v>
      </c>
      <c r="C58" s="3634"/>
      <c r="D58" s="2324">
        <f ca="1">IF(H58="转让取得",C81,C97)</f>
        <v>5310</v>
      </c>
      <c r="E58" s="2334" t="s">
        <v>1364</v>
      </c>
      <c r="F58" s="302" t="s">
        <v>28</v>
      </c>
      <c r="G58" s="2552"/>
      <c r="H58" s="2555" t="s">
        <v>3404</v>
      </c>
      <c r="I58" s="1808"/>
      <c r="J58" s="3611"/>
      <c r="K58" s="3611"/>
      <c r="L58" s="2527" t="s">
        <v>1370</v>
      </c>
      <c r="M58" s="2531"/>
      <c r="N58" s="2532" t="str">
        <f ca="1">NUMBERSTRING(INT(N57*10000),2)&amp;"元整"</f>
        <v>陆仟肆佰叁拾伍万元整</v>
      </c>
      <c r="O58" s="2533"/>
    </row>
    <row r="59" spans="1:35" ht="24.75" thickBot="1">
      <c r="A59" s="3615" t="s">
        <v>1371</v>
      </c>
      <c r="B59" s="3616"/>
      <c r="C59" s="361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3405</v>
      </c>
      <c r="I59" s="2313" t="s">
        <v>2137</v>
      </c>
      <c r="J59" s="3613">
        <f>J57+1</f>
        <v>5</v>
      </c>
      <c r="K59" s="3611" t="s">
        <v>1372</v>
      </c>
      <c r="L59" s="2520" t="s">
        <v>1368</v>
      </c>
      <c r="M59" s="2534"/>
      <c r="N59" s="2535">
        <f ca="1">M49-N57</f>
        <v>14470</v>
      </c>
      <c r="O59" s="2536"/>
      <c r="Q59" s="725">
        <f ca="1">M49-Q57</f>
        <v>18785</v>
      </c>
    </row>
    <row r="60" spans="1:35" ht="12" customHeight="1">
      <c r="A60" s="1809"/>
      <c r="B60" s="1747"/>
      <c r="C60" s="1747"/>
      <c r="D60" s="1747"/>
      <c r="E60" s="1578"/>
      <c r="F60" s="1808"/>
      <c r="G60" s="1808"/>
      <c r="H60" s="1810"/>
      <c r="I60" s="129"/>
      <c r="J60" s="3614"/>
      <c r="K60" s="3611"/>
      <c r="L60" s="2527" t="s">
        <v>1370</v>
      </c>
      <c r="M60" s="2531"/>
      <c r="N60" s="2532" t="str">
        <f ca="1">NUMBERSTRING(INT(N59*10000),2)&amp;"元整"</f>
        <v>壹亿肆仟肆佰柒拾万元整</v>
      </c>
      <c r="O60" s="2533"/>
      <c r="Q60" s="3450" t="str">
        <f ca="1">NUMBERSTRING(INT(Q59*10000),2)&amp;"元整"</f>
        <v>壹亿捌仟柒佰捌拾伍万元整</v>
      </c>
    </row>
    <row r="61" spans="1:35" ht="13.5" thickBot="1">
      <c r="A61" s="3670" t="s">
        <v>1373</v>
      </c>
      <c r="B61" s="3670"/>
      <c r="C61" s="3670"/>
      <c r="D61" s="3670"/>
      <c r="E61" s="3670"/>
      <c r="F61" s="1808"/>
      <c r="G61" s="1808"/>
      <c r="H61" s="1810"/>
      <c r="I61" s="129"/>
      <c r="J61" s="2520">
        <f>J59+1</f>
        <v>6</v>
      </c>
      <c r="K61" s="3611" t="s">
        <v>1374</v>
      </c>
      <c r="L61" s="3611"/>
      <c r="M61" s="2537"/>
      <c r="N61" s="2538">
        <f ca="1">ROUND(N59*10000/'数据-汇总表'!E3,0)</f>
        <v>10148</v>
      </c>
      <c r="O61" s="2539"/>
      <c r="Q61" s="3451">
        <f ca="1">ROUND(Q59*10000/'数据-汇总表'!E3,0)</f>
        <v>13175</v>
      </c>
    </row>
    <row r="62" spans="1:35" ht="12.75">
      <c r="A62" s="3630" t="s">
        <v>1375</v>
      </c>
      <c r="B62" s="3631"/>
      <c r="C62" s="2021"/>
      <c r="D62" s="2021" t="s">
        <v>1376</v>
      </c>
      <c r="E62" s="166" t="s">
        <v>1377</v>
      </c>
      <c r="F62" s="1808"/>
      <c r="G62" s="1808"/>
      <c r="H62" s="1810"/>
      <c r="I62" s="129"/>
    </row>
    <row r="63" spans="1:35" ht="12.75">
      <c r="A63" s="173" t="s">
        <v>330</v>
      </c>
      <c r="B63" s="167" t="s">
        <v>1378</v>
      </c>
      <c r="C63" s="2561">
        <f ca="1">ROUND((C64+C65)/(1+'数据-取费表'!C42),0)</f>
        <v>19910</v>
      </c>
      <c r="D63" s="167"/>
      <c r="E63" s="168"/>
      <c r="F63" s="1808"/>
      <c r="G63" s="1808"/>
      <c r="H63" s="1810"/>
      <c r="I63" s="129"/>
      <c r="J63" s="3591" t="s">
        <v>1379</v>
      </c>
      <c r="K63" s="1332" t="s">
        <v>1380</v>
      </c>
      <c r="L63" s="1332">
        <f ca="1">IF(M49&gt;10000,M49*0.5%,IF(AND(M49&gt;1000,M49&lt;=10000),M49*1%,IF(AND(M49&gt;100,M49&lt;=1000),M49*3%,IF(AND(M49&gt;10,M49&lt;=100),M49*5%,M49*8%))))</f>
        <v>104.52500000000001</v>
      </c>
      <c r="M63" s="302">
        <f ca="1">ROUND(L63,1)</f>
        <v>104.5</v>
      </c>
      <c r="N63" s="2540"/>
      <c r="Z63" s="1752"/>
      <c r="AI63" s="1753"/>
    </row>
    <row r="64" spans="1:35" ht="14.25" customHeight="1">
      <c r="A64" s="169" t="s">
        <v>325</v>
      </c>
      <c r="B64" s="170" t="s">
        <v>1381</v>
      </c>
      <c r="C64" s="2562">
        <f ca="1">D45</f>
        <v>20905</v>
      </c>
      <c r="D64" s="170" t="s">
        <v>26</v>
      </c>
      <c r="E64" s="172"/>
      <c r="F64" s="1808"/>
      <c r="G64" s="1808"/>
      <c r="H64" s="1810"/>
      <c r="I64" s="129"/>
      <c r="J64" s="3591"/>
      <c r="K64" s="1332" t="s">
        <v>1382</v>
      </c>
      <c r="L64" s="1332">
        <f ca="1">IF(M49&gt;2000,M49*0.5%,IF(AND(M49&gt;1000,M49&lt;=2000),M49*0.6%,IF(AND(M49&gt;500,M49&lt;=1000),M49*0.7%,IF(AND(M49&gt;200,M49&lt;=500),M49*0.8%,IF(AND(M49&gt;100,M49&lt;=200),M49*0.9%,IF(AND(M49&gt;50,M49&lt;=100),M49*1%,IF(AND(M49&gt;20,M49&lt;=50),M49*1.5%,IF(AND(M49&gt;10,M49&lt;=20),M49*2%,IF(AND(M49&gt;1,M49&lt;=10),M49*2.5%)))))))))</f>
        <v>104.52500000000001</v>
      </c>
      <c r="M64" s="302">
        <f t="shared" ref="M64:M65" ca="1" si="1">ROUND(L64,1)</f>
        <v>104.5</v>
      </c>
      <c r="N64" s="2541" t="s">
        <v>1383</v>
      </c>
      <c r="Z64" s="1752"/>
      <c r="AI64" s="1753"/>
    </row>
    <row r="65" spans="1:35" ht="14.25" customHeight="1">
      <c r="A65" s="169" t="s">
        <v>326</v>
      </c>
      <c r="B65" s="170" t="s">
        <v>1384</v>
      </c>
      <c r="C65" s="2563"/>
      <c r="D65" s="170"/>
      <c r="E65" s="172"/>
      <c r="F65" s="1808"/>
      <c r="G65" s="1808"/>
      <c r="H65" s="1810"/>
      <c r="I65" s="129"/>
      <c r="J65" s="3591"/>
      <c r="K65" s="1332" t="s">
        <v>1385</v>
      </c>
      <c r="L65" s="1332">
        <f ca="1">IF(M49&gt;1000,M49*0.1%,IF(AND(M49&gt;500,M49&lt;=1000),M49*0.5%,IF(AND(M49&gt;50,M49&lt;=500),M49*1%,IF(AND(M49&gt;1,M49&lt;=50),M49*1.5%))))</f>
        <v>20.905000000000001</v>
      </c>
      <c r="M65" s="302">
        <f t="shared" ca="1" si="1"/>
        <v>20.9</v>
      </c>
      <c r="N65" s="2541" t="s">
        <v>1383</v>
      </c>
      <c r="Z65" s="1752"/>
      <c r="AI65" s="1753"/>
    </row>
    <row r="66" spans="1:35" ht="14.25" customHeight="1">
      <c r="A66" s="173" t="s">
        <v>327</v>
      </c>
      <c r="B66" s="174" t="s">
        <v>1386</v>
      </c>
      <c r="C66" s="2564"/>
      <c r="D66" s="174" t="s">
        <v>26</v>
      </c>
      <c r="E66" s="1338" t="s">
        <v>671</v>
      </c>
      <c r="F66" s="1808"/>
      <c r="G66" s="1808"/>
      <c r="H66" s="1810"/>
      <c r="I66" s="129"/>
      <c r="J66" s="3591"/>
      <c r="K66" s="1332" t="s">
        <v>1387</v>
      </c>
      <c r="L66" s="1332">
        <f ca="1">M49*0.5%</f>
        <v>104.52500000000001</v>
      </c>
      <c r="M66" s="302">
        <f ca="1">IF(L66&gt;0.5,0.5,ROUND(L66,0))</f>
        <v>0.5</v>
      </c>
      <c r="N66" s="2541" t="s">
        <v>1388</v>
      </c>
      <c r="Z66" s="1752"/>
      <c r="AI66" s="1753"/>
    </row>
    <row r="67" spans="1:35" ht="14.25" customHeight="1">
      <c r="A67" s="173" t="s">
        <v>328</v>
      </c>
      <c r="B67" s="174" t="s">
        <v>1389</v>
      </c>
      <c r="C67" s="2565">
        <f ca="1">C63-C66</f>
        <v>19910</v>
      </c>
      <c r="D67" s="170" t="s">
        <v>26</v>
      </c>
      <c r="E67" s="172"/>
      <c r="F67" s="1808"/>
      <c r="G67" s="1808"/>
      <c r="H67" s="1810"/>
      <c r="I67" s="129"/>
      <c r="J67" s="3591"/>
      <c r="K67" s="1332" t="s">
        <v>1390</v>
      </c>
      <c r="L67" s="1332">
        <f ca="1">IF(M49&gt;=10000,(8.25+(M49-10000)*0.01%),IF(AND(M49&gt;=8000,M49&lt;10000),(7.85+(M49-8000)*0.02%),IF(AND(M49&gt;=5000,M49&lt;8000),(6.65+(M49-5000)*0.04%),IF(AND(M49&gt;=2000,M49&lt;5000),(4.25+(PM49-2000)*0.08%),IF(AND(M49&gt;=1000,M49&lt;2000),(2.75+(M49-1000)*0.15%),IF(AND(M49&gt;=100,M49&lt;1000),(0.5+(M49-100)*0.25%),IF(AND(M49&gt;0,M49&lt;100),M49*0.5%)))))))</f>
        <v>9.3405000000000005</v>
      </c>
      <c r="M67" s="302">
        <f ca="1">ROUND(L67*0.9,1)</f>
        <v>8.4</v>
      </c>
      <c r="N67" s="2540"/>
      <c r="Z67" s="1752"/>
      <c r="AI67" s="1753"/>
    </row>
    <row r="68" spans="1:35" ht="14.25" customHeight="1" thickBot="1">
      <c r="A68" s="176" t="s">
        <v>329</v>
      </c>
      <c r="B68" s="177" t="s">
        <v>1391</v>
      </c>
      <c r="C68" s="2566">
        <f ca="1">IF(C67&lt;=0,0,ROUND(C67*D68,0))</f>
        <v>1115</v>
      </c>
      <c r="D68" s="2567">
        <f>'数据-取费表'!B41</f>
        <v>5.6000000000000001E-2</v>
      </c>
      <c r="E68" s="178"/>
      <c r="F68" s="1808"/>
      <c r="G68" s="1808"/>
      <c r="H68" s="1810"/>
      <c r="I68" s="129"/>
      <c r="J68" s="3591"/>
      <c r="K68" s="1332" t="s">
        <v>1392</v>
      </c>
      <c r="L68" s="1332">
        <f ca="1">IF(M49&gt;10000,M49*0.5%,IF(AND(M49&gt;5000,M49&lt;=10000),M49*1%,IF(AND(M49&gt;1000,M49&lt;=5000),M49*2%,IF(AND(M49&gt;200,M49&lt;=1000),M49*3%,M49*5%))))</f>
        <v>104.52500000000001</v>
      </c>
      <c r="M68" s="302">
        <f ca="1">ROUND(L68,1)</f>
        <v>104.5</v>
      </c>
      <c r="N68" s="2540"/>
      <c r="Z68" s="1752"/>
      <c r="AI68" s="1753"/>
    </row>
    <row r="69" spans="1:35" s="1772" customFormat="1" ht="16.5" customHeight="1">
      <c r="A69" s="1811"/>
      <c r="B69" s="1812"/>
      <c r="C69" s="1813"/>
      <c r="D69" s="1814"/>
      <c r="E69" s="1815"/>
      <c r="F69" s="1578"/>
      <c r="G69" s="1578"/>
      <c r="H69" s="1577"/>
      <c r="I69" s="1747"/>
      <c r="J69" s="3591"/>
      <c r="K69" s="1332" t="s">
        <v>1393</v>
      </c>
      <c r="L69" s="1332"/>
      <c r="M69" s="302">
        <f ca="1">ROUND(SUM(M63:M68),0)</f>
        <v>343</v>
      </c>
      <c r="N69" s="2542">
        <f ca="1">M69/M49</f>
        <v>1.6407558000478356E-2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1394</v>
      </c>
      <c r="B70" s="3639"/>
      <c r="C70" s="3639"/>
      <c r="D70" s="3639"/>
      <c r="E70" s="3639"/>
      <c r="F70" s="3639"/>
      <c r="G70" s="3639"/>
      <c r="H70" s="3639"/>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0" t="s">
        <v>1375</v>
      </c>
      <c r="B71" s="3631"/>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19910</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635" t="s">
        <v>1402</v>
      </c>
      <c r="F76" s="3634"/>
      <c r="G76" s="3634"/>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119</v>
      </c>
      <c r="D78" s="2574">
        <f>'数据-取费表'!B43</f>
        <v>6.000000000000001E-3</v>
      </c>
      <c r="E78" s="3627" t="s">
        <v>1406</v>
      </c>
      <c r="F78" s="3628"/>
      <c r="G78" s="3628"/>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19791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166.31092436974791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11833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8" t="s">
        <v>1410</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0" t="s">
        <v>1375</v>
      </c>
      <c r="B84" s="363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19910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7146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f>ROUND('数据-汇总表'!D3*500/10000,0)</f>
        <v>0</v>
      </c>
      <c r="D88" s="2574"/>
      <c r="E88" s="193" t="s">
        <v>1413</v>
      </c>
      <c r="F88" s="2327"/>
      <c r="G88" s="194" t="s">
        <v>1414</v>
      </c>
      <c r="H88" s="1824" t="s">
        <v>3406</v>
      </c>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93" t="s">
        <v>2129</v>
      </c>
      <c r="H90" s="3594"/>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 ca="1">IF(H91="——",成本法!C33,I91)</f>
        <v>6388</v>
      </c>
      <c r="D91" s="2574"/>
      <c r="E91" s="3627" t="s">
        <v>1419</v>
      </c>
      <c r="F91" s="3628"/>
      <c r="G91" s="362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 ca="1">ROUND((C87+C90+C91)*D92,0)</f>
        <v>639</v>
      </c>
      <c r="D92" s="2580">
        <v>0.1</v>
      </c>
      <c r="E92" s="3627" t="s">
        <v>1422</v>
      </c>
      <c r="F92" s="3628"/>
      <c r="G92" s="3628"/>
      <c r="H92" s="3629"/>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119</v>
      </c>
      <c r="D93" s="2574">
        <f>'数据-取费表'!B43</f>
        <v>6.000000000000001E-3</v>
      </c>
      <c r="E93" s="3627" t="s">
        <v>1406</v>
      </c>
      <c r="F93" s="3628"/>
      <c r="G93" s="3628"/>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47"/>
      <c r="D94" s="2574">
        <v>0.2</v>
      </c>
      <c r="E94" s="3672" t="s">
        <v>1426</v>
      </c>
      <c r="F94" s="3673"/>
      <c r="G94" s="3673"/>
      <c r="H94" s="36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12764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1.7861740834033026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5310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4" t="s">
        <v>1428</v>
      </c>
      <c r="B100" s="3575"/>
      <c r="C100" s="3575"/>
      <c r="D100" s="3612"/>
      <c r="E100" s="3575" t="s">
        <v>1429</v>
      </c>
      <c r="F100" s="3575"/>
      <c r="G100" s="3575"/>
      <c r="H100" s="3612"/>
      <c r="I100" s="129"/>
    </row>
    <row r="101" spans="1:35" ht="18.75" customHeight="1">
      <c r="A101" s="3620" t="s">
        <v>1430</v>
      </c>
      <c r="B101" s="3621"/>
      <c r="C101" s="2582" t="str">
        <f>C4</f>
        <v>成本法</v>
      </c>
      <c r="D101" s="2583" t="str">
        <f>D4</f>
        <v>收益法（汇总）</v>
      </c>
      <c r="E101" s="3587" t="s">
        <v>1431</v>
      </c>
      <c r="F101" s="3588"/>
      <c r="G101" s="1827" t="s">
        <v>1432</v>
      </c>
      <c r="H101" s="2592">
        <f ca="1">H118</f>
        <v>20905</v>
      </c>
      <c r="I101" s="129"/>
    </row>
    <row r="102" spans="1:35" ht="18.75" customHeight="1">
      <c r="A102" s="3622" t="s">
        <v>1433</v>
      </c>
      <c r="B102" s="2581" t="s">
        <v>1432</v>
      </c>
      <c r="C102" s="2582">
        <f ca="1">IF(D32="楼面单价",ROUND(C19,0),C19)</f>
        <v>25917</v>
      </c>
      <c r="D102" s="2583">
        <f ca="1">IF(D32="楼面单价",ROUND(D19,0),D19)</f>
        <v>17563</v>
      </c>
      <c r="E102" s="3587"/>
      <c r="F102" s="3588"/>
      <c r="G102" s="1827" t="s">
        <v>1434</v>
      </c>
      <c r="H102" s="2552">
        <f ca="1">I118</f>
        <v>14662</v>
      </c>
      <c r="I102" s="129"/>
    </row>
    <row r="103" spans="1:35" ht="42.75" customHeight="1">
      <c r="A103" s="3622"/>
      <c r="B103" s="2581" t="s">
        <v>1434</v>
      </c>
      <c r="C103" s="2584">
        <f ca="1">C20</f>
        <v>18177</v>
      </c>
      <c r="D103" s="2585">
        <f ca="1">D20</f>
        <v>12318</v>
      </c>
      <c r="E103" s="3580" t="s">
        <v>1435</v>
      </c>
      <c r="F103" s="3581"/>
      <c r="G103" s="1828" t="s">
        <v>1436</v>
      </c>
      <c r="H103" s="2592">
        <f>IF(D36="正常操作",H104+H105+H106,H105+H106)</f>
        <v>0</v>
      </c>
      <c r="I103" s="129"/>
    </row>
    <row r="104" spans="1:35" ht="18.75" customHeight="1">
      <c r="A104" s="3622" t="s">
        <v>1437</v>
      </c>
      <c r="B104" s="2586" t="s">
        <v>1432</v>
      </c>
      <c r="C104" s="2587">
        <f ca="1">H118</f>
        <v>20905</v>
      </c>
      <c r="D104" s="2588"/>
      <c r="E104" s="1674" t="s">
        <v>1438</v>
      </c>
      <c r="F104" s="1666"/>
      <c r="G104" s="1828" t="s">
        <v>1436</v>
      </c>
      <c r="H104" s="2593">
        <f>IF(D36="同一抵押权人同一抵押物续贷",C36&amp;"（续贷，未扣减，详见特别提示）",C36)</f>
        <v>0</v>
      </c>
      <c r="I104" s="129"/>
    </row>
    <row r="105" spans="1:35" ht="18.75" customHeight="1" thickBot="1">
      <c r="A105" s="3632"/>
      <c r="B105" s="2589" t="s">
        <v>1434</v>
      </c>
      <c r="C105" s="2590">
        <f ca="1">I118</f>
        <v>14662</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23" t="str">
        <f>IF(项目基本情况!E8="已注销","——","3.房地产抵押价值")</f>
        <v>3.房地产抵押价值</v>
      </c>
      <c r="F107" s="3588"/>
      <c r="G107" s="1827" t="s">
        <v>1432</v>
      </c>
      <c r="H107" s="2592">
        <f ca="1">IF(E107="——","——",H101-H103)</f>
        <v>20905</v>
      </c>
      <c r="I107" s="129"/>
    </row>
    <row r="108" spans="1:35" ht="18.75" customHeight="1">
      <c r="A108" s="129"/>
      <c r="B108" s="129"/>
      <c r="C108" s="129"/>
      <c r="D108" s="129"/>
      <c r="E108" s="3623"/>
      <c r="F108" s="3588"/>
      <c r="G108" s="1827" t="s">
        <v>1434</v>
      </c>
      <c r="H108" s="2552">
        <f ca="1">IF(H107=H101,H102,ROUND(H107*10000/'数据-汇总表'!E3,0))</f>
        <v>14662</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88"/>
      <c r="G109" s="1827" t="s">
        <v>1432</v>
      </c>
      <c r="H109" s="2595" t="str">
        <f>IF(E109="——","——",H101-H105-H106)</f>
        <v>——</v>
      </c>
      <c r="I109" s="129"/>
    </row>
    <row r="110" spans="1:35" ht="18.75" customHeight="1">
      <c r="A110" s="129"/>
      <c r="B110" s="129"/>
      <c r="C110" s="129"/>
      <c r="D110" s="129"/>
      <c r="E110" s="3623"/>
      <c r="F110" s="3588"/>
      <c r="G110" s="1827" t="s">
        <v>1434</v>
      </c>
      <c r="H110" s="2552"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7" t="s">
        <v>1432</v>
      </c>
      <c r="H111" s="3452">
        <f ca="1">D126</f>
        <v>18785</v>
      </c>
      <c r="I111" s="129"/>
    </row>
    <row r="112" spans="1:35" ht="18.75" customHeight="1" thickBot="1">
      <c r="A112" s="129"/>
      <c r="B112" s="129"/>
      <c r="C112" s="129"/>
      <c r="D112" s="129"/>
      <c r="E112" s="3625"/>
      <c r="F112" s="3626"/>
      <c r="G112" s="1830" t="s">
        <v>1434</v>
      </c>
      <c r="H112" s="3453">
        <f ca="1">Q61</f>
        <v>13175</v>
      </c>
      <c r="I112" s="129"/>
    </row>
    <row r="113" spans="1:27" ht="18.75" customHeight="1">
      <c r="A113" s="129"/>
      <c r="B113" s="129"/>
      <c r="C113" s="129"/>
      <c r="D113" s="129"/>
      <c r="E113" s="3633" t="s">
        <v>1440</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1" t="s">
        <v>1442</v>
      </c>
      <c r="B115" s="3642"/>
      <c r="C115" s="3642"/>
      <c r="D115" s="3642"/>
      <c r="E115" s="3642"/>
      <c r="F115" s="3642"/>
      <c r="G115" s="3642"/>
      <c r="H115" s="3642"/>
      <c r="I115" s="3643"/>
    </row>
    <row r="116" spans="1:27" ht="27" customHeight="1">
      <c r="A116" s="3595" t="s">
        <v>1443</v>
      </c>
      <c r="B116" s="3599" t="s">
        <v>1444</v>
      </c>
      <c r="C116" s="3599" t="s">
        <v>1445</v>
      </c>
      <c r="D116" s="3608" t="s">
        <v>1446</v>
      </c>
      <c r="E116" s="3609"/>
      <c r="F116" s="3640" t="s">
        <v>1447</v>
      </c>
      <c r="G116" s="3640"/>
      <c r="H116" s="3595" t="s">
        <v>1448</v>
      </c>
      <c r="I116" s="3595"/>
    </row>
    <row r="117" spans="1:27" ht="18.75" customHeight="1">
      <c r="A117" s="3595"/>
      <c r="B117" s="3600"/>
      <c r="C117" s="3600"/>
      <c r="D117" s="2329" t="s">
        <v>1449</v>
      </c>
      <c r="E117" s="2329" t="s">
        <v>1450</v>
      </c>
      <c r="F117" s="2329" t="s">
        <v>1449</v>
      </c>
      <c r="G117" s="2329" t="s">
        <v>1451</v>
      </c>
      <c r="H117" s="2329" t="s">
        <v>1449</v>
      </c>
      <c r="I117" s="2329" t="s">
        <v>1451</v>
      </c>
    </row>
    <row r="118" spans="1:27" ht="24.75" customHeight="1">
      <c r="A118" s="2596" t="str">
        <f>项目基本情况!S2</f>
        <v>北京市石景山区五里坨西街11号院1号楼房地产</v>
      </c>
      <c r="B118" s="2329">
        <f>M18</f>
        <v>14258.28</v>
      </c>
      <c r="C118" s="2329">
        <f>M19</f>
        <v>0</v>
      </c>
      <c r="D118" s="2329">
        <f ca="1">ROUND(IF(D32="总价",C34,E118*B118/10000),0)</f>
        <v>14404</v>
      </c>
      <c r="E118" s="2329">
        <f ca="1">ROUND(IF(C33="自定义",IF(D32="楼面单价",C34,D118*10000/B118),I118-G118),0)</f>
        <v>10103</v>
      </c>
      <c r="F118" s="2329">
        <f ca="1">ROUND(IF(D32="总价",C35,G118*B118/10000),0)</f>
        <v>6501</v>
      </c>
      <c r="G118" s="2329">
        <f ca="1">ROUND(IF(D32="楼面单价",C35,F118*10000/B118),0)</f>
        <v>4559</v>
      </c>
      <c r="H118" s="2329">
        <f ca="1">ROUND(IF(D32="总价",C32,I118*B118/10000),0)</f>
        <v>20905</v>
      </c>
      <c r="I118" s="2329">
        <f ca="1">ROUND(IF(D32="楼面单价",C32,H118*10000/B118),0)</f>
        <v>14662</v>
      </c>
      <c r="J118" s="725" t="e">
        <f ca="1">D118/C118*666.67</f>
        <v>#DIV/0!</v>
      </c>
    </row>
    <row r="119" spans="1:27" ht="18.75" customHeight="1">
      <c r="A119" s="3595" t="s">
        <v>1452</v>
      </c>
      <c r="B119" s="3595"/>
      <c r="C119" s="3595"/>
      <c r="D119" s="3601" t="str">
        <f ca="1">NUMBERSTRING(INT(D118*10000),2)&amp;"元整"</f>
        <v>壹亿肆仟肆佰零肆万元整</v>
      </c>
      <c r="E119" s="3602"/>
      <c r="F119" s="3601" t="str">
        <f ca="1">NUMBERSTRING(INT(F118*10000),2)&amp;"元整"</f>
        <v>陆仟伍佰零壹万元整</v>
      </c>
      <c r="G119" s="3602"/>
      <c r="H119" s="3601" t="str">
        <f ca="1">NUMBERSTRING(INT(H118*10000),2)&amp;"元整"</f>
        <v>贰亿零玖佰零伍万元整</v>
      </c>
      <c r="I119" s="3602"/>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6"/>
      <c r="C121" s="3602"/>
      <c r="D121" s="3601" t="str">
        <f>IF(D120=0,"零元整",NUMBERSTRING(INT(D120*10000),2)&amp;"元整")</f>
        <v>零元整</v>
      </c>
      <c r="E121" s="3606"/>
      <c r="F121" s="3606"/>
      <c r="G121" s="3606"/>
      <c r="H121" s="3606"/>
      <c r="I121" s="3602"/>
      <c r="AA121" s="725"/>
    </row>
    <row r="122" spans="1:27" ht="18.75" customHeight="1">
      <c r="A122" s="3610" t="str">
        <f>IF(项目基本情况!B9="房地产市场价值","",MID(E107,3,LEN(E107)-2))</f>
        <v>房地产抵押价值</v>
      </c>
      <c r="B122" s="3610"/>
      <c r="C122" s="3610"/>
      <c r="D122" s="3596">
        <f ca="1">H107</f>
        <v>20905</v>
      </c>
      <c r="E122" s="3597"/>
      <c r="F122" s="3597"/>
      <c r="G122" s="3597"/>
      <c r="H122" s="3597"/>
      <c r="I122" s="3598"/>
      <c r="AA122" s="725"/>
    </row>
    <row r="123" spans="1:27" ht="18.75" customHeight="1">
      <c r="A123" s="3595" t="s">
        <v>1452</v>
      </c>
      <c r="B123" s="3595"/>
      <c r="C123" s="3595"/>
      <c r="D123" s="3601" t="str">
        <f ca="1">NUMBERSTRING(INT(D122*10000),2)&amp;"元整"</f>
        <v>贰亿零玖佰零伍万元整</v>
      </c>
      <c r="E123" s="3606"/>
      <c r="F123" s="3606"/>
      <c r="G123" s="3606"/>
      <c r="H123" s="3606"/>
      <c r="I123" s="3602"/>
      <c r="AA123" s="725"/>
    </row>
    <row r="124" spans="1:27" ht="18.75" customHeight="1">
      <c r="A124" s="3610" t="str">
        <f>IF(项目基本情况!B9="房地产市场价值","",MID(E109,3,LEN(E109)-2))</f>
        <v/>
      </c>
      <c r="B124" s="3610"/>
      <c r="C124" s="3610"/>
      <c r="D124" s="3596" t="str">
        <f>H109</f>
        <v>——</v>
      </c>
      <c r="E124" s="3597"/>
      <c r="F124" s="3597"/>
      <c r="G124" s="3597"/>
      <c r="H124" s="3597"/>
      <c r="I124" s="3598"/>
      <c r="AA124" s="725"/>
    </row>
    <row r="125" spans="1:27" ht="18.75" customHeight="1">
      <c r="A125" s="3595" t="s">
        <v>1452</v>
      </c>
      <c r="B125" s="3595"/>
      <c r="C125" s="3595"/>
      <c r="D125" s="3601" t="e">
        <f>NUMBERSTRING(INT(D124*10000),2)&amp;"元整"</f>
        <v>#VALUE!</v>
      </c>
      <c r="E125" s="3606"/>
      <c r="F125" s="3606"/>
      <c r="G125" s="3606"/>
      <c r="H125" s="3606"/>
      <c r="I125" s="3602"/>
      <c r="AA125" s="725"/>
    </row>
    <row r="126" spans="1:27" ht="18.75" customHeight="1">
      <c r="A126" s="3610" t="str">
        <f>IF(项目基本情况!B9="房地产市场价值","",MID(E111,3,LEN(E111)-2))</f>
        <v>抵押净值</v>
      </c>
      <c r="B126" s="3610"/>
      <c r="C126" s="3610"/>
      <c r="D126" s="3603">
        <f ca="1">Q59</f>
        <v>18785</v>
      </c>
      <c r="E126" s="3604"/>
      <c r="F126" s="3604"/>
      <c r="G126" s="3604"/>
      <c r="H126" s="3604"/>
      <c r="I126" s="3605"/>
      <c r="AA126" s="725"/>
    </row>
    <row r="127" spans="1:27" ht="18.75" customHeight="1">
      <c r="A127" s="3595" t="s">
        <v>1452</v>
      </c>
      <c r="B127" s="3595"/>
      <c r="C127" s="3595"/>
      <c r="D127" s="3601" t="str">
        <f ca="1">NUMBERSTRING(INT(D126*10000),2)&amp;"元整"</f>
        <v>壹亿捌仟柒佰捌拾伍万元整</v>
      </c>
      <c r="E127" s="3606"/>
      <c r="F127" s="3606"/>
      <c r="G127" s="3606"/>
      <c r="H127" s="3606"/>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北京市石景山区五里坨西街11号院1号楼房地产抵押价值预评估</v>
      </c>
      <c r="C37" s="3491"/>
      <c r="D37" s="3491"/>
      <c r="E37" s="3491"/>
      <c r="F37" s="3491"/>
      <c r="G37" s="3491"/>
      <c r="H37" s="3491"/>
      <c r="I37" s="349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25917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18177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13161</v>
      </c>
      <c r="D5" s="211" t="s">
        <v>1469</v>
      </c>
      <c r="E5" s="212" t="s">
        <v>1470</v>
      </c>
      <c r="F5" s="212" t="s">
        <v>1471</v>
      </c>
      <c r="G5" s="213"/>
    </row>
    <row r="6" spans="1:9" s="214" customFormat="1" ht="13.5" customHeight="1">
      <c r="A6" s="778" t="s">
        <v>1472</v>
      </c>
      <c r="B6" s="215" t="s">
        <v>1473</v>
      </c>
      <c r="C6" s="216">
        <f>'基准地价修正 (2)'!B2+基准地价修正!B2</f>
        <v>12495</v>
      </c>
      <c r="D6" s="217"/>
      <c r="E6" s="218"/>
      <c r="F6" s="218"/>
      <c r="G6" s="219"/>
    </row>
    <row r="7" spans="1:9" s="214" customFormat="1" ht="13.5" customHeight="1">
      <c r="A7" s="778" t="s">
        <v>1474</v>
      </c>
      <c r="B7" s="215" t="s">
        <v>1475</v>
      </c>
      <c r="C7" s="220">
        <f>ROUND(C6*F7,0)</f>
        <v>381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285</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3397</v>
      </c>
      <c r="H9" s="1137"/>
      <c r="I9" s="1858" t="s">
        <v>1479</v>
      </c>
    </row>
    <row r="10" spans="1:9" s="214" customFormat="1" ht="13.5" customHeight="1">
      <c r="A10" s="779" t="s">
        <v>356</v>
      </c>
      <c r="B10" s="224" t="s">
        <v>1480</v>
      </c>
      <c r="C10" s="225">
        <f ca="1">ROUND(D10*E10/10000,0)</f>
        <v>285</v>
      </c>
      <c r="D10" s="845">
        <f ca="1">IF(B1="",'数据-汇总表'!E6,IF(INDIRECT("'数据-取费表'!c"&amp;$G$1)="住宅",INDIRECT("'数据-取费表'!s"&amp;$G$1),INDIRECT("'数据-取费表'!k"&amp;$G$1)+INDIRECT("'数据-取费表'!s"&amp;$G$1)))</f>
        <v>14258.28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14258.28</v>
      </c>
      <c r="E19" s="211">
        <f>'数据-取费表'!B31</f>
        <v>200</v>
      </c>
      <c r="F19" s="231"/>
      <c r="G19" s="1856" t="s">
        <v>3398</v>
      </c>
    </row>
    <row r="20" spans="1:7" s="214" customFormat="1" ht="13.5" customHeight="1">
      <c r="A20" s="255" t="s">
        <v>1493</v>
      </c>
      <c r="B20" s="210" t="s">
        <v>1494</v>
      </c>
      <c r="C20" s="232">
        <f ca="1">ROUND((C5+C19)*F20,0)</f>
        <v>263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623</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2416</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2416</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5704</v>
      </c>
      <c r="D34" s="217"/>
      <c r="E34" s="220"/>
      <c r="F34" s="257">
        <f ca="1">IF('数据-取费表'!B24=0,1,IF(B1="",'数据-取费表'!N16,INDIRECT("'数据-取费表'!n"&amp;$G$1)))</f>
        <v>1</v>
      </c>
      <c r="G34" s="219" t="s">
        <v>1526</v>
      </c>
    </row>
    <row r="35" spans="1:7" ht="13.5" customHeight="1">
      <c r="A35" s="780" t="s">
        <v>351</v>
      </c>
      <c r="B35" s="215" t="s">
        <v>1527</v>
      </c>
      <c r="C35" s="220">
        <f ca="1">ROUND(C34*F35,0)</f>
        <v>285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285</v>
      </c>
      <c r="D37" s="217">
        <f ca="1">D19</f>
        <v>14258.28</v>
      </c>
      <c r="E37" s="249">
        <f>'数据-取费表'!B35</f>
        <v>200</v>
      </c>
      <c r="F37" s="259"/>
      <c r="G37" s="261" t="s">
        <v>1532</v>
      </c>
    </row>
    <row r="38" spans="1:7" ht="13.5" customHeight="1">
      <c r="A38" s="780" t="s">
        <v>354</v>
      </c>
      <c r="B38" s="215" t="s">
        <v>1533</v>
      </c>
      <c r="C38" s="220">
        <f ca="1">ROUND(C34*F38,0)</f>
        <v>114</v>
      </c>
      <c r="D38" s="220"/>
      <c r="E38" s="220"/>
      <c r="F38" s="259">
        <f>'数据-取费表'!B36</f>
        <v>0.02</v>
      </c>
      <c r="G38" s="219" t="s">
        <v>1528</v>
      </c>
    </row>
    <row r="39" spans="1:7" s="214" customFormat="1" ht="13.5" customHeight="1">
      <c r="A39" s="255" t="s">
        <v>1534</v>
      </c>
      <c r="B39" s="210" t="s">
        <v>1535</v>
      </c>
      <c r="C39" s="232">
        <f ca="1">ROUND(C33*F20,0)</f>
        <v>128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148</v>
      </c>
      <c r="D42" s="238"/>
      <c r="E42" s="238"/>
      <c r="F42" s="239"/>
      <c r="G42" s="3677" t="s">
        <v>1544</v>
      </c>
    </row>
    <row r="43" spans="1:7" ht="13.5" customHeight="1">
      <c r="A43" s="780" t="s">
        <v>347</v>
      </c>
      <c r="B43" s="215" t="s">
        <v>1545</v>
      </c>
      <c r="C43" s="238">
        <f ca="1">ROUND(IF('数据-取费表'!B22&lt;=1,C39*F22*'数据-取费表'!B21/2,C39*(POWER((1+F22),'数据-取费表'!B21/2)-1)),0)</f>
        <v>3</v>
      </c>
      <c r="D43" s="238"/>
      <c r="E43" s="238"/>
      <c r="F43" s="239"/>
      <c r="G43" s="3678"/>
    </row>
    <row r="44" spans="1:7" ht="13.5" customHeight="1">
      <c r="A44" s="780" t="s">
        <v>348</v>
      </c>
      <c r="B44" s="215" t="s">
        <v>1546</v>
      </c>
      <c r="C44" s="238">
        <f ca="1">ROUND(IF('数据-取费表'!B22&lt;=1,C40*F22*'数据-取费表'!B21/2,C40*(POWER((1+F22),'数据-取费表'!B21/2)-1)),4)</f>
        <v>5.0000000000000001E-4</v>
      </c>
      <c r="D44" s="238"/>
      <c r="E44" s="238"/>
      <c r="F44" s="239"/>
      <c r="G44" s="3679"/>
    </row>
    <row r="45" spans="1:7" s="214" customFormat="1" ht="13.5" customHeight="1">
      <c r="A45" s="255" t="s">
        <v>1547</v>
      </c>
      <c r="B45" s="244" t="s">
        <v>1513</v>
      </c>
      <c r="C45" s="245">
        <f ca="1">C46</f>
        <v>1173</v>
      </c>
      <c r="D45" s="235">
        <f ca="1">C47</f>
        <v>3.5999999999999999E-3</v>
      </c>
      <c r="E45" s="236" t="s">
        <v>1539</v>
      </c>
      <c r="F45" s="246">
        <f ca="1">F27</f>
        <v>0.18</v>
      </c>
      <c r="G45" s="247" t="s">
        <v>1548</v>
      </c>
    </row>
    <row r="46" spans="1:7" s="214" customFormat="1" ht="13.5" customHeight="1">
      <c r="A46" s="780" t="s">
        <v>346</v>
      </c>
      <c r="B46" s="248" t="s">
        <v>1549</v>
      </c>
      <c r="C46" s="249">
        <f ca="1">ROUND((C33+C39)*F27,0)</f>
        <v>1173</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8498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8073</v>
      </c>
      <c r="D51" s="232"/>
      <c r="E51" s="232"/>
      <c r="F51" s="264"/>
      <c r="G51" s="234" t="s">
        <v>1560</v>
      </c>
    </row>
    <row r="52" spans="1:7" s="208" customFormat="1" ht="16.5" thickBot="1">
      <c r="A52" s="265" t="s">
        <v>1561</v>
      </c>
      <c r="B52" s="266"/>
      <c r="C52" s="267">
        <f ca="1">C31+C51</f>
        <v>25917</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8845.2569000000003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2851656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2851656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2851656</v>
      </c>
      <c r="D10" s="845">
        <f ca="1">IF(B1="",'数据-汇总表'!E6,IF(INDIRECT("'数据-取费表'!c"&amp;$G$1)="住宅",INDIRECT("'数据-取费表'!s"&amp;$G$1),INDIRECT("'数据-取费表'!k"&amp;$G$1)+INDIRECT("'数据-取费表'!s"&amp;$G$1)))</f>
        <v>14258.28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2851656</v>
      </c>
      <c r="D19" s="849">
        <f ca="1">D9+D10</f>
        <v>14258.28</v>
      </c>
      <c r="E19" s="211">
        <f>'数据-取费表'!B31</f>
        <v>200</v>
      </c>
      <c r="F19" s="231"/>
      <c r="G19" s="1856"/>
    </row>
    <row r="20" spans="1:7" s="214" customFormat="1" ht="13.5" customHeight="1">
      <c r="A20" s="255" t="s">
        <v>1574</v>
      </c>
      <c r="B20" s="210" t="s">
        <v>1575</v>
      </c>
      <c r="C20" s="232">
        <f ca="1">ROUND((C5+C19)*F20,0)</f>
        <v>114066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269890</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133624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133624</v>
      </c>
      <c r="D24" s="238"/>
      <c r="E24" s="238"/>
      <c r="F24" s="239"/>
      <c r="G24" s="240" t="s">
        <v>1586</v>
      </c>
    </row>
    <row r="25" spans="1:7" s="214" customFormat="1" ht="24">
      <c r="A25" s="780" t="s">
        <v>1476</v>
      </c>
      <c r="B25" s="215" t="s">
        <v>1587</v>
      </c>
      <c r="C25" s="1128">
        <f ca="1">ROUND(IF('数据-取费表'!B22&lt;=1,C20*F22*'数据-取费表'!B22/2,C20*(POWER((1+F22),'数据-取费表'!B22/2)-1)),0)</f>
        <v>2642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1047128</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1047128</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7732924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63877094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57033120</v>
      </c>
      <c r="D34" s="217"/>
      <c r="E34" s="220"/>
      <c r="F34" s="257"/>
      <c r="G34" s="219"/>
    </row>
    <row r="35" spans="1:7" ht="13.5" customHeight="1">
      <c r="A35" s="780" t="s">
        <v>351</v>
      </c>
      <c r="B35" s="215" t="s">
        <v>1527</v>
      </c>
      <c r="C35" s="220">
        <f ca="1">ROUND(C34*F35,0)</f>
        <v>2851656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2851656</v>
      </c>
      <c r="D37" s="217">
        <f ca="1">D19</f>
        <v>14258.28</v>
      </c>
      <c r="E37" s="249">
        <f>'数据-取费表'!B35</f>
        <v>200</v>
      </c>
      <c r="F37" s="259"/>
      <c r="G37" s="261"/>
    </row>
    <row r="38" spans="1:7" ht="13.5" customHeight="1">
      <c r="A38" s="780" t="s">
        <v>354</v>
      </c>
      <c r="B38" s="215" t="s">
        <v>1533</v>
      </c>
      <c r="C38" s="220">
        <f ca="1">ROUND(C34*F38,0)</f>
        <v>1140662</v>
      </c>
      <c r="D38" s="220"/>
      <c r="E38" s="220"/>
      <c r="F38" s="259">
        <f>'数据-取费表'!B36</f>
        <v>0.02</v>
      </c>
      <c r="G38" s="219" t="s">
        <v>1528</v>
      </c>
    </row>
    <row r="39" spans="1:7" s="214" customFormat="1" ht="13.5" customHeight="1">
      <c r="A39" s="255" t="s">
        <v>1534</v>
      </c>
      <c r="B39" s="210" t="s">
        <v>1535</v>
      </c>
      <c r="C39" s="232">
        <f ca="1">ROUND(C33*F20,0)</f>
        <v>1277542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1509050</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1479461</v>
      </c>
      <c r="D42" s="238"/>
      <c r="E42" s="238"/>
      <c r="F42" s="239"/>
      <c r="G42" s="3677" t="s">
        <v>1591</v>
      </c>
    </row>
    <row r="43" spans="1:7" ht="13.5" customHeight="1">
      <c r="A43" s="780" t="s">
        <v>347</v>
      </c>
      <c r="B43" s="215" t="s">
        <v>1545</v>
      </c>
      <c r="C43" s="238">
        <f ca="1">ROUND(IF('数据-取费表'!B22&lt;=1,C39*F22*'数据-取费表'!B20/2,C39*(POWER((1+F22),'数据-取费表'!B20/2)-1)),0)</f>
        <v>29589</v>
      </c>
      <c r="D43" s="238"/>
      <c r="E43" s="238"/>
      <c r="F43" s="239"/>
      <c r="G43" s="3678"/>
    </row>
    <row r="44" spans="1:7" ht="13.5" customHeight="1">
      <c r="A44" s="780" t="s">
        <v>348</v>
      </c>
      <c r="B44" s="215" t="s">
        <v>1546</v>
      </c>
      <c r="C44" s="238">
        <f ca="1">ROUND(IF('数据-取费表'!B22&lt;=1,C40*F22*'数据-取费表'!B20/2,C40*(POWER((1+F22),'数据-取费表'!B20/2)-1)),4)</f>
        <v>5.0000000000000001E-4</v>
      </c>
      <c r="D44" s="238"/>
      <c r="E44" s="238"/>
      <c r="F44" s="239"/>
      <c r="G44" s="3679"/>
    </row>
    <row r="45" spans="1:7" s="214" customFormat="1" ht="13.5" customHeight="1">
      <c r="A45" s="255" t="s">
        <v>1547</v>
      </c>
      <c r="B45" s="244" t="s">
        <v>1513</v>
      </c>
      <c r="C45" s="245">
        <f ca="1">C46</f>
        <v>11727834</v>
      </c>
      <c r="D45" s="235">
        <f ca="1">C47</f>
        <v>3.5999999999999999E-3</v>
      </c>
      <c r="E45" s="236" t="s">
        <v>1539</v>
      </c>
      <c r="F45" s="246">
        <f ca="1">F27</f>
        <v>0.18</v>
      </c>
      <c r="G45" s="247" t="s">
        <v>1548</v>
      </c>
    </row>
    <row r="46" spans="1:7" s="214" customFormat="1" ht="13.5" customHeight="1">
      <c r="A46" s="780" t="s">
        <v>346</v>
      </c>
      <c r="B46" s="248" t="s">
        <v>1549</v>
      </c>
      <c r="C46" s="249">
        <f ca="1">ROUND((C33+C39)*F27,0)</f>
        <v>11727834</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84968047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80719645</v>
      </c>
      <c r="D51" s="232"/>
      <c r="E51" s="232"/>
      <c r="F51" s="264"/>
      <c r="G51" s="234" t="s">
        <v>1560</v>
      </c>
    </row>
    <row r="52" spans="1:7" s="208" customFormat="1" ht="16.5" thickBot="1">
      <c r="A52" s="265" t="s">
        <v>1561</v>
      </c>
      <c r="B52" s="266"/>
      <c r="C52" s="267">
        <f ca="1">C31+C51</f>
        <v>88452569</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14258.28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14258.28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285</v>
      </c>
      <c r="D20" s="846">
        <f ca="1">IF(C1="",'数据-汇总表'!E6,IF(INDIRECT("'数据-取费表'!c"&amp;$K$1)="住宅",INDIRECT("'数据-取费表'!s"&amp;$K$1),INDIRECT("'数据-取费表'!k"&amp;$K$1)+INDIRECT("'数据-取费表'!s"&amp;$K$1)))</f>
        <v>14258.28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8" sqref="C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8653.92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7929</v>
      </c>
      <c r="C2" s="1999" t="s">
        <v>1935</v>
      </c>
      <c r="D2" s="2000" t="s">
        <v>1936</v>
      </c>
      <c r="E2" s="3418"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12559</v>
      </c>
      <c r="U2" s="1213">
        <f>面积指标!I16</f>
        <v>1964.25</v>
      </c>
      <c r="V2" s="3357">
        <f>ROUND(T2*U2/10000,0)</f>
        <v>2467</v>
      </c>
      <c r="W2" s="1216"/>
      <c r="X2" s="1216"/>
      <c r="Y2" s="1216"/>
      <c r="Z2" s="1216"/>
      <c r="AA2" s="1216"/>
      <c r="AB2" s="1216"/>
      <c r="AC2" s="1217"/>
      <c r="AD2" s="1218"/>
      <c r="AE2" s="1218"/>
      <c r="AF2" s="1218"/>
      <c r="AG2" s="1218"/>
      <c r="AH2" s="1218"/>
      <c r="AI2" s="1218"/>
      <c r="AJ2" s="1219"/>
    </row>
    <row r="3" spans="1:36" ht="15.75">
      <c r="A3" s="203" t="s">
        <v>1940</v>
      </c>
      <c r="B3" s="204">
        <f>ROUND(B2*10000/D1,0)</f>
        <v>9162</v>
      </c>
      <c r="C3" s="1999" t="s">
        <v>1941</v>
      </c>
      <c r="D3" s="2000" t="s">
        <v>1942</v>
      </c>
      <c r="E3" s="3416" t="s">
        <v>2437</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9899</v>
      </c>
      <c r="U3" s="1213">
        <f>面积指标!I17</f>
        <v>1644</v>
      </c>
      <c r="V3" s="3357">
        <f t="shared" ref="V3:V16" si="1">ROUND(T3*U3/10000,0)</f>
        <v>1627</v>
      </c>
      <c r="W3" s="1216"/>
      <c r="X3" s="1216"/>
      <c r="Y3" s="1216"/>
      <c r="Z3" s="1216"/>
      <c r="AA3" s="1216"/>
      <c r="AB3" s="1216"/>
      <c r="AC3" s="1217"/>
      <c r="AD3" s="1218"/>
      <c r="AE3" s="1218"/>
      <c r="AF3" s="1218"/>
      <c r="AG3" s="1218"/>
      <c r="AH3" s="1218"/>
      <c r="AI3" s="1218"/>
      <c r="AJ3" s="1219"/>
    </row>
    <row r="4" spans="1:36" ht="15.75">
      <c r="A4" s="3790"/>
      <c r="B4" s="3791"/>
      <c r="C4" s="3791"/>
      <c r="D4" s="3792"/>
      <c r="E4" s="3792"/>
      <c r="F4" s="3792"/>
      <c r="G4" s="3792"/>
      <c r="H4" s="3792"/>
      <c r="I4" s="3792"/>
      <c r="J4" s="37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8366</v>
      </c>
      <c r="U4" s="1213">
        <f>面积指标!I18</f>
        <v>1633.82</v>
      </c>
      <c r="V4" s="3357">
        <f t="shared" si="1"/>
        <v>1367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7378</v>
      </c>
      <c r="U5" s="1213">
        <f>面积指标!I19</f>
        <v>1706.91</v>
      </c>
      <c r="V5" s="3357">
        <f t="shared" si="1"/>
        <v>1259</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7091</v>
      </c>
      <c r="U6" s="1213">
        <f>面积指标!I20</f>
        <v>1704.94</v>
      </c>
      <c r="V6" s="3357">
        <f t="shared" si="1"/>
        <v>1209</v>
      </c>
      <c r="W6" s="1216"/>
      <c r="X6" s="1216"/>
      <c r="Y6" s="1216"/>
      <c r="Z6" s="1216"/>
      <c r="AA6" s="1216"/>
      <c r="AB6" s="1216"/>
      <c r="AC6" s="2011"/>
      <c r="AD6" s="2012"/>
      <c r="AE6" s="2012"/>
      <c r="AF6" s="2012"/>
      <c r="AG6" s="2012"/>
      <c r="AH6" s="2012"/>
      <c r="AI6" s="2012"/>
      <c r="AJ6" s="2013"/>
    </row>
    <row r="7" spans="1:36" ht="24.75" thickBot="1">
      <c r="A7" s="3300"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94" t="s">
        <v>1960</v>
      </c>
      <c r="X8" s="379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96"/>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9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3246</v>
      </c>
      <c r="E18" s="3325"/>
      <c r="F18" s="3320" t="s">
        <v>3249</v>
      </c>
      <c r="G18" s="3324">
        <f>ROUND(1-(1/(POWER(1+G24,E18))),4)</f>
        <v>0</v>
      </c>
      <c r="H18" s="3320" t="s">
        <v>3251</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97" t="s">
        <v>3252</v>
      </c>
      <c r="B20" s="167" t="s">
        <v>1994</v>
      </c>
      <c r="C20" s="3321">
        <f>ROUND(IF(F21="与级别开发程度一致",0,(G21-E21)/C21),0)</f>
        <v>-20</v>
      </c>
      <c r="D20" s="3337" t="s">
        <v>1998</v>
      </c>
      <c r="E20" s="3338"/>
      <c r="F20" s="3799" t="s">
        <v>1995</v>
      </c>
      <c r="G20" s="3800"/>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9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33.01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3414</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1.0116000000000001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7929</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12559</v>
      </c>
      <c r="D33" s="2098">
        <f>'数据-汇总表'!F19</f>
        <v>8653.92</v>
      </c>
      <c r="E33" s="773">
        <f>ROUND(C33*D33/10000,0)</f>
        <v>10868</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f>ROUND(D5*C22*C23*C24*C28*F37,0)</f>
        <v>5017</v>
      </c>
      <c r="D37" s="2098">
        <f>'数据-汇总表'!G19</f>
        <v>0</v>
      </c>
      <c r="E37" s="171">
        <f>ROUND(C37*D37/10000,0)</f>
        <v>0</v>
      </c>
      <c r="F37" s="171">
        <f>SUMIF(修正!A57:A68,G2,修正!B57:B68)</f>
        <v>0.6</v>
      </c>
      <c r="G37" s="171">
        <f>ROUND(IF(E2="工业",C37*$M$42,C37*$M$41),0)</f>
        <v>1254</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f>ROUND(D5*C22*C23*C24*C28*F38,0)</f>
        <v>2509</v>
      </c>
      <c r="D38" s="2098"/>
      <c r="E38" s="171">
        <f t="shared" ref="E38:E42" si="4">ROUND(C38*D38/10000,0)</f>
        <v>0</v>
      </c>
      <c r="F38" s="171">
        <f>SUMIF(修正!A57:A68,G2,修正!C57:C68)</f>
        <v>0.3</v>
      </c>
      <c r="G38" s="171">
        <f>ROUND(IF(E2="工业",C38*$M$42,C38*$M$41),0)</f>
        <v>627</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9"/>
      <c r="B39" s="2041" t="s">
        <v>3256</v>
      </c>
      <c r="C39" s="175">
        <f>ROUND(D5*C22*C23*C24*C28*F39,0)</f>
        <v>2090</v>
      </c>
      <c r="D39" s="2098"/>
      <c r="E39" s="171">
        <f t="shared" si="4"/>
        <v>0</v>
      </c>
      <c r="F39" s="171">
        <f>SUMIF(修正!A57:A68,G2,修正!D57:D68)</f>
        <v>0.25</v>
      </c>
      <c r="G39" s="171">
        <f>ROUND(IF(E2="工业",C39*$M$42,C39*$M$41),0)</f>
        <v>523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2090</v>
      </c>
      <c r="D40" s="2098"/>
      <c r="E40" s="171">
        <f t="shared" si="4"/>
        <v>0</v>
      </c>
      <c r="F40" s="175">
        <f>SUMIF(修正!A57:A68,G2,修正!E57:E68)</f>
        <v>0.25</v>
      </c>
      <c r="G40" s="171">
        <f>ROUND(IF(E2="工业",C40*$M$42,C40*$M$41),0)</f>
        <v>523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837.27085299999999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一般</v>
      </c>
      <c r="C50" s="2044" t="s">
        <v>3409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一般</v>
      </c>
      <c r="C51" s="2044" t="s">
        <v>3409</v>
      </c>
      <c r="D51" s="1065">
        <f t="shared" si="7"/>
        <v>0</v>
      </c>
      <c r="E51" s="745"/>
      <c r="F51" s="1814"/>
      <c r="G51" s="1063">
        <v>1.43E-2</v>
      </c>
      <c r="H51" s="1066">
        <f t="shared" si="8"/>
        <v>1.43E-2</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5" t="s">
        <v>3266</v>
      </c>
      <c r="B52" s="2134">
        <f>估价对象房地状况!C19</f>
        <v>0</v>
      </c>
      <c r="C52" s="2044" t="s">
        <v>3409</v>
      </c>
      <c r="D52" s="1065">
        <f t="shared" si="7"/>
        <v>0</v>
      </c>
      <c r="E52" s="745"/>
      <c r="F52" s="1814"/>
      <c r="G52" s="1063">
        <v>7.7999999999999996E-3</v>
      </c>
      <c r="H52" s="1066">
        <f t="shared" si="8"/>
        <v>7.7999999999999996E-3</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3394</v>
      </c>
      <c r="D53" s="1065">
        <f t="shared" si="7"/>
        <v>3.2000000000000002E-3</v>
      </c>
      <c r="E53" s="745"/>
      <c r="F53" s="1814"/>
      <c r="G53" s="1063">
        <v>3.2000000000000002E-3</v>
      </c>
      <c r="H53" s="1066">
        <f t="shared" si="8"/>
        <v>3.2000000000000002E-3</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3411</v>
      </c>
      <c r="D54" s="1065">
        <f t="shared" si="7"/>
        <v>-5.1999999999999998E-3</v>
      </c>
      <c r="E54" s="745"/>
      <c r="F54" s="1814"/>
      <c r="G54" s="1063">
        <v>5.1999999999999998E-3</v>
      </c>
      <c r="H54" s="1066">
        <f t="shared" si="8"/>
        <v>5.1999999999999998E-3</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3394</v>
      </c>
      <c r="D55" s="1065">
        <f t="shared" si="7"/>
        <v>3.2000000000000002E-3</v>
      </c>
      <c r="E55" s="745"/>
      <c r="F55" s="1814"/>
      <c r="G55" s="1063">
        <v>3.2000000000000002E-3</v>
      </c>
      <c r="H55" s="1066">
        <f t="shared" si="8"/>
        <v>3.2000000000000002E-3</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一般</v>
      </c>
      <c r="C56" s="2044" t="s">
        <v>3409</v>
      </c>
      <c r="D56" s="1065">
        <f t="shared" si="7"/>
        <v>0</v>
      </c>
      <c r="E56" s="745"/>
      <c r="F56" s="1814"/>
      <c r="G56" s="1063">
        <v>3.2000000000000002E-3</v>
      </c>
      <c r="H56" s="1066">
        <f t="shared" si="8"/>
        <v>3.2000000000000002E-3</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t="s">
        <v>3395</v>
      </c>
      <c r="D57" s="1065">
        <f t="shared" si="7"/>
        <v>1.04E-2</v>
      </c>
      <c r="E57" s="745"/>
      <c r="F57" s="1814"/>
      <c r="G57" s="1063">
        <v>5.1999999999999998E-3</v>
      </c>
      <c r="H57" s="1066">
        <f t="shared" si="8"/>
        <v>5.1999999999999998E-3</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3409</v>
      </c>
      <c r="D58" s="1065">
        <f t="shared" si="7"/>
        <v>0</v>
      </c>
      <c r="E58" s="746"/>
      <c r="F58" s="1814"/>
      <c r="G58" s="1063">
        <v>3.2000000000000002E-3</v>
      </c>
      <c r="H58" s="1066">
        <f t="shared" si="8"/>
        <v>3.2000000000000002E-3</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3267</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3270</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3271</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3272</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3273</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5.5">
      <c r="A99" s="3375" t="s">
        <v>3274</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5.5">
      <c r="A100" s="3375" t="s">
        <v>3275</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3276</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82" t="s">
        <v>3291</v>
      </c>
      <c r="B103" s="3782"/>
      <c r="C103" s="3782"/>
      <c r="D103" s="3782"/>
      <c r="E103" s="3782"/>
      <c r="F103" s="3782"/>
      <c r="G103" s="3782"/>
      <c r="H103" s="3782"/>
      <c r="I103" s="3782"/>
      <c r="J103" s="3782"/>
      <c r="K103" s="3386"/>
      <c r="L103" s="3386"/>
      <c r="M103" s="3386"/>
      <c r="N103" s="3386"/>
    </row>
    <row r="104" spans="1:14">
      <c r="A104" s="3783" t="s">
        <v>3292</v>
      </c>
      <c r="B104" s="3783" t="s">
        <v>3293</v>
      </c>
      <c r="C104" s="3387" t="s">
        <v>3294</v>
      </c>
      <c r="D104" s="3388"/>
      <c r="E104" s="3388"/>
      <c r="F104" s="3388"/>
      <c r="G104" s="3388"/>
      <c r="H104" s="3388"/>
      <c r="I104" s="3388"/>
      <c r="J104" s="3389"/>
      <c r="K104" s="3390"/>
      <c r="L104" s="3390"/>
      <c r="M104" s="3390"/>
      <c r="N104" s="3390"/>
    </row>
    <row r="105" spans="1:14">
      <c r="A105" s="3783"/>
      <c r="B105" s="3783"/>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784"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5"/>
      <c r="B111" s="3391"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86"/>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87" t="s">
        <v>3308</v>
      </c>
      <c r="B113" s="3787"/>
      <c r="C113" s="3787"/>
      <c r="D113" s="3787"/>
      <c r="E113" s="3787"/>
      <c r="F113" s="3787"/>
      <c r="G113" s="3787"/>
      <c r="H113" s="3787"/>
      <c r="I113" s="3787"/>
      <c r="J113" s="37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0.91400000000000003</v>
      </c>
      <c r="E116" s="2000" t="s">
        <v>3311</v>
      </c>
      <c r="F116" s="3398" t="str">
        <f>E2</f>
        <v>商业</v>
      </c>
      <c r="G116" s="2000" t="s">
        <v>3312</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3326</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3327</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3328</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C69" sqref="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5604.3600000000006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4566</v>
      </c>
      <c r="C2" s="1999" t="s">
        <v>1935</v>
      </c>
      <c r="D2" s="2000" t="s">
        <v>1936</v>
      </c>
      <c r="E2" s="3418"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12237</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8147</v>
      </c>
      <c r="C3" s="1999" t="s">
        <v>1941</v>
      </c>
      <c r="D3" s="2000" t="s">
        <v>1942</v>
      </c>
      <c r="E3" s="3416" t="s">
        <v>3422</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9645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90"/>
      <c r="B4" s="3791"/>
      <c r="C4" s="3791"/>
      <c r="D4" s="3792"/>
      <c r="E4" s="3792"/>
      <c r="F4" s="3792"/>
      <c r="G4" s="3792"/>
      <c r="H4" s="3792"/>
      <c r="I4" s="3792"/>
      <c r="J4" s="37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8152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8370</v>
      </c>
      <c r="D5" s="1339">
        <f>ROUND(C6*C17+C20,0)</f>
        <v>8370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7190</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8390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6909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3235</v>
      </c>
      <c r="B7" s="3466"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8390</v>
      </c>
      <c r="N7" s="866">
        <f>SUMPRODUCT((因素修正幅度!B190:B233=I2)*(因素修正幅度!C3:G3=E2)*(因素修正幅度!C190:G233))</f>
        <v>0.13</v>
      </c>
      <c r="O7" s="1119"/>
      <c r="P7" s="1119"/>
      <c r="Q7" s="1119"/>
      <c r="R7" s="1212">
        <v>6</v>
      </c>
      <c r="S7" s="3415"/>
      <c r="T7" s="3357">
        <f t="shared" si="0"/>
        <v>0</v>
      </c>
      <c r="U7" s="1213"/>
      <c r="V7" s="3357">
        <f t="shared" si="1"/>
        <v>0</v>
      </c>
      <c r="W7" s="3476"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94" t="s">
        <v>1960</v>
      </c>
      <c r="X8" s="379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96"/>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9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3464"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3465"/>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63"/>
      <c r="C18" s="3324"/>
      <c r="D18" s="3319" t="s">
        <v>3246</v>
      </c>
      <c r="E18" s="3325"/>
      <c r="F18" s="3320" t="s">
        <v>3249</v>
      </c>
      <c r="G18" s="3324">
        <f>ROUND(1-(1/(POWER(1+G24,E18))),4)</f>
        <v>0</v>
      </c>
      <c r="H18" s="3320" t="s">
        <v>3251</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97" t="s">
        <v>3252</v>
      </c>
      <c r="B20" s="167" t="s">
        <v>1994</v>
      </c>
      <c r="C20" s="3321">
        <f>ROUND(IF(F21="与级别开发程度一致",0,(G21-E21)/C21),0)</f>
        <v>-20</v>
      </c>
      <c r="D20" s="3337" t="s">
        <v>1998</v>
      </c>
      <c r="E20" s="3338"/>
      <c r="F20" s="3799" t="s">
        <v>1995</v>
      </c>
      <c r="G20" s="3800"/>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9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0.96650000000000003</v>
      </c>
      <c r="D24" s="2060" t="s">
        <v>2007</v>
      </c>
      <c r="E24" s="1335">
        <f>存贷款利率!E27/100</f>
        <v>4.3499999999999997E-2</v>
      </c>
      <c r="F24" s="2060" t="s">
        <v>1999</v>
      </c>
      <c r="G24" s="768">
        <f>SUMIF(M30:Q30,E2,M33:Q33)</f>
        <v>5.5E-2</v>
      </c>
      <c r="H24" s="2060" t="s">
        <v>2008</v>
      </c>
      <c r="I24" s="769">
        <f>SUMIF('数据-取费表'!C6:C15,E2,'数据-取费表'!F6:F15)/COUNTIF('数据-取费表'!C6:C15,E2)</f>
        <v>43.02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3423</v>
      </c>
      <c r="C25" s="3472">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3471">
        <f>IF(E26=G26,F26,IF(G3&lt;10,ROUND(F26+(H26-F26)*(G3-E26)/(G26-E26),4),"——"))</f>
        <v>1</v>
      </c>
      <c r="E26" s="752">
        <f>ROUNDDOWN(G3,1)</f>
        <v>2.5</v>
      </c>
      <c r="F26" s="3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0.99929999999999997</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4566</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8148</v>
      </c>
      <c r="D33" s="2098">
        <f>面积指标!I22</f>
        <v>5604.3600000000006</v>
      </c>
      <c r="E33" s="773">
        <f>ROUND(C33*D33/10000,0)</f>
        <v>4566</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2037</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f>ROUND(D5*C22*C23*C24*C28*F37,0)</f>
        <v>4889</v>
      </c>
      <c r="D37" s="2098">
        <f>'数据-汇总表'!G19</f>
        <v>0</v>
      </c>
      <c r="E37" s="171">
        <f>ROUND(C37*D37/10000,0)</f>
        <v>0</v>
      </c>
      <c r="F37" s="171">
        <f>SUMIF(修正!A57:A68,G2,修正!B57:B68)</f>
        <v>0.6</v>
      </c>
      <c r="G37" s="171">
        <f>ROUND(IF(E2="工业",C37*$M$42,C37*$M$41),0)</f>
        <v>1222</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f>ROUND(D5*C22*C23*C24*C28*F38,0)</f>
        <v>2444</v>
      </c>
      <c r="D38" s="2098"/>
      <c r="E38" s="171">
        <f t="shared" ref="E38:E42" si="4">ROUND(C38*D38/10000,0)</f>
        <v>0</v>
      </c>
      <c r="F38" s="171">
        <f>SUMIF(修正!A57:A68,G2,修正!C57:C68)</f>
        <v>0.3</v>
      </c>
      <c r="G38" s="171">
        <f>ROUND(IF(E2="工业",C38*$M$42,C38*$M$41),0)</f>
        <v>611</v>
      </c>
      <c r="H38" s="171">
        <f t="shared" ref="H38:H42" si="5">D38</f>
        <v>0</v>
      </c>
      <c r="I38" s="171">
        <f t="shared" ref="I38:I42" si="6">ROUND(G38*H38/10000,0)</f>
        <v>0</v>
      </c>
      <c r="J38" s="347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9"/>
      <c r="B39" s="2041" t="s">
        <v>3256</v>
      </c>
      <c r="C39" s="175">
        <f>ROUND(D5*C22*C23*C24*C28*F39,0)</f>
        <v>2037</v>
      </c>
      <c r="D39" s="2098"/>
      <c r="E39" s="171">
        <f t="shared" si="4"/>
        <v>0</v>
      </c>
      <c r="F39" s="171">
        <f>SUMIF(修正!A57:A68,G2,修正!D57:D68)</f>
        <v>0.25</v>
      </c>
      <c r="G39" s="171">
        <f>ROUND(IF(E2="工业",C39*$M$42,C39*$M$41),0)</f>
        <v>509</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2037</v>
      </c>
      <c r="D40" s="2098"/>
      <c r="E40" s="171">
        <f t="shared" si="4"/>
        <v>0</v>
      </c>
      <c r="F40" s="175">
        <f>SUMIF(修正!A57:A68,G2,修正!E57:E68)</f>
        <v>0.25</v>
      </c>
      <c r="G40" s="171">
        <f>ROUND(IF(E2="工业",C40*$M$42,C40*$M$41),0)</f>
        <v>509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543.2027159999999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一般</v>
      </c>
      <c r="C50" s="2044" t="s">
        <v>3409</v>
      </c>
      <c r="D50" s="1065">
        <f t="shared" ref="D50:D58" si="7">SUMIF($J$49:$N$49,C50,J50:N50)</f>
        <v>0</v>
      </c>
      <c r="E50" s="744">
        <f>ROUND(SUM(D50:D58),4)</f>
        <v>1.1599999999999999E-2</v>
      </c>
      <c r="F50" s="1814" t="str">
        <f>IF(E2="商业",SUMIF(L1:L12,G2,N1:N12),"——")</f>
        <v>——</v>
      </c>
      <c r="G50" s="1063">
        <v>1.95E-2</v>
      </c>
      <c r="H50" s="1066" t="str">
        <f t="shared" ref="H50:H58" si="8">IFERROR(ROUNDDOWN($F$50*I50/2,4),"——")</f>
        <v>——</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一般</v>
      </c>
      <c r="C51" s="2044" t="s">
        <v>3409</v>
      </c>
      <c r="D51" s="1065">
        <f t="shared" si="7"/>
        <v>0</v>
      </c>
      <c r="E51" s="745"/>
      <c r="F51" s="1814"/>
      <c r="G51" s="1063">
        <v>1.43E-2</v>
      </c>
      <c r="H51" s="1066" t="str">
        <f t="shared" si="8"/>
        <v>——</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hidden="1">
      <c r="A52" s="3365" t="s">
        <v>3266</v>
      </c>
      <c r="B52" s="2134">
        <f>估价对象房地状况!C19</f>
        <v>0</v>
      </c>
      <c r="C52" s="2044" t="s">
        <v>3409</v>
      </c>
      <c r="D52" s="1065">
        <f t="shared" si="7"/>
        <v>0</v>
      </c>
      <c r="E52" s="745"/>
      <c r="F52" s="1814"/>
      <c r="G52" s="1063">
        <v>7.7999999999999996E-3</v>
      </c>
      <c r="H52" s="1066" t="str">
        <f t="shared" si="8"/>
        <v>——</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3394</v>
      </c>
      <c r="D53" s="1065">
        <f t="shared" si="7"/>
        <v>3.2000000000000002E-3</v>
      </c>
      <c r="E53" s="745"/>
      <c r="F53" s="1814"/>
      <c r="G53" s="1063">
        <v>3.2000000000000002E-3</v>
      </c>
      <c r="H53" s="1066" t="str">
        <f t="shared" si="8"/>
        <v>——</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3411</v>
      </c>
      <c r="D54" s="1065">
        <f t="shared" si="7"/>
        <v>-5.1999999999999998E-3</v>
      </c>
      <c r="E54" s="745"/>
      <c r="F54" s="1814"/>
      <c r="G54" s="1063">
        <v>5.1999999999999998E-3</v>
      </c>
      <c r="H54" s="1066" t="str">
        <f t="shared" si="8"/>
        <v>——</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3394</v>
      </c>
      <c r="D55" s="1065">
        <f t="shared" si="7"/>
        <v>3.2000000000000002E-3</v>
      </c>
      <c r="E55" s="745"/>
      <c r="F55" s="1814"/>
      <c r="G55" s="1063">
        <v>3.2000000000000002E-3</v>
      </c>
      <c r="H55" s="1066" t="str">
        <f t="shared" si="8"/>
        <v>——</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一般</v>
      </c>
      <c r="C56" s="2044" t="s">
        <v>3409</v>
      </c>
      <c r="D56" s="1065">
        <f t="shared" si="7"/>
        <v>0</v>
      </c>
      <c r="E56" s="745"/>
      <c r="F56" s="1814"/>
      <c r="G56" s="1063">
        <v>3.2000000000000002E-3</v>
      </c>
      <c r="H56" s="1066" t="str">
        <f t="shared" si="8"/>
        <v>——</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七通</v>
      </c>
      <c r="C57" s="2044" t="s">
        <v>3395</v>
      </c>
      <c r="D57" s="1065">
        <f t="shared" si="7"/>
        <v>1.04E-2</v>
      </c>
      <c r="E57" s="745"/>
      <c r="F57" s="1814"/>
      <c r="G57" s="1063">
        <v>5.1999999999999998E-3</v>
      </c>
      <c r="H57" s="1066" t="str">
        <f t="shared" si="8"/>
        <v>——</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一般</v>
      </c>
      <c r="C58" s="2044" t="s">
        <v>3409</v>
      </c>
      <c r="D58" s="1065">
        <f t="shared" si="7"/>
        <v>0</v>
      </c>
      <c r="E58" s="746"/>
      <c r="F58" s="1814"/>
      <c r="G58" s="1063">
        <v>3.2000000000000002E-3</v>
      </c>
      <c r="H58" s="1066" t="str">
        <f t="shared" si="8"/>
        <v>——</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0.99929999999999997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较差</v>
      </c>
      <c r="C61" s="2044" t="s">
        <v>3411</v>
      </c>
      <c r="D61" s="1065">
        <f t="shared" ref="D61:D69" si="12">SUMIF($J$60:$N$60,C61,J61:N61)</f>
        <v>-1.6199999999999999E-2</v>
      </c>
      <c r="E61" s="744">
        <f>ROUND(SUM(D61:D69),4)</f>
        <v>-6.9999999999999999E-4</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一般</v>
      </c>
      <c r="C62" s="2044" t="s">
        <v>3409</v>
      </c>
      <c r="D62" s="1065">
        <f t="shared" si="12"/>
        <v>0</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t="s">
        <v>3409</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3411</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一般</v>
      </c>
      <c r="C67" s="2044" t="s">
        <v>3409</v>
      </c>
      <c r="D67" s="1065">
        <f t="shared" si="12"/>
        <v>0</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t="s">
        <v>3395</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t="s">
        <v>3409</v>
      </c>
      <c r="D69" s="1065">
        <f t="shared" si="12"/>
        <v>0</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3266</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2044</v>
      </c>
      <c r="B92" s="3362"/>
      <c r="C92" s="3362" t="s">
        <v>2046</v>
      </c>
      <c r="D92" s="3362" t="s">
        <v>2047</v>
      </c>
      <c r="E92" s="3344" t="s">
        <v>2048</v>
      </c>
      <c r="F92" s="3377" t="s">
        <v>3280</v>
      </c>
      <c r="G92" s="3362" t="s">
        <v>1989</v>
      </c>
      <c r="H92" s="3384" t="s">
        <v>3284</v>
      </c>
      <c r="I92" s="3362" t="s">
        <v>2051</v>
      </c>
      <c r="J92" s="3385" t="s">
        <v>1721</v>
      </c>
      <c r="K92" s="3385" t="s">
        <v>1722</v>
      </c>
      <c r="L92" s="3385" t="s">
        <v>1723</v>
      </c>
      <c r="M92" s="3385" t="s">
        <v>1724</v>
      </c>
      <c r="N92" s="3385" t="s">
        <v>1725</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2053</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2056</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2057</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5.5">
      <c r="A99" s="3375" t="s">
        <v>2059</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5.5">
      <c r="A100" s="3375" t="s">
        <v>2060</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2061</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82" t="s">
        <v>3291</v>
      </c>
      <c r="B103" s="3782"/>
      <c r="C103" s="3782"/>
      <c r="D103" s="3782"/>
      <c r="E103" s="3782"/>
      <c r="F103" s="3782"/>
      <c r="G103" s="3782"/>
      <c r="H103" s="3782"/>
      <c r="I103" s="3782"/>
      <c r="J103" s="3782"/>
      <c r="K103" s="3477"/>
      <c r="L103" s="3477"/>
      <c r="M103" s="3477"/>
      <c r="N103" s="3477"/>
    </row>
    <row r="104" spans="1:14">
      <c r="A104" s="3783" t="s">
        <v>3292</v>
      </c>
      <c r="B104" s="3783" t="s">
        <v>3293</v>
      </c>
      <c r="C104" s="3387" t="s">
        <v>3294</v>
      </c>
      <c r="D104" s="3388"/>
      <c r="E104" s="3388"/>
      <c r="F104" s="3388"/>
      <c r="G104" s="3388"/>
      <c r="H104" s="3388"/>
      <c r="I104" s="3388"/>
      <c r="J104" s="3389"/>
      <c r="K104" s="3390"/>
      <c r="L104" s="3390"/>
      <c r="M104" s="3390"/>
      <c r="N104" s="3390"/>
    </row>
    <row r="105" spans="1:14">
      <c r="A105" s="3783"/>
      <c r="B105" s="3783"/>
      <c r="C105" s="3478" t="s">
        <v>1961</v>
      </c>
      <c r="D105" s="3478" t="s">
        <v>1962</v>
      </c>
      <c r="E105" s="3478" t="s">
        <v>1963</v>
      </c>
      <c r="F105" s="3478" t="s">
        <v>1964</v>
      </c>
      <c r="G105" s="3478" t="s">
        <v>1965</v>
      </c>
      <c r="H105" s="3478" t="s">
        <v>1966</v>
      </c>
      <c r="I105" s="3478" t="s">
        <v>1967</v>
      </c>
      <c r="J105" s="3478" t="s">
        <v>1968</v>
      </c>
      <c r="K105" s="3478" t="s">
        <v>1969</v>
      </c>
      <c r="L105" s="3478" t="s">
        <v>1970</v>
      </c>
      <c r="M105" s="3478" t="s">
        <v>1971</v>
      </c>
      <c r="N105" s="3478" t="s">
        <v>1972</v>
      </c>
    </row>
    <row r="106" spans="1:14">
      <c r="A106" s="3784" t="s">
        <v>3307</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85"/>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85"/>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85"/>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85"/>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85"/>
      <c r="B111" s="3478"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86"/>
      <c r="B112" s="3478">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87" t="s">
        <v>3308</v>
      </c>
      <c r="B113" s="3787"/>
      <c r="C113" s="3787"/>
      <c r="D113" s="3787"/>
      <c r="E113" s="3787"/>
      <c r="F113" s="3787"/>
      <c r="G113" s="3787"/>
      <c r="H113" s="3787"/>
      <c r="I113" s="3787"/>
      <c r="J113" s="3787"/>
      <c r="K113" s="3475"/>
      <c r="L113" s="3475"/>
      <c r="M113" s="3475"/>
      <c r="N113" s="3475"/>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0.90600000000000003</v>
      </c>
      <c r="E116" s="2000" t="s">
        <v>1936</v>
      </c>
      <c r="F116" s="3398" t="str">
        <f>E2</f>
        <v>办公</v>
      </c>
      <c r="G116" s="2000" t="s">
        <v>1937</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1990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1991</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1992</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1993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0</v>
      </c>
      <c r="D6" s="155" t="s">
        <v>2106</v>
      </c>
      <c r="E6" s="302" t="s">
        <v>696</v>
      </c>
      <c r="F6" s="303">
        <f ca="1">INDIRECT("'数据-取费表'!u"&amp;$G$1)</f>
        <v>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#DIV/0!</v>
      </c>
      <c r="D45" s="3428"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3355</v>
      </c>
      <c r="E2" s="3440"/>
      <c r="F2" s="2842"/>
      <c r="G2" s="2843"/>
      <c r="H2" s="2844"/>
      <c r="I2" s="2845"/>
      <c r="J2" s="3685" t="s">
        <v>2315</v>
      </c>
      <c r="K2" s="3686"/>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687" t="s">
        <v>2325</v>
      </c>
      <c r="K3" s="3688"/>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687" t="s">
        <v>2327</v>
      </c>
      <c r="K4" s="3688"/>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689" t="s">
        <v>2331</v>
      </c>
      <c r="B6" s="3690"/>
      <c r="C6" s="3691"/>
      <c r="D6" s="2866"/>
      <c r="E6" s="2867"/>
      <c r="F6" s="2868"/>
      <c r="G6" s="2869"/>
      <c r="H6" s="2844"/>
      <c r="I6" s="2845"/>
      <c r="J6" s="3692">
        <v>1</v>
      </c>
      <c r="K6" s="3693"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692"/>
      <c r="K7" s="3694"/>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696" t="s">
        <v>2345</v>
      </c>
      <c r="C8" s="3697"/>
      <c r="D8" s="2885" t="s">
        <v>2346</v>
      </c>
      <c r="E8" s="2886" t="s">
        <v>2347</v>
      </c>
      <c r="F8" s="2887" t="s">
        <v>2348</v>
      </c>
      <c r="G8" s="2888"/>
      <c r="H8" s="2844"/>
      <c r="I8" s="2845"/>
      <c r="J8" s="3692"/>
      <c r="K8" s="3694"/>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696" t="s">
        <v>2351</v>
      </c>
      <c r="C9" s="3697"/>
      <c r="D9" s="2885">
        <f>ROUND(D6*E9,0)</f>
        <v>0</v>
      </c>
      <c r="E9" s="2889"/>
      <c r="F9" s="2890" t="s">
        <v>2352</v>
      </c>
      <c r="G9" s="2869"/>
      <c r="H9" s="2844"/>
      <c r="I9" s="2845"/>
      <c r="J9" s="3692"/>
      <c r="K9" s="3694"/>
      <c r="L9" s="2879" t="s">
        <v>2353</v>
      </c>
      <c r="M9" s="2880"/>
      <c r="N9" s="2856"/>
      <c r="O9" s="2881"/>
      <c r="P9" s="2881"/>
      <c r="Q9" s="2882">
        <v>365</v>
      </c>
      <c r="R9" s="2883">
        <f t="shared" si="0"/>
        <v>0</v>
      </c>
      <c r="S9" s="2837"/>
      <c r="T9" s="2837"/>
      <c r="U9" s="2837"/>
      <c r="V9" s="2845"/>
    </row>
    <row r="10" spans="1:22" s="2849" customFormat="1" ht="13.15" customHeight="1">
      <c r="A10" s="2884">
        <v>2</v>
      </c>
      <c r="B10" s="3696" t="s">
        <v>2354</v>
      </c>
      <c r="C10" s="3697"/>
      <c r="D10" s="2885">
        <f>ROUND(D6*E10,0)</f>
        <v>0</v>
      </c>
      <c r="E10" s="2889"/>
      <c r="F10" s="2890" t="s">
        <v>2355</v>
      </c>
      <c r="G10" s="2869"/>
      <c r="H10" s="2844"/>
      <c r="I10" s="2845"/>
      <c r="J10" s="3692"/>
      <c r="K10" s="3694"/>
      <c r="L10" s="2879" t="s">
        <v>2356</v>
      </c>
      <c r="M10" s="2880"/>
      <c r="N10" s="2856"/>
      <c r="O10" s="2881"/>
      <c r="P10" s="2881"/>
      <c r="Q10" s="2882">
        <v>365</v>
      </c>
      <c r="R10" s="2883">
        <f t="shared" si="0"/>
        <v>0</v>
      </c>
      <c r="S10" s="2837"/>
      <c r="T10" s="2837"/>
      <c r="U10" s="2837"/>
      <c r="V10" s="2845"/>
    </row>
    <row r="11" spans="1:22" s="2849" customFormat="1" ht="13.15" customHeight="1">
      <c r="A11" s="2884">
        <v>3</v>
      </c>
      <c r="B11" s="3696" t="s">
        <v>2357</v>
      </c>
      <c r="C11" s="3697"/>
      <c r="D11" s="2885">
        <f>D12+D14+D15+D16</f>
        <v>0</v>
      </c>
      <c r="E11" s="2891" t="e">
        <f>D11/D6</f>
        <v>#DIV/0!</v>
      </c>
      <c r="F11" s="2887"/>
      <c r="G11" s="2888"/>
      <c r="H11" s="2844"/>
      <c r="I11" s="2845"/>
      <c r="J11" s="3692"/>
      <c r="K11" s="3694"/>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698" t="s">
        <v>2360</v>
      </c>
      <c r="C12" s="3699"/>
      <c r="D12" s="2893">
        <f>ROUND(D13*1.2%*(1-30%),0)</f>
        <v>0</v>
      </c>
      <c r="E12" s="2894">
        <v>1.2E-2</v>
      </c>
      <c r="F12" s="2887" t="s">
        <v>2361</v>
      </c>
      <c r="G12" s="2888"/>
      <c r="H12" s="2844"/>
      <c r="I12" s="2845"/>
      <c r="J12" s="3692"/>
      <c r="K12" s="3694"/>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692"/>
      <c r="K13" s="3694"/>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698" t="s">
        <v>2366</v>
      </c>
      <c r="C14" s="3699"/>
      <c r="D14" s="2893">
        <f>ROUND(E14*B5/10000,0)</f>
        <v>0</v>
      </c>
      <c r="E14" s="2882"/>
      <c r="F14" s="2887" t="s">
        <v>2367</v>
      </c>
      <c r="G14" s="2888"/>
      <c r="H14" s="2844"/>
      <c r="I14" s="2845"/>
      <c r="J14" s="3692"/>
      <c r="K14" s="3695"/>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698" t="s">
        <v>2370</v>
      </c>
      <c r="C15" s="3699"/>
      <c r="D15" s="2893">
        <f>ROUND(D6*E15,0)</f>
        <v>0</v>
      </c>
      <c r="E15" s="2894">
        <v>5.5E-2</v>
      </c>
      <c r="F15" s="2887" t="s">
        <v>2371</v>
      </c>
      <c r="G15" s="2869"/>
      <c r="H15" s="2844"/>
      <c r="I15" s="2845"/>
      <c r="J15" s="3692">
        <v>2</v>
      </c>
      <c r="K15" s="3693"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698" t="s">
        <v>2379</v>
      </c>
      <c r="C16" s="3699"/>
      <c r="D16" s="2904">
        <f>D6*E16</f>
        <v>0</v>
      </c>
      <c r="E16" s="2905"/>
      <c r="F16" s="2890" t="s">
        <v>2380</v>
      </c>
      <c r="G16" s="2869"/>
      <c r="H16" s="2844"/>
      <c r="I16" s="2845"/>
      <c r="J16" s="3692"/>
      <c r="K16" s="3694"/>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00" t="s">
        <v>2382</v>
      </c>
      <c r="C17" s="3701"/>
      <c r="D17" s="2907">
        <f>ROUND(D6*E17,0)</f>
        <v>0</v>
      </c>
      <c r="E17" s="2908"/>
      <c r="F17" s="2909" t="s">
        <v>2383</v>
      </c>
      <c r="G17" s="2869"/>
      <c r="H17" s="2844"/>
      <c r="I17" s="2845"/>
      <c r="J17" s="3692"/>
      <c r="K17" s="3694"/>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692"/>
      <c r="K18" s="3694"/>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692"/>
      <c r="K19" s="3695"/>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2">
        <v>3</v>
      </c>
      <c r="K20" s="3693"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692"/>
      <c r="K21" s="3694"/>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692"/>
      <c r="K22" s="3694"/>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692"/>
      <c r="K23" s="3694"/>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692"/>
      <c r="K24" s="3695"/>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02">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0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685" t="s">
        <v>2315</v>
      </c>
      <c r="K32" s="3686"/>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687" t="s">
        <v>2325</v>
      </c>
      <c r="K33" s="3688"/>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687" t="s">
        <v>2327</v>
      </c>
      <c r="K34" s="368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692">
        <v>1</v>
      </c>
      <c r="K36" s="3693"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692"/>
      <c r="K37" s="3694"/>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2"/>
      <c r="K38" s="3694"/>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692"/>
      <c r="K39" s="3694"/>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692"/>
      <c r="K40" s="3695"/>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2">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0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8" sqref="F8:F1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17563</v>
      </c>
      <c r="C2" s="1872" t="s">
        <v>1651</v>
      </c>
      <c r="D2" s="1873" t="s">
        <v>1652</v>
      </c>
      <c r="E2" s="2603">
        <f>SUM(E6:E13)</f>
        <v>14258.28</v>
      </c>
      <c r="F2" s="2703"/>
      <c r="G2" s="1489"/>
      <c r="H2" s="1489"/>
      <c r="I2" s="1489"/>
      <c r="J2" s="1489"/>
      <c r="K2" s="1489"/>
      <c r="L2" s="1489"/>
      <c r="M2" s="1489"/>
      <c r="N2" s="1489"/>
      <c r="O2" s="1489"/>
      <c r="P2" s="1489"/>
      <c r="Q2" s="1489"/>
      <c r="R2" s="1489"/>
      <c r="S2" s="1489"/>
    </row>
    <row r="3" spans="1:22" ht="15.75">
      <c r="A3" s="1870" t="s">
        <v>686</v>
      </c>
      <c r="B3" s="2597">
        <f ca="1">ROUND(B2*10000/E2,0)</f>
        <v>12318</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04" t="s">
        <v>1654</v>
      </c>
      <c r="C5" s="3705"/>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v>
      </c>
      <c r="B6" s="2598">
        <f ca="1">IF(F6="是",'数据-取费表'!AO6,0)</f>
        <v>12552</v>
      </c>
      <c r="C6" s="1872" t="s">
        <v>1651</v>
      </c>
      <c r="D6" s="2705"/>
      <c r="E6" s="2602">
        <f>IF(OR(A6=0,F6="否"),0,'数据-取费表'!K6+'数据-取费表'!S6)</f>
        <v>8653.92</v>
      </c>
      <c r="F6" s="1876" t="s">
        <v>1657</v>
      </c>
      <c r="G6" s="1489"/>
      <c r="H6" s="1489"/>
      <c r="I6" s="1489"/>
      <c r="J6" s="1489"/>
      <c r="K6" s="1489"/>
      <c r="L6" s="1489"/>
      <c r="M6" s="1489"/>
      <c r="N6" s="1489"/>
      <c r="O6" s="1489"/>
      <c r="P6" s="1489"/>
      <c r="Q6" s="1489"/>
      <c r="R6" s="1489"/>
      <c r="S6" s="1489"/>
    </row>
    <row r="7" spans="1:22">
      <c r="A7" s="2600" t="str">
        <f>'数据-取费表'!AN7</f>
        <v>收益法-1</v>
      </c>
      <c r="B7" s="2598">
        <f ca="1">IF(F7="是",'数据-取费表'!AO7,0)</f>
        <v>5011</v>
      </c>
      <c r="C7" s="1872" t="s">
        <v>1651</v>
      </c>
      <c r="D7" s="2705"/>
      <c r="E7" s="2602">
        <f>IF(OR(A7=0,F7="否"),0,'数据-取费表'!K7+'数据-取费表'!S7)</f>
        <v>5604.3600000000006</v>
      </c>
      <c r="F7" s="1876" t="s">
        <v>1657</v>
      </c>
      <c r="G7" s="1489"/>
      <c r="H7" s="1489"/>
      <c r="I7" s="1489"/>
      <c r="J7" s="1489"/>
      <c r="K7" s="1489"/>
      <c r="L7" s="1489"/>
      <c r="M7" s="1489"/>
      <c r="N7" s="1489"/>
      <c r="O7" s="1489"/>
      <c r="P7" s="1489"/>
      <c r="Q7" s="1489"/>
      <c r="R7" s="1489"/>
      <c r="S7" s="1489"/>
    </row>
    <row r="8" spans="1:22">
      <c r="A8" s="2600">
        <f>'数据-取费表'!AN8</f>
        <v>0</v>
      </c>
      <c r="B8" s="2598">
        <f>IF(F8="是",'数据-取费表'!AO8,0)</f>
        <v>0</v>
      </c>
      <c r="C8" s="1872" t="s">
        <v>1651</v>
      </c>
      <c r="D8" s="2705"/>
      <c r="E8" s="2602">
        <f>IF(OR(A8=0,F8="否"),0,'数据-取费表'!K8+'数据-取费表'!S8)</f>
        <v>0</v>
      </c>
      <c r="F8" s="1876"/>
      <c r="G8" s="1489"/>
      <c r="H8" s="1489"/>
      <c r="I8" s="1489"/>
      <c r="J8" s="1489"/>
      <c r="K8" s="1489"/>
      <c r="L8" s="1489"/>
      <c r="M8" s="1489"/>
      <c r="N8" s="1489"/>
      <c r="O8" s="1489"/>
      <c r="P8" s="1489"/>
      <c r="Q8" s="1489"/>
      <c r="R8" s="1489"/>
      <c r="S8" s="1489"/>
    </row>
    <row r="9" spans="1:22">
      <c r="A9" s="2600">
        <f>'数据-取费表'!AN9</f>
        <v>0</v>
      </c>
      <c r="B9" s="2598">
        <f>IF(F9="是",'数据-取费表'!AO9,0)</f>
        <v>0</v>
      </c>
      <c r="C9" s="1872" t="s">
        <v>1651</v>
      </c>
      <c r="D9" s="2705"/>
      <c r="E9" s="2602">
        <f>IF(OR(A9=0,F9="否"),0,'数据-取费表'!K9+'数据-取费表'!S9)</f>
        <v>0</v>
      </c>
      <c r="F9" s="1876"/>
      <c r="G9" s="1489"/>
      <c r="H9" s="1489"/>
      <c r="I9" s="1489"/>
      <c r="J9" s="1489"/>
      <c r="K9" s="1489"/>
      <c r="L9" s="1489"/>
      <c r="M9" s="1489"/>
      <c r="N9" s="1489"/>
      <c r="O9" s="1489"/>
      <c r="P9" s="1489"/>
      <c r="Q9" s="1489"/>
      <c r="R9" s="1489"/>
      <c r="S9" s="1489"/>
    </row>
    <row r="10" spans="1:22">
      <c r="A10" s="2600">
        <f>'数据-取费表'!AN10</f>
        <v>0</v>
      </c>
      <c r="B10" s="2598">
        <f>IF(F10="是",'数据-取费表'!AO10,0)</f>
        <v>0</v>
      </c>
      <c r="C10" s="1872" t="s">
        <v>1651</v>
      </c>
      <c r="D10" s="2705"/>
      <c r="E10" s="2602">
        <f>IF(OR(A10=0,F10="否"),0,'数据-取费表'!K10+'数据-取费表'!S10)</f>
        <v>0</v>
      </c>
      <c r="F10" s="1876"/>
      <c r="G10" s="1489"/>
      <c r="H10" s="1489"/>
      <c r="I10" s="1489"/>
      <c r="J10" s="1489"/>
      <c r="K10" s="1489"/>
      <c r="L10" s="1489"/>
      <c r="M10" s="1489"/>
      <c r="N10" s="1489"/>
      <c r="O10" s="1489"/>
      <c r="P10" s="1489"/>
      <c r="Q10" s="1489"/>
      <c r="R10" s="1489"/>
      <c r="S10" s="1489"/>
    </row>
    <row r="11" spans="1:22">
      <c r="A11" s="2600">
        <f>'数据-取费表'!AN11</f>
        <v>0</v>
      </c>
      <c r="B11" s="2598">
        <f>IF(F11="是",'数据-取费表'!AO11,0)</f>
        <v>0</v>
      </c>
      <c r="C11" s="1872" t="s">
        <v>1651</v>
      </c>
      <c r="D11" s="2705"/>
      <c r="E11" s="2602">
        <f>IF(OR(A11=0,F11="否"),0,'数据-取费表'!K11+'数据-取费表'!S11)</f>
        <v>0</v>
      </c>
      <c r="F11" s="1876"/>
      <c r="G11" s="1489"/>
      <c r="H11" s="1489"/>
      <c r="I11" s="1489"/>
      <c r="J11" s="1489"/>
      <c r="K11" s="1489"/>
      <c r="L11" s="1489"/>
      <c r="M11" s="1489"/>
      <c r="N11" s="1489"/>
      <c r="O11" s="1489"/>
      <c r="P11" s="1489"/>
      <c r="Q11" s="1489"/>
      <c r="R11" s="1489"/>
      <c r="S11" s="1489"/>
    </row>
    <row r="12" spans="1:22">
      <c r="A12" s="2600">
        <f>'数据-取费表'!AN12</f>
        <v>0</v>
      </c>
      <c r="B12" s="2598">
        <f>IF(F12="是",'数据-取费表'!AO12,0)</f>
        <v>0</v>
      </c>
      <c r="C12" s="1872" t="s">
        <v>1651</v>
      </c>
      <c r="D12" s="2705"/>
      <c r="E12" s="2602">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1">
        <f>'数据-取费表'!AN13</f>
        <v>0</v>
      </c>
      <c r="B13" s="2598">
        <f>IF(F13="是",'数据-取费表'!AO13,0)</f>
        <v>0</v>
      </c>
      <c r="C13" s="1877" t="s">
        <v>1651</v>
      </c>
      <c r="D13" s="2706"/>
      <c r="E13" s="2602">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12552</v>
      </c>
      <c r="C2" s="1387" t="s">
        <v>805</v>
      </c>
      <c r="D2" s="1387"/>
      <c r="E2" s="1388"/>
      <c r="F2" s="1389"/>
      <c r="G2" s="2702"/>
      <c r="H2" s="2691"/>
      <c r="I2" s="2691"/>
      <c r="J2" s="2691"/>
      <c r="K2" s="2692"/>
      <c r="L2" s="2691"/>
      <c r="M2" s="2691"/>
    </row>
    <row r="3" spans="1:37" ht="18" customHeight="1" thickBot="1">
      <c r="A3" s="1390" t="s">
        <v>806</v>
      </c>
      <c r="B3" s="1391">
        <f ca="1">IF(ISERROR(B2*10000/F43),0,ROUND(B2*10000/F43,0))</f>
        <v>14504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885</v>
      </c>
      <c r="D5" s="1364" t="s">
        <v>693</v>
      </c>
      <c r="E5" s="1071"/>
      <c r="F5" s="1072"/>
      <c r="G5" s="1384"/>
      <c r="H5" s="299">
        <v>1</v>
      </c>
      <c r="I5" s="300" t="s">
        <v>692</v>
      </c>
      <c r="J5" s="1070">
        <f ca="1">J6+J10+J12</f>
        <v>1024</v>
      </c>
      <c r="K5" s="1364" t="s">
        <v>693</v>
      </c>
      <c r="L5" s="1071"/>
      <c r="M5" s="1072"/>
    </row>
    <row r="6" spans="1:37" ht="18" customHeight="1">
      <c r="A6" s="1069" t="s">
        <v>398</v>
      </c>
      <c r="B6" s="3680" t="s">
        <v>694</v>
      </c>
      <c r="C6" s="1074">
        <f ca="1">ROUND(F6*F8*F7*(1-F9)/10000,0)</f>
        <v>884</v>
      </c>
      <c r="D6" s="155" t="s">
        <v>2109</v>
      </c>
      <c r="E6" s="302" t="s">
        <v>696</v>
      </c>
      <c r="F6" s="303">
        <f ca="1">INDIRECT("'数据-取费表'!u"&amp;$G$1)</f>
        <v>2.8</v>
      </c>
      <c r="G6" s="1384"/>
      <c r="H6" s="1069" t="s">
        <v>398</v>
      </c>
      <c r="I6" s="3680" t="s">
        <v>694</v>
      </c>
      <c r="J6" s="301">
        <f ca="1">ROUND(M6*M8*M7*(1-M9)/10000,0)</f>
        <v>1023</v>
      </c>
      <c r="K6" s="155" t="s">
        <v>2108</v>
      </c>
      <c r="L6" s="302" t="s">
        <v>696</v>
      </c>
      <c r="M6" s="303">
        <f ca="1">INDIRECT("'数据-取费表'!z"&amp;$G$1)</f>
        <v>3.6</v>
      </c>
    </row>
    <row r="7" spans="1:37" ht="18" customHeight="1">
      <c r="A7" s="1073"/>
      <c r="B7" s="3681"/>
      <c r="C7" s="1075"/>
      <c r="D7" s="307"/>
      <c r="E7" s="1076" t="s">
        <v>697</v>
      </c>
      <c r="F7" s="303">
        <f ca="1">IF(INDIRECT("'数据-取费表'!ah"&amp;$G$1)="",INDIRECT("'数据-取费表'!k"&amp;$G$1),INDIRECT("'数据-取费表'!ah"&amp;$G$1))</f>
        <v>8653.92</v>
      </c>
      <c r="G7" s="1384"/>
      <c r="H7" s="304"/>
      <c r="I7" s="3681"/>
      <c r="J7" s="306"/>
      <c r="K7" s="307"/>
      <c r="L7" s="302" t="s">
        <v>697</v>
      </c>
      <c r="M7" s="303">
        <f ca="1">F7</f>
        <v>8653.92</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1</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4984</v>
      </c>
      <c r="D13" s="1081" t="s">
        <v>705</v>
      </c>
      <c r="E13" s="1081" t="s">
        <v>706</v>
      </c>
      <c r="F13" s="1082">
        <f ca="1">INDIRECT("'数据-取费表'!y"&amp;$G$1)</f>
        <v>0.95</v>
      </c>
      <c r="G13" s="1384"/>
      <c r="H13" s="1079">
        <v>2</v>
      </c>
      <c r="I13" s="1080" t="s">
        <v>704</v>
      </c>
      <c r="J13" s="1068">
        <f ca="1">ROUND(J14*J15,0)</f>
        <v>3515</v>
      </c>
      <c r="K13" s="1087" t="s">
        <v>705</v>
      </c>
      <c r="L13" s="1392"/>
      <c r="M13" s="1393"/>
    </row>
    <row r="14" spans="1:37" ht="18" customHeight="1">
      <c r="A14" s="982" t="s">
        <v>397</v>
      </c>
      <c r="B14" s="302" t="s">
        <v>707</v>
      </c>
      <c r="C14" s="318">
        <f ca="1">INDIRECT("'数据-取费表'!m"&amp;$G$1)+INDIRECT("'数据-取费表'!t"&amp;$G$1)</f>
        <v>3462</v>
      </c>
      <c r="D14" s="1345" t="s">
        <v>708</v>
      </c>
      <c r="E14" s="1342"/>
      <c r="F14" s="319"/>
      <c r="G14" s="1384"/>
      <c r="H14" s="982" t="s">
        <v>398</v>
      </c>
      <c r="I14" s="302" t="s">
        <v>709</v>
      </c>
      <c r="J14" s="21">
        <f ca="1">C29</f>
        <v>5246</v>
      </c>
      <c r="K14" s="12"/>
      <c r="L14" s="807"/>
      <c r="M14" s="808"/>
    </row>
    <row r="15" spans="1:37" s="1397" customFormat="1" ht="18" customHeight="1" thickBot="1">
      <c r="A15" s="982" t="s">
        <v>399</v>
      </c>
      <c r="B15" s="302" t="s">
        <v>710</v>
      </c>
      <c r="C15" s="21">
        <f ca="1">ROUND(C14*F15,0)</f>
        <v>173</v>
      </c>
      <c r="D15" s="320" t="s">
        <v>711</v>
      </c>
      <c r="E15" s="320"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201</v>
      </c>
      <c r="K16" s="1087" t="s">
        <v>715</v>
      </c>
      <c r="L16" s="1088"/>
      <c r="M16" s="1072"/>
    </row>
    <row r="17" spans="1:37" s="1397" customFormat="1" ht="18" customHeight="1">
      <c r="A17" s="982" t="s">
        <v>681</v>
      </c>
      <c r="B17" s="302" t="s">
        <v>716</v>
      </c>
      <c r="C17" s="21">
        <f ca="1">ROUND(F17*(F43+INDIRECT("'数据-取费表'!S"&amp;$G$1))/10000,0)</f>
        <v>173</v>
      </c>
      <c r="D17" s="302" t="s">
        <v>717</v>
      </c>
      <c r="E17" s="302" t="s">
        <v>718</v>
      </c>
      <c r="F17" s="23">
        <f>'数据-取费表'!B35</f>
        <v>200</v>
      </c>
      <c r="G17" s="1396"/>
      <c r="H17" s="982" t="s">
        <v>398</v>
      </c>
      <c r="I17" s="302" t="s">
        <v>719</v>
      </c>
      <c r="J17" s="2316">
        <f ca="1">ROUND(IF(AND(项目基本情况!B11="自然人",项目基本情况!B10="北京市"),J6*M17/(1+'数据-取费表'!C42),J18+J19+J20),2)</f>
        <v>171.47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0.02</v>
      </c>
      <c r="G18" s="1396"/>
      <c r="H18" s="982" t="s">
        <v>397</v>
      </c>
      <c r="I18" s="302" t="s">
        <v>723</v>
      </c>
      <c r="J18" s="21">
        <f ca="1">ROUND(J6*M18/(1+'数据-取费表'!C42),2)</f>
        <v>54.56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3877</v>
      </c>
      <c r="D19" s="131" t="s">
        <v>726</v>
      </c>
      <c r="E19" s="1360"/>
      <c r="F19" s="23"/>
      <c r="G19" s="1384"/>
      <c r="H19" s="982" t="s">
        <v>399</v>
      </c>
      <c r="I19" s="302" t="s">
        <v>727</v>
      </c>
      <c r="J19" s="21">
        <f ca="1">IF(K19="按租金收入计税",ROUND(J6*M19/(1+'数据-取费表'!C42),2),ROUND(C29*M19*0.7,2))</f>
        <v>116.91</v>
      </c>
      <c r="K19" s="1370" t="s">
        <v>3332</v>
      </c>
      <c r="L19" s="302" t="s">
        <v>712</v>
      </c>
      <c r="M19" s="322">
        <f>IF(K19="按租金收入计税",'数据-取费表'!B51,'数据-取费表'!B50)</f>
        <v>0.12</v>
      </c>
    </row>
    <row r="20" spans="1:37" s="1397" customFormat="1" ht="18" customHeight="1">
      <c r="A20" s="982" t="s">
        <v>402</v>
      </c>
      <c r="B20" s="302" t="s">
        <v>728</v>
      </c>
      <c r="C20" s="21">
        <f ca="1">ROUND(C19*F20,0)</f>
        <v>78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3.52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10.24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823</v>
      </c>
      <c r="K25" s="1095" t="s">
        <v>753</v>
      </c>
      <c r="L25" s="1096"/>
      <c r="M25" s="1097"/>
    </row>
    <row r="26" spans="1:37">
      <c r="A26" s="982" t="s">
        <v>397</v>
      </c>
      <c r="B26" s="302" t="s">
        <v>754</v>
      </c>
      <c r="C26" s="21">
        <f ca="1">ROUND((C19+C20)*F26,0)</f>
        <v>791</v>
      </c>
      <c r="D26" s="323" t="s">
        <v>755</v>
      </c>
      <c r="E26" s="313" t="s">
        <v>756</v>
      </c>
      <c r="F26" s="312">
        <f ca="1">INDIRECT("'数据-取费表'!q"&amp;$G$1)</f>
        <v>0.2</v>
      </c>
      <c r="G26" s="1384"/>
      <c r="H26" s="299" t="s">
        <v>395</v>
      </c>
      <c r="I26" s="300" t="s">
        <v>757</v>
      </c>
      <c r="J26" s="301">
        <f ca="1">IF(J5&lt;&gt;0,ROUND(J25*(1-((1+M28)/(1+M26))^M27)/(M26-M28),0),0)</f>
        <v>9889</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16.95</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5246</v>
      </c>
      <c r="D29" s="1092"/>
      <c r="E29" s="1090"/>
      <c r="F29" s="1093"/>
      <c r="G29" s="1396"/>
      <c r="H29" s="334" t="s">
        <v>396</v>
      </c>
      <c r="I29" s="335" t="s">
        <v>768</v>
      </c>
      <c r="J29" s="336">
        <f ca="1">ROUND(J26/(1+F40)^F41,0)</f>
        <v>4185</v>
      </c>
      <c r="K29" s="337" t="s">
        <v>769</v>
      </c>
      <c r="L29" s="338"/>
      <c r="M29" s="339">
        <f ca="1">INDIRECT("'数据-取费表'!k"&amp;$G$1)</f>
        <v>8653.92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178</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148.18</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47.15</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101.03</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15.74</v>
      </c>
      <c r="D36" s="1344"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4.9800000000000004</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8.85</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707</v>
      </c>
      <c r="D39" s="1095" t="s">
        <v>773</v>
      </c>
      <c r="E39" s="1096"/>
      <c r="F39" s="1097"/>
      <c r="G39" s="1384"/>
      <c r="H39" s="2696">
        <f ca="1">C39/C6</f>
        <v>0.79977375565610864</v>
      </c>
      <c r="I39" s="1398"/>
      <c r="J39" s="1399"/>
      <c r="K39" s="2700"/>
      <c r="L39" s="2696"/>
      <c r="M39" s="2696"/>
    </row>
    <row r="40" spans="1:18" ht="18" customHeight="1">
      <c r="A40" s="299" t="s">
        <v>395</v>
      </c>
      <c r="B40" s="300" t="s">
        <v>774</v>
      </c>
      <c r="C40" s="301">
        <f ca="1">ROUND(C39*(1-((1+F42)/(1+F40))^F41)/(F40-F42),0)</f>
        <v>8174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1.4999999999999999E-2</v>
      </c>
      <c r="G42" s="1384"/>
      <c r="H42" s="1191"/>
      <c r="I42" s="1398"/>
      <c r="J42" s="1399"/>
      <c r="K42" s="2541"/>
      <c r="L42" s="1191"/>
      <c r="M42" s="1191"/>
    </row>
    <row r="43" spans="1:18" ht="18" customHeight="1" thickBot="1">
      <c r="A43" s="334" t="s">
        <v>396</v>
      </c>
      <c r="B43" s="335" t="s">
        <v>776</v>
      </c>
      <c r="C43" s="336">
        <f ca="1">ROUND(C40*10000/F43,0)</f>
        <v>9445</v>
      </c>
      <c r="D43" s="337" t="s">
        <v>777</v>
      </c>
      <c r="E43" s="338" t="s">
        <v>778</v>
      </c>
      <c r="F43" s="339">
        <f ca="1">INDIRECT("'数据-取费表'!k"&amp;$G$1)</f>
        <v>8653.92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-8394</v>
      </c>
      <c r="D46" s="1406" t="str">
        <f>C2</f>
        <v>万元</v>
      </c>
      <c r="E46" s="1400"/>
      <c r="F46" s="1400"/>
      <c r="I46" s="1407" t="s">
        <v>810</v>
      </c>
      <c r="J46" s="1408"/>
      <c r="K46" s="1409"/>
      <c r="L46" s="1410">
        <f ca="1">IF(M47="住宅",0,IF(L48&gt;J51,L60,J60))</f>
        <v>193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12359</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33.01</v>
      </c>
      <c r="O48" s="1418" t="s">
        <v>404</v>
      </c>
      <c r="P48" s="1419" t="s">
        <v>821</v>
      </c>
      <c r="Q48" s="1420">
        <f ca="1">J60</f>
        <v>193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5246</v>
      </c>
      <c r="R49" s="1420" t="s">
        <v>818</v>
      </c>
    </row>
    <row r="50" spans="1:18" s="1384" customFormat="1" ht="13.5" thickBot="1">
      <c r="A50" s="976"/>
      <c r="B50" s="979"/>
      <c r="C50" s="1118"/>
      <c r="D50" s="953"/>
      <c r="E50" s="1056" t="s">
        <v>697</v>
      </c>
      <c r="F50" s="1057">
        <f ca="1">F7</f>
        <v>8653.92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6719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33.01</v>
      </c>
      <c r="K53" s="3683" t="s">
        <v>837</v>
      </c>
      <c r="L53" s="3684"/>
      <c r="O53" s="1418" t="s">
        <v>409</v>
      </c>
      <c r="P53" s="1419" t="s">
        <v>838</v>
      </c>
      <c r="Q53" s="1420">
        <f ca="1">Q47+Q48</f>
        <v>12552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25.5" thickTop="1" thickBot="1">
      <c r="A56" s="957">
        <v>2</v>
      </c>
      <c r="B56" s="958" t="s">
        <v>704</v>
      </c>
      <c r="C56" s="232">
        <f ca="1">C13</f>
        <v>4984</v>
      </c>
      <c r="D56" s="1447"/>
      <c r="E56" s="1448"/>
      <c r="F56" s="1440"/>
      <c r="I56" s="1449" t="s">
        <v>842</v>
      </c>
      <c r="J56" s="1450" t="s">
        <v>3393</v>
      </c>
      <c r="K56" s="1421" t="s">
        <v>843</v>
      </c>
      <c r="L56" s="1424" t="str">
        <f ca="1">IF(L48&lt;J51,"——",L48-J53)</f>
        <v>——</v>
      </c>
      <c r="O56" s="1418" t="s">
        <v>403</v>
      </c>
      <c r="P56" s="1419" t="s">
        <v>817</v>
      </c>
      <c r="Q56" s="1420">
        <f ca="1">C40+J29</f>
        <v>12359</v>
      </c>
      <c r="R56" s="1420" t="s">
        <v>818</v>
      </c>
    </row>
    <row r="57" spans="1:18" s="1384" customFormat="1" ht="24.75" thickBot="1">
      <c r="A57" s="1451"/>
      <c r="B57" s="950" t="s">
        <v>767</v>
      </c>
      <c r="C57" s="238">
        <f ca="1">C29</f>
        <v>5246</v>
      </c>
      <c r="D57" s="1452"/>
      <c r="E57" s="1453"/>
      <c r="F57" s="1454"/>
      <c r="I57" s="1455" t="s">
        <v>844</v>
      </c>
      <c r="J57" s="1456">
        <f ca="1">IF(OR(M47="住宅",J51&lt;L48,J56="是"),"——",J51-L48)</f>
        <v>23.990000000000002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4.9800000000000004</v>
      </c>
      <c r="D65" s="964" t="s">
        <v>743</v>
      </c>
      <c r="E65" s="950" t="s">
        <v>744</v>
      </c>
      <c r="F65" s="330">
        <f t="shared" ca="1" si="0"/>
        <v>1E-3</v>
      </c>
      <c r="I65" s="1462" t="s">
        <v>867</v>
      </c>
      <c r="J65" s="1463">
        <v>40</v>
      </c>
      <c r="K65" s="1463">
        <v>30</v>
      </c>
      <c r="L65" s="1463">
        <v>50</v>
      </c>
      <c r="M65" s="1465">
        <v>0.02</v>
      </c>
      <c r="O65" s="1418" t="s">
        <v>403</v>
      </c>
      <c r="P65" s="1419" t="s">
        <v>868</v>
      </c>
      <c r="Q65" s="1420">
        <f ca="1">C40+J29</f>
        <v>12359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v>
      </c>
      <c r="D67" s="963" t="s">
        <v>753</v>
      </c>
      <c r="E67" s="968"/>
      <c r="F67" s="969"/>
      <c r="O67" s="1428" t="s">
        <v>405</v>
      </c>
      <c r="P67" s="1419" t="s">
        <v>850</v>
      </c>
      <c r="Q67" s="1466">
        <f ca="1">L51</f>
        <v>6719</v>
      </c>
      <c r="R67" s="1420" t="s">
        <v>870</v>
      </c>
    </row>
    <row r="68" spans="1:18" s="1384" customFormat="1" ht="16.5" thickBot="1">
      <c r="A68" s="947" t="s">
        <v>395</v>
      </c>
      <c r="B68" s="948" t="s">
        <v>774</v>
      </c>
      <c r="C68" s="301">
        <f ca="1">ROUND(C67*(1-((1+F70)/(1+F68))^F69)/(F68-F70),0)</f>
        <v>-220</v>
      </c>
      <c r="D68" s="965" t="s">
        <v>758</v>
      </c>
      <c r="E68" s="950" t="s">
        <v>759</v>
      </c>
      <c r="F68" s="312">
        <f ca="1">F40</f>
        <v>5.5E-2</v>
      </c>
      <c r="O68" s="1428" t="s">
        <v>406</v>
      </c>
      <c r="P68" s="1467" t="s">
        <v>871</v>
      </c>
      <c r="Q68" s="1420">
        <f ca="1">ROUND(Q69-Q70*Q71,0)</f>
        <v>358</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707</v>
      </c>
      <c r="R69" s="1420" t="s">
        <v>818</v>
      </c>
    </row>
    <row r="70" spans="1:18" s="1384" customFormat="1" ht="13.5" thickBot="1">
      <c r="A70" s="954"/>
      <c r="B70" s="955"/>
      <c r="C70" s="310"/>
      <c r="D70" s="966"/>
      <c r="E70" s="950" t="s">
        <v>766</v>
      </c>
      <c r="F70" s="1054"/>
      <c r="O70" s="1428" t="s">
        <v>412</v>
      </c>
      <c r="P70" s="1467" t="s">
        <v>873</v>
      </c>
      <c r="Q70" s="1420">
        <f ca="1">C13</f>
        <v>4984</v>
      </c>
      <c r="R70" s="1420" t="s">
        <v>818</v>
      </c>
    </row>
    <row r="71" spans="1:18" s="1384" customFormat="1" ht="13.5" thickBot="1">
      <c r="A71" s="971" t="s">
        <v>396</v>
      </c>
      <c r="B71" s="972" t="s">
        <v>776</v>
      </c>
      <c r="C71" s="336">
        <f ca="1">ROUND(C68*10000/F71,0)</f>
        <v>-254</v>
      </c>
      <c r="D71" s="973" t="s">
        <v>777</v>
      </c>
      <c r="E71" s="974" t="s">
        <v>778</v>
      </c>
      <c r="F71" s="339">
        <f ca="1">F43</f>
        <v>8653.92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349</v>
      </c>
      <c r="D75" s="1384"/>
      <c r="E75" s="1384"/>
      <c r="F75" s="1384"/>
      <c r="K75" s="1402"/>
      <c r="L75" s="1384"/>
      <c r="O75" s="1418" t="s">
        <v>409</v>
      </c>
      <c r="P75" s="1419" t="s">
        <v>838</v>
      </c>
      <c r="Q75" s="1420">
        <f ca="1">Q65+Q66</f>
        <v>12359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0.50600000000000001</v>
      </c>
    </row>
    <row r="80" spans="1:18">
      <c r="B80" s="340" t="s">
        <v>800</v>
      </c>
      <c r="C80" s="274">
        <f ca="1">ROUND(C75/C39,3)</f>
        <v>0.49399999999999999</v>
      </c>
    </row>
    <row r="81" spans="2:3">
      <c r="B81" s="270" t="s">
        <v>801</v>
      </c>
      <c r="C81" s="238"/>
    </row>
    <row r="82" spans="2:3">
      <c r="B82" s="273" t="s">
        <v>802</v>
      </c>
      <c r="C82" s="275">
        <f ca="1">1-C83</f>
        <v>0.39</v>
      </c>
    </row>
    <row r="83" spans="2:3">
      <c r="B83" s="273" t="s">
        <v>803</v>
      </c>
      <c r="C83" s="274">
        <f ca="1">ROUND(C13/C40,3)</f>
        <v>0.61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43.02</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5011</v>
      </c>
      <c r="C2" s="1387" t="s">
        <v>805</v>
      </c>
      <c r="D2" s="1387"/>
      <c r="E2" s="1388"/>
      <c r="F2" s="1389"/>
      <c r="G2" s="2702"/>
      <c r="H2" s="2691"/>
      <c r="I2" s="2691"/>
      <c r="J2" s="2691"/>
      <c r="K2" s="2692"/>
      <c r="L2" s="2691"/>
      <c r="M2" s="2691"/>
    </row>
    <row r="3" spans="1:37" ht="18" customHeight="1" thickBot="1">
      <c r="A3" s="1390" t="s">
        <v>806</v>
      </c>
      <c r="B3" s="1391">
        <f ca="1">IF(ISERROR(B2*10000/F43),0,ROUND(B2*10000/F43,0))</f>
        <v>8941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327</v>
      </c>
      <c r="D5" s="1364" t="s">
        <v>693</v>
      </c>
      <c r="E5" s="1071"/>
      <c r="F5" s="1072"/>
      <c r="G5" s="1384"/>
      <c r="H5" s="299">
        <v>1</v>
      </c>
      <c r="I5" s="300" t="s">
        <v>692</v>
      </c>
      <c r="J5" s="1070">
        <f ca="1">J6+J10+J12</f>
        <v>368</v>
      </c>
      <c r="K5" s="1364" t="s">
        <v>693</v>
      </c>
      <c r="L5" s="1071"/>
      <c r="M5" s="1072"/>
    </row>
    <row r="6" spans="1:37" ht="18" customHeight="1">
      <c r="A6" s="1069" t="s">
        <v>398</v>
      </c>
      <c r="B6" s="3680" t="s">
        <v>694</v>
      </c>
      <c r="C6" s="1074">
        <f ca="1">ROUND(F6*F8*F7*(1-F9)/10000,0)</f>
        <v>327</v>
      </c>
      <c r="D6" s="155" t="s">
        <v>2109</v>
      </c>
      <c r="E6" s="302" t="s">
        <v>696</v>
      </c>
      <c r="F6" s="303">
        <f ca="1">INDIRECT("'数据-取费表'!u"&amp;$G$1)</f>
        <v>1.6</v>
      </c>
      <c r="G6" s="1384"/>
      <c r="H6" s="1069" t="s">
        <v>398</v>
      </c>
      <c r="I6" s="3680" t="s">
        <v>694</v>
      </c>
      <c r="J6" s="301">
        <f ca="1">ROUND(M6*M8*M7*(1-M9)/10000,0)</f>
        <v>368</v>
      </c>
      <c r="K6" s="155" t="s">
        <v>2108</v>
      </c>
      <c r="L6" s="302" t="s">
        <v>696</v>
      </c>
      <c r="M6" s="303">
        <f ca="1">INDIRECT("'数据-取费表'!z"&amp;$G$1)</f>
        <v>2</v>
      </c>
    </row>
    <row r="7" spans="1:37" ht="18" customHeight="1">
      <c r="A7" s="1073"/>
      <c r="B7" s="3681"/>
      <c r="C7" s="1075"/>
      <c r="D7" s="307"/>
      <c r="E7" s="3461" t="s">
        <v>697</v>
      </c>
      <c r="F7" s="303">
        <f ca="1">IF(INDIRECT("'数据-取费表'!ah"&amp;$G$1)="",INDIRECT("'数据-取费表'!k"&amp;$G$1),INDIRECT("'数据-取费表'!ah"&amp;$G$1))</f>
        <v>5604.3600000000006</v>
      </c>
      <c r="G7" s="1384"/>
      <c r="H7" s="304"/>
      <c r="I7" s="3681"/>
      <c r="J7" s="306"/>
      <c r="K7" s="307"/>
      <c r="L7" s="302" t="s">
        <v>697</v>
      </c>
      <c r="M7" s="303">
        <f ca="1">F7</f>
        <v>5604.3600000000006</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3390</v>
      </c>
      <c r="G10" s="1384"/>
      <c r="H10" s="1069" t="s">
        <v>402</v>
      </c>
      <c r="I10" s="1365" t="s">
        <v>700</v>
      </c>
      <c r="J10" s="301">
        <f ca="1">ROUND(IF(M10="押一",J6/12*M11,IF(M10="押二",J6/12*2*M11,IF(M10="押三",J6/12*3*M11,J11*M11))),0)</f>
        <v>0</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3091</v>
      </c>
      <c r="D13" s="3458" t="s">
        <v>705</v>
      </c>
      <c r="E13" s="3458" t="s">
        <v>706</v>
      </c>
      <c r="F13" s="1082">
        <f ca="1">INDIRECT("'数据-取费表'!y"&amp;$G$1)</f>
        <v>0.95</v>
      </c>
      <c r="G13" s="1384"/>
      <c r="H13" s="1079">
        <v>2</v>
      </c>
      <c r="I13" s="1080" t="s">
        <v>704</v>
      </c>
      <c r="J13" s="1068">
        <f ca="1">ROUND(J14*J15,0)</f>
        <v>2180</v>
      </c>
      <c r="K13" s="1087" t="s">
        <v>705</v>
      </c>
      <c r="L13" s="1392"/>
      <c r="M13" s="1393"/>
    </row>
    <row r="14" spans="1:37" ht="18" customHeight="1">
      <c r="A14" s="982" t="s">
        <v>397</v>
      </c>
      <c r="B14" s="302" t="s">
        <v>707</v>
      </c>
      <c r="C14" s="318">
        <f ca="1">INDIRECT("'数据-取费表'!m"&amp;$G$1)+INDIRECT("'数据-取费表'!t"&amp;$G$1)</f>
        <v>2242</v>
      </c>
      <c r="D14" s="3468" t="s">
        <v>708</v>
      </c>
      <c r="E14" s="3467"/>
      <c r="F14" s="319"/>
      <c r="G14" s="1384"/>
      <c r="H14" s="982" t="s">
        <v>398</v>
      </c>
      <c r="I14" s="302" t="s">
        <v>709</v>
      </c>
      <c r="J14" s="21">
        <f ca="1">C29</f>
        <v>3254</v>
      </c>
      <c r="K14" s="3460"/>
      <c r="L14" s="807"/>
      <c r="M14" s="808"/>
    </row>
    <row r="15" spans="1:37" s="1397" customFormat="1" ht="18" customHeight="1" thickBot="1">
      <c r="A15" s="982" t="s">
        <v>399</v>
      </c>
      <c r="B15" s="302" t="s">
        <v>710</v>
      </c>
      <c r="C15" s="21">
        <f ca="1">ROUND(C14*F15,0)</f>
        <v>112</v>
      </c>
      <c r="D15" s="3459" t="s">
        <v>711</v>
      </c>
      <c r="E15" s="3459"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77</v>
      </c>
      <c r="K16" s="1087" t="s">
        <v>715</v>
      </c>
      <c r="L16" s="3470"/>
      <c r="M16" s="1072"/>
    </row>
    <row r="17" spans="1:37" s="1397" customFormat="1" ht="18" customHeight="1">
      <c r="A17" s="982" t="s">
        <v>681</v>
      </c>
      <c r="B17" s="302" t="s">
        <v>716</v>
      </c>
      <c r="C17" s="21">
        <f ca="1">ROUND(F17*(F43+INDIRECT("'数据-取费表'!S"&amp;$G$1))/10000,0)</f>
        <v>112</v>
      </c>
      <c r="D17" s="302" t="s">
        <v>717</v>
      </c>
      <c r="E17" s="302" t="s">
        <v>718</v>
      </c>
      <c r="F17" s="23">
        <f>'数据-取费表'!B35</f>
        <v>200</v>
      </c>
      <c r="G17" s="1396"/>
      <c r="H17" s="982" t="s">
        <v>398</v>
      </c>
      <c r="I17" s="302" t="s">
        <v>719</v>
      </c>
      <c r="J17" s="2316">
        <f ca="1">ROUND(IF(AND(项目基本情况!B11="自然人",项目基本情况!B10="北京市"),J6*M17/(1+'数据-取费表'!C42),J18+J19+J20),2)</f>
        <v>61.69</v>
      </c>
      <c r="K17" s="3468" t="s">
        <v>720</v>
      </c>
      <c r="L17" s="346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19.63</v>
      </c>
      <c r="K18" s="346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2511</v>
      </c>
      <c r="D19" s="131" t="s">
        <v>726</v>
      </c>
      <c r="E19" s="3474"/>
      <c r="F19" s="23"/>
      <c r="G19" s="1384"/>
      <c r="H19" s="982" t="s">
        <v>399</v>
      </c>
      <c r="I19" s="302" t="s">
        <v>727</v>
      </c>
      <c r="J19" s="21">
        <f ca="1">IF(K19="按租金收入计税",ROUND(J6*M19/(1+'数据-取费表'!C42),2),ROUND(C29*M19*0.7,2))</f>
        <v>42.06</v>
      </c>
      <c r="K19" s="1370" t="s">
        <v>3332</v>
      </c>
      <c r="L19" s="302" t="s">
        <v>712</v>
      </c>
      <c r="M19" s="322">
        <f>IF(K19="按租金收入计税",'数据-取费表'!B51,'数据-取费表'!B50)</f>
        <v>0.12</v>
      </c>
    </row>
    <row r="20" spans="1:37" s="1397" customFormat="1" ht="18" customHeight="1">
      <c r="A20" s="982" t="s">
        <v>402</v>
      </c>
      <c r="B20" s="302" t="s">
        <v>728</v>
      </c>
      <c r="C20" s="21">
        <f ca="1">ROUND(C19*F20,0)</f>
        <v>50</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9.76</v>
      </c>
      <c r="K22" s="3469"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2.1800000000000002</v>
      </c>
      <c r="K23" s="3469"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3.68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291</v>
      </c>
      <c r="K25" s="1095" t="s">
        <v>753</v>
      </c>
      <c r="L25" s="1096"/>
      <c r="M25" s="1097"/>
    </row>
    <row r="26" spans="1:37">
      <c r="A26" s="982" t="s">
        <v>397</v>
      </c>
      <c r="B26" s="302" t="s">
        <v>754</v>
      </c>
      <c r="C26" s="21">
        <f ca="1">ROUND((C19+C20)*F26,0)</f>
        <v>384</v>
      </c>
      <c r="D26" s="2427" t="s">
        <v>755</v>
      </c>
      <c r="E26" s="313" t="s">
        <v>756</v>
      </c>
      <c r="F26" s="312">
        <f ca="1">INDIRECT("'数据-取费表'!q"&amp;$G$1)</f>
        <v>0.15</v>
      </c>
      <c r="G26" s="1384"/>
      <c r="H26" s="299" t="s">
        <v>395</v>
      </c>
      <c r="I26" s="300" t="s">
        <v>757</v>
      </c>
      <c r="J26" s="301">
        <f ca="1">IF(J5&lt;&gt;0,ROUND(J25*(1-((1+M28)/(1+M26))^M27)/(M26-M28),0),0)</f>
        <v>4709</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9"/>
      <c r="F27" s="321"/>
      <c r="G27" s="1384"/>
      <c r="H27" s="304"/>
      <c r="I27" s="305"/>
      <c r="J27" s="306"/>
      <c r="K27" s="332" t="s">
        <v>762</v>
      </c>
      <c r="L27" s="302" t="s">
        <v>763</v>
      </c>
      <c r="M27" s="333">
        <f ca="1">INDIRECT("'数据-取费表'!ag"&amp;$G$1)</f>
        <v>26.960000000000004</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3254</v>
      </c>
      <c r="D29" s="1092"/>
      <c r="E29" s="1090"/>
      <c r="F29" s="1093"/>
      <c r="G29" s="1396"/>
      <c r="H29" s="334" t="s">
        <v>396</v>
      </c>
      <c r="I29" s="335" t="s">
        <v>768</v>
      </c>
      <c r="J29" s="336">
        <f ca="1">ROUND(J26/(1+F40)^F41,0)</f>
        <v>1993</v>
      </c>
      <c r="K29" s="337" t="s">
        <v>769</v>
      </c>
      <c r="L29" s="338"/>
      <c r="M29" s="339">
        <f ca="1">INDIRECT("'数据-取费表'!k"&amp;$G$1)</f>
        <v>5604.3600000000006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v>
      </c>
      <c r="D30" s="1087" t="s">
        <v>715</v>
      </c>
      <c r="E30" s="3470"/>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54.81</v>
      </c>
      <c r="D31" s="3468" t="s">
        <v>720</v>
      </c>
      <c r="E31" s="3469"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17.440000000000001</v>
      </c>
      <c r="D32" s="3469"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37.369999999999997</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9.76</v>
      </c>
      <c r="D36" s="3469"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3.09</v>
      </c>
      <c r="D37" s="3469" t="s">
        <v>743</v>
      </c>
      <c r="E37" s="302" t="s">
        <v>744</v>
      </c>
      <c r="F37" s="330">
        <f ca="1">INDIRECT("'数据-取费表'!Al"&amp;$G$1)</f>
        <v>1E-3</v>
      </c>
      <c r="G37" s="1384"/>
      <c r="H37" s="2696"/>
      <c r="I37" s="1398"/>
      <c r="J37" s="1399"/>
      <c r="K37" s="2541"/>
      <c r="L37" s="2696"/>
      <c r="M37" s="2696"/>
    </row>
    <row r="38" spans="1:18" ht="18" customHeight="1" thickBot="1">
      <c r="A38" s="1089" t="s">
        <v>683</v>
      </c>
      <c r="B38" s="1090" t="s">
        <v>728</v>
      </c>
      <c r="C38" s="1091">
        <f ca="1">ROUND(C5*F38,2)</f>
        <v>3.27</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752</v>
      </c>
      <c r="C39" s="310">
        <f ca="1">C5-C30</f>
        <v>256</v>
      </c>
      <c r="D39" s="1095" t="s">
        <v>773</v>
      </c>
      <c r="E39" s="1096"/>
      <c r="F39" s="1097"/>
      <c r="G39" s="1384"/>
      <c r="H39" s="2696">
        <f ca="1">C39/C6</f>
        <v>0.78287461773700306</v>
      </c>
      <c r="I39" s="1398"/>
      <c r="J39" s="1399"/>
      <c r="K39" s="2700"/>
      <c r="L39" s="2696"/>
      <c r="M39" s="2696"/>
    </row>
    <row r="40" spans="1:18" ht="18" customHeight="1">
      <c r="A40" s="299" t="s">
        <v>395</v>
      </c>
      <c r="B40" s="300" t="s">
        <v>774</v>
      </c>
      <c r="C40" s="301">
        <f ca="1">ROUND(C39*(1-((1+F42)/(1+F40))^F41)/(F40-F42),0)</f>
        <v>2960</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1.4999999999999999E-2</v>
      </c>
      <c r="G42" s="1384"/>
      <c r="H42" s="1191"/>
      <c r="I42" s="1398"/>
      <c r="J42" s="1399"/>
      <c r="K42" s="2541"/>
      <c r="L42" s="1191"/>
      <c r="M42" s="1191"/>
    </row>
    <row r="43" spans="1:18" ht="18" customHeight="1" thickBot="1">
      <c r="A43" s="334" t="s">
        <v>396</v>
      </c>
      <c r="B43" s="335" t="s">
        <v>776</v>
      </c>
      <c r="C43" s="336">
        <f ca="1">ROUND(C40*10000/F43,0)</f>
        <v>5282</v>
      </c>
      <c r="D43" s="337" t="s">
        <v>777</v>
      </c>
      <c r="E43" s="338" t="s">
        <v>778</v>
      </c>
      <c r="F43" s="339">
        <f ca="1">INDIRECT("'数据-取费表'!k"&amp;$G$1)</f>
        <v>5604.3600000000006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-3096</v>
      </c>
      <c r="D46" s="1406" t="str">
        <f>C2</f>
        <v>万元</v>
      </c>
      <c r="E46" s="1400"/>
      <c r="F46" s="1400"/>
      <c r="I46" s="1407" t="s">
        <v>810</v>
      </c>
      <c r="J46" s="1408"/>
      <c r="K46" s="1409"/>
      <c r="L46" s="1410">
        <f ca="1">IF(M47="住宅",0,IF(L48&gt;J51,L60,J60))</f>
        <v>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4953</v>
      </c>
      <c r="R47" s="1420" t="s">
        <v>818</v>
      </c>
    </row>
    <row r="48" spans="1:18" s="1384" customFormat="1" ht="28.5" thickBot="1">
      <c r="A48" s="1110" t="s">
        <v>438</v>
      </c>
      <c r="B48" s="300" t="s">
        <v>692</v>
      </c>
      <c r="C48" s="3473">
        <f ca="1">C49+C53+C55</f>
        <v>0</v>
      </c>
      <c r="D48" s="1112"/>
      <c r="E48" s="1113"/>
      <c r="F48" s="962"/>
      <c r="G48" s="722"/>
      <c r="H48" s="723"/>
      <c r="I48" s="1421" t="s">
        <v>819</v>
      </c>
      <c r="J48" s="1422" t="s">
        <v>3392</v>
      </c>
      <c r="K48" s="1423" t="s">
        <v>820</v>
      </c>
      <c r="L48" s="1424">
        <f ca="1">INDIRECT("'数据-取费表'!f"&amp;$G$1)</f>
        <v>43.02</v>
      </c>
      <c r="O48" s="1418" t="s">
        <v>404</v>
      </c>
      <c r="P48" s="1419" t="s">
        <v>821</v>
      </c>
      <c r="Q48" s="1420">
        <f ca="1">J60</f>
        <v>58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2021</v>
      </c>
      <c r="K49" s="1423" t="s">
        <v>824</v>
      </c>
      <c r="L49" s="1427"/>
      <c r="O49" s="1428" t="s">
        <v>405</v>
      </c>
      <c r="P49" s="1419" t="s">
        <v>825</v>
      </c>
      <c r="Q49" s="1420">
        <f ca="1">C29</f>
        <v>3254</v>
      </c>
      <c r="R49" s="1420" t="s">
        <v>818</v>
      </c>
    </row>
    <row r="50" spans="1:18" s="1384" customFormat="1" ht="13.5" thickBot="1">
      <c r="A50" s="976"/>
      <c r="B50" s="979"/>
      <c r="C50" s="1118"/>
      <c r="D50" s="953"/>
      <c r="E50" s="1056" t="s">
        <v>697</v>
      </c>
      <c r="F50" s="1057">
        <f ca="1">F7</f>
        <v>5604.3600000000006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743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43.02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43.02</v>
      </c>
      <c r="K53" s="3683" t="s">
        <v>837</v>
      </c>
      <c r="L53" s="3684"/>
      <c r="O53" s="1418" t="s">
        <v>409</v>
      </c>
      <c r="P53" s="1419" t="s">
        <v>838</v>
      </c>
      <c r="Q53" s="1420">
        <f ca="1">Q47+Q48</f>
        <v>5011</v>
      </c>
      <c r="R53" s="1420" t="s">
        <v>410</v>
      </c>
    </row>
    <row r="54" spans="1:18" s="1384" customFormat="1" ht="13.5" thickBot="1">
      <c r="A54" s="1153"/>
      <c r="B54" s="1367" t="s">
        <v>679</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2"/>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3091</v>
      </c>
      <c r="D56" s="1447"/>
      <c r="E56" s="1448"/>
      <c r="F56" s="1440"/>
      <c r="I56" s="1449" t="s">
        <v>842</v>
      </c>
      <c r="J56" s="1450" t="s">
        <v>3393</v>
      </c>
      <c r="K56" s="1421" t="s">
        <v>843</v>
      </c>
      <c r="L56" s="1424" t="str">
        <f ca="1">IF(L48&lt;J51,"——",L48-J53)</f>
        <v>——</v>
      </c>
      <c r="O56" s="1418" t="s">
        <v>403</v>
      </c>
      <c r="P56" s="1419" t="s">
        <v>817</v>
      </c>
      <c r="Q56" s="1420">
        <f ca="1">C40+J29</f>
        <v>4953</v>
      </c>
      <c r="R56" s="1420" t="s">
        <v>818</v>
      </c>
    </row>
    <row r="57" spans="1:18" s="1384" customFormat="1" ht="24.75" thickBot="1">
      <c r="A57" s="1451"/>
      <c r="B57" s="950" t="s">
        <v>767</v>
      </c>
      <c r="C57" s="238">
        <f ca="1">C29</f>
        <v>3254</v>
      </c>
      <c r="D57" s="1452"/>
      <c r="E57" s="1453"/>
      <c r="F57" s="1454"/>
      <c r="I57" s="1455" t="s">
        <v>844</v>
      </c>
      <c r="J57" s="1456">
        <f ca="1">IF(OR(M47="住宅",J51&lt;L48,J56="是"),"——",J51-L48)</f>
        <v>13.979999999999997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838</v>
      </c>
      <c r="Q62" s="1420">
        <f ca="1">Q56+Q57</f>
        <v>4953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9.76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3.09</v>
      </c>
      <c r="D65" s="964" t="s">
        <v>743</v>
      </c>
      <c r="E65" s="950" t="s">
        <v>744</v>
      </c>
      <c r="F65" s="330">
        <f t="shared" ca="1" si="0"/>
        <v>1E-3</v>
      </c>
      <c r="I65" s="1462" t="s">
        <v>867</v>
      </c>
      <c r="J65" s="1463">
        <v>40</v>
      </c>
      <c r="K65" s="1463">
        <v>30</v>
      </c>
      <c r="L65" s="1463">
        <v>50</v>
      </c>
      <c r="M65" s="1465">
        <v>0.02</v>
      </c>
      <c r="O65" s="1418" t="s">
        <v>403</v>
      </c>
      <c r="P65" s="1419" t="s">
        <v>817</v>
      </c>
      <c r="Q65" s="1420">
        <f ca="1">C40+J29</f>
        <v>4953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743</v>
      </c>
      <c r="R67" s="1420" t="s">
        <v>870</v>
      </c>
    </row>
    <row r="68" spans="1:18" s="1384" customFormat="1" ht="16.5" thickBot="1">
      <c r="A68" s="947" t="s">
        <v>395</v>
      </c>
      <c r="B68" s="948" t="s">
        <v>774</v>
      </c>
      <c r="C68" s="301">
        <f ca="1">ROUND(C67*(1-((1+F70)/(1+F68))^F69)/(F68-F70),0)</f>
        <v>-136</v>
      </c>
      <c r="D68" s="965" t="s">
        <v>758</v>
      </c>
      <c r="E68" s="950" t="s">
        <v>759</v>
      </c>
      <c r="F68" s="312">
        <f ca="1">F40</f>
        <v>5.5E-2</v>
      </c>
      <c r="O68" s="1428" t="s">
        <v>406</v>
      </c>
      <c r="P68" s="1467" t="s">
        <v>871</v>
      </c>
      <c r="Q68" s="1420">
        <f ca="1">ROUND(Q69-Q70*Q71,0)</f>
        <v>40</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256</v>
      </c>
      <c r="R69" s="1420" t="s">
        <v>818</v>
      </c>
    </row>
    <row r="70" spans="1:18" s="1384" customFormat="1" ht="13.5" thickBot="1">
      <c r="A70" s="954"/>
      <c r="B70" s="955"/>
      <c r="C70" s="310"/>
      <c r="D70" s="966"/>
      <c r="E70" s="950" t="s">
        <v>766</v>
      </c>
      <c r="F70" s="1054"/>
      <c r="O70" s="1428" t="s">
        <v>412</v>
      </c>
      <c r="P70" s="1467" t="s">
        <v>873</v>
      </c>
      <c r="Q70" s="1420">
        <f ca="1">C13</f>
        <v>3091</v>
      </c>
      <c r="R70" s="1420" t="s">
        <v>818</v>
      </c>
    </row>
    <row r="71" spans="1:18" s="1384" customFormat="1" ht="13.5" thickBot="1">
      <c r="A71" s="971" t="s">
        <v>396</v>
      </c>
      <c r="B71" s="972" t="s">
        <v>776</v>
      </c>
      <c r="C71" s="336">
        <f ca="1">ROUND(C68*10000/F71,0)</f>
        <v>-243</v>
      </c>
      <c r="D71" s="973" t="s">
        <v>777</v>
      </c>
      <c r="E71" s="974" t="s">
        <v>778</v>
      </c>
      <c r="F71" s="339">
        <f ca="1">F43</f>
        <v>5604.3600000000006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216</v>
      </c>
      <c r="D75" s="1384"/>
      <c r="E75" s="1384"/>
      <c r="F75" s="1384"/>
      <c r="K75" s="1402"/>
      <c r="L75" s="1384"/>
      <c r="O75" s="1418" t="s">
        <v>409</v>
      </c>
      <c r="P75" s="1419" t="s">
        <v>838</v>
      </c>
      <c r="Q75" s="1420">
        <f ca="1">Q65+Q66</f>
        <v>4953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0.15600000000000003</v>
      </c>
    </row>
    <row r="80" spans="1:18">
      <c r="B80" s="340" t="s">
        <v>800</v>
      </c>
      <c r="C80" s="274">
        <f ca="1">ROUND(C75/C39,3)</f>
        <v>0.84399999999999997</v>
      </c>
    </row>
    <row r="81" spans="2:3">
      <c r="B81" s="270" t="s">
        <v>801</v>
      </c>
      <c r="C81" s="238"/>
    </row>
    <row r="82" spans="2:3">
      <c r="B82" s="273" t="s">
        <v>802</v>
      </c>
      <c r="C82" s="275">
        <f ca="1">1-C83</f>
        <v>-4.4000000000000039E-2</v>
      </c>
    </row>
    <row r="83" spans="2:3">
      <c r="B83" s="273" t="s">
        <v>803</v>
      </c>
      <c r="C83" s="274">
        <f ca="1">ROUND(C13/C40,3)</f>
        <v>1.044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受贵公司委托，我公司对北京市石景山区五里坨西街11号院1号楼房地产抵押价值进行了预评估。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估价对象为北京市石景山区五里坨西街11号院1号楼房地产，为北京兴盛恒泰投资管理公司所有。根据《国有土地使用证》[]，估价对象（分摊）出让国有建设用地使用权面积为0平方米，建筑面积为14258.28平方米。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14258.28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24" t="s">
        <v>1667</v>
      </c>
      <c r="D4" s="3725"/>
      <c r="E4" s="3726" t="s">
        <v>1668</v>
      </c>
      <c r="F4" s="3727"/>
      <c r="G4" s="3724" t="s">
        <v>1669</v>
      </c>
      <c r="H4" s="3725"/>
      <c r="I4" s="3724" t="s">
        <v>1670</v>
      </c>
      <c r="J4" s="3725"/>
      <c r="K4" s="1889" t="s">
        <v>1671</v>
      </c>
      <c r="L4" s="2711"/>
      <c r="M4" s="2712"/>
      <c r="N4" s="2712"/>
      <c r="O4" s="2712"/>
      <c r="P4" s="3728" t="s">
        <v>1672</v>
      </c>
      <c r="Q4" s="3729"/>
      <c r="R4" s="3711" t="s">
        <v>1668</v>
      </c>
      <c r="S4" s="3712"/>
      <c r="T4" s="3711" t="s">
        <v>1669</v>
      </c>
      <c r="U4" s="3712"/>
      <c r="V4" s="3736" t="s">
        <v>1670</v>
      </c>
      <c r="W4" s="3736"/>
      <c r="X4" s="1355"/>
      <c r="Y4" s="3711" t="s">
        <v>1672</v>
      </c>
      <c r="Z4" s="3712"/>
      <c r="AA4" s="3706" t="s">
        <v>1668</v>
      </c>
      <c r="AB4" s="3706" t="s">
        <v>1669</v>
      </c>
      <c r="AC4" s="3706" t="s">
        <v>1670</v>
      </c>
    </row>
    <row r="5" spans="1:29" ht="15">
      <c r="A5" s="358"/>
      <c r="B5" s="359"/>
      <c r="C5" s="3717" t="s">
        <v>1673</v>
      </c>
      <c r="D5" s="3718"/>
      <c r="E5" s="3715" t="s">
        <v>1674</v>
      </c>
      <c r="F5" s="3716"/>
      <c r="G5" s="3717" t="s">
        <v>1675</v>
      </c>
      <c r="H5" s="3718"/>
      <c r="I5" s="3717" t="s">
        <v>1676</v>
      </c>
      <c r="J5" s="3718"/>
      <c r="K5" s="1890"/>
      <c r="L5" s="2711"/>
      <c r="M5" s="2712"/>
      <c r="N5" s="2712"/>
      <c r="O5" s="2712"/>
      <c r="P5" s="3730"/>
      <c r="Q5" s="3731"/>
      <c r="R5" s="3713"/>
      <c r="S5" s="3714"/>
      <c r="T5" s="3713"/>
      <c r="U5" s="3714"/>
      <c r="V5" s="3736"/>
      <c r="W5" s="3736"/>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1890" t="s">
        <v>1678</v>
      </c>
      <c r="L6" s="2711"/>
      <c r="M6" s="2712"/>
      <c r="N6" s="2712"/>
      <c r="O6" s="2712"/>
      <c r="P6" s="3732"/>
      <c r="Q6" s="3733"/>
      <c r="R6" s="3713"/>
      <c r="S6" s="3714"/>
      <c r="T6" s="3734"/>
      <c r="U6" s="3735"/>
      <c r="V6" s="3736"/>
      <c r="W6" s="3736"/>
      <c r="X6" s="1355"/>
      <c r="Y6" s="3734"/>
      <c r="Z6" s="3735"/>
      <c r="AA6" s="3708"/>
      <c r="AB6" s="3708"/>
      <c r="AC6" s="3708"/>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9" t="s">
        <v>1680</v>
      </c>
      <c r="Q7" s="3737"/>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23"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2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3"/>
      <c r="Q11" s="1343" t="str">
        <f t="shared" si="6"/>
        <v>容积率</v>
      </c>
      <c r="R11" s="701" t="s">
        <v>18</v>
      </c>
      <c r="S11" s="702" t="e">
        <f t="shared" si="0"/>
        <v>#N/A</v>
      </c>
      <c r="T11" s="701" t="s">
        <v>18</v>
      </c>
      <c r="U11" s="702" t="e">
        <f t="shared" si="1"/>
        <v>#N/A</v>
      </c>
      <c r="V11" s="701" t="s">
        <v>18</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23"/>
      <c r="Q12" s="1343">
        <f t="shared" si="6"/>
        <v>111</v>
      </c>
      <c r="R12" s="701" t="s">
        <v>18</v>
      </c>
      <c r="S12" s="702">
        <f t="shared" si="0"/>
        <v>100</v>
      </c>
      <c r="T12" s="701" t="s">
        <v>18</v>
      </c>
      <c r="U12" s="702">
        <f t="shared" si="1"/>
        <v>100</v>
      </c>
      <c r="V12" s="701" t="s">
        <v>18</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23"/>
      <c r="Q13" s="1343">
        <f t="shared" si="6"/>
        <v>111</v>
      </c>
      <c r="R13" s="701" t="s">
        <v>18</v>
      </c>
      <c r="S13" s="702">
        <f t="shared" si="0"/>
        <v>100</v>
      </c>
      <c r="T13" s="701" t="s">
        <v>18</v>
      </c>
      <c r="U13" s="702">
        <f t="shared" si="1"/>
        <v>100</v>
      </c>
      <c r="V13" s="701" t="s">
        <v>18</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23"/>
      <c r="Q14" s="1343">
        <f t="shared" si="6"/>
        <v>111</v>
      </c>
      <c r="R14" s="701" t="s">
        <v>18</v>
      </c>
      <c r="S14" s="702">
        <f t="shared" si="0"/>
        <v>100</v>
      </c>
      <c r="T14" s="701" t="s">
        <v>18</v>
      </c>
      <c r="U14" s="702">
        <f t="shared" si="1"/>
        <v>100</v>
      </c>
      <c r="V14" s="701" t="s">
        <v>18</v>
      </c>
      <c r="W14" s="702">
        <f t="shared" si="2"/>
        <v>100</v>
      </c>
      <c r="X14" s="703"/>
      <c r="Y14" s="3653"/>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50" t="s">
        <v>1691</v>
      </c>
      <c r="Q15" s="1352" t="str">
        <f t="shared" si="6"/>
        <v>居住社区成熟度</v>
      </c>
      <c r="R15" s="705" t="s">
        <v>18</v>
      </c>
      <c r="S15" s="706">
        <f t="shared" si="0"/>
        <v>100</v>
      </c>
      <c r="T15" s="705" t="s">
        <v>18</v>
      </c>
      <c r="U15" s="706">
        <f t="shared" si="1"/>
        <v>100</v>
      </c>
      <c r="V15" s="705" t="s">
        <v>18</v>
      </c>
      <c r="W15" s="706">
        <f t="shared" si="2"/>
        <v>100</v>
      </c>
      <c r="X15" s="1355"/>
      <c r="Y15" s="374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51"/>
      <c r="Q16" s="1352"/>
      <c r="R16" s="705"/>
      <c r="S16" s="706"/>
      <c r="T16" s="705"/>
      <c r="U16" s="706"/>
      <c r="V16" s="705"/>
      <c r="W16" s="706"/>
      <c r="X16" s="1355"/>
      <c r="Y16" s="3744"/>
      <c r="Z16" s="1356"/>
      <c r="AA16" s="1353">
        <v>1</v>
      </c>
      <c r="AB16" s="1353">
        <v>1</v>
      </c>
      <c r="AC16" s="1353">
        <v>1</v>
      </c>
    </row>
    <row r="17" spans="1:29" ht="71.2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1"/>
      <c r="Q17" s="1352" t="str">
        <f>B17</f>
        <v>交通便捷度</v>
      </c>
      <c r="R17" s="705" t="s">
        <v>18</v>
      </c>
      <c r="S17" s="706">
        <f>F17</f>
        <v>100</v>
      </c>
      <c r="T17" s="705" t="s">
        <v>18</v>
      </c>
      <c r="U17" s="706">
        <f>H17</f>
        <v>100</v>
      </c>
      <c r="V17" s="705" t="s">
        <v>18</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51"/>
      <c r="Q18" s="1352"/>
      <c r="R18" s="705"/>
      <c r="S18" s="706"/>
      <c r="T18" s="705"/>
      <c r="U18" s="706"/>
      <c r="V18" s="705"/>
      <c r="W18" s="706"/>
      <c r="X18" s="1355"/>
      <c r="Y18" s="3744"/>
      <c r="Z18" s="1356"/>
      <c r="AA18" s="1353">
        <v>1</v>
      </c>
      <c r="AB18" s="1353">
        <v>1</v>
      </c>
      <c r="AC18" s="1353">
        <v>1</v>
      </c>
    </row>
    <row r="19" spans="1:29" ht="42.7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1"/>
      <c r="Q19" s="1352" t="str">
        <f>B19</f>
        <v>公共配套设施</v>
      </c>
      <c r="R19" s="705" t="s">
        <v>18</v>
      </c>
      <c r="S19" s="706">
        <f>F19</f>
        <v>100</v>
      </c>
      <c r="T19" s="705" t="s">
        <v>18</v>
      </c>
      <c r="U19" s="706">
        <f>H19</f>
        <v>100</v>
      </c>
      <c r="V19" s="705" t="s">
        <v>18</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51"/>
      <c r="Q20" s="1352"/>
      <c r="R20" s="705"/>
      <c r="S20" s="706"/>
      <c r="T20" s="705"/>
      <c r="U20" s="706"/>
      <c r="V20" s="705"/>
      <c r="W20" s="706"/>
      <c r="X20" s="1355"/>
      <c r="Y20" s="3744"/>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51"/>
      <c r="Q22" s="1352"/>
      <c r="R22" s="705"/>
      <c r="S22" s="706"/>
      <c r="T22" s="705"/>
      <c r="U22" s="706"/>
      <c r="V22" s="705"/>
      <c r="W22" s="706"/>
      <c r="X22" s="1355"/>
      <c r="Y22" s="3744"/>
      <c r="Z22" s="1356"/>
      <c r="AA22" s="1353">
        <v>1</v>
      </c>
      <c r="AB22" s="1353">
        <v>1</v>
      </c>
      <c r="AC22" s="1353">
        <v>1</v>
      </c>
    </row>
    <row r="23" spans="1:29" ht="42.7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1"/>
      <c r="Q23" s="1352" t="str">
        <f>B23</f>
        <v>自然及人文环境</v>
      </c>
      <c r="R23" s="705" t="s">
        <v>18</v>
      </c>
      <c r="S23" s="706">
        <f>F23</f>
        <v>100</v>
      </c>
      <c r="T23" s="705" t="s">
        <v>18</v>
      </c>
      <c r="U23" s="706">
        <f>H23</f>
        <v>100</v>
      </c>
      <c r="V23" s="705" t="s">
        <v>18</v>
      </c>
      <c r="W23" s="706">
        <f>J23</f>
        <v>100</v>
      </c>
      <c r="X23" s="1355"/>
      <c r="Y23" s="374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51"/>
      <c r="Q24" s="1352"/>
      <c r="R24" s="705"/>
      <c r="S24" s="706"/>
      <c r="T24" s="705"/>
      <c r="U24" s="706"/>
      <c r="V24" s="705"/>
      <c r="W24" s="706"/>
      <c r="X24" s="1355"/>
      <c r="Y24" s="374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51"/>
      <c r="Q26" s="1352" t="str">
        <f t="shared" si="11"/>
        <v>朝向</v>
      </c>
      <c r="R26" s="705" t="s">
        <v>18</v>
      </c>
      <c r="S26" s="706">
        <f t="shared" si="12"/>
        <v>100</v>
      </c>
      <c r="T26" s="705" t="s">
        <v>18</v>
      </c>
      <c r="U26" s="706">
        <f t="shared" si="13"/>
        <v>100</v>
      </c>
      <c r="V26" s="705" t="s">
        <v>18</v>
      </c>
      <c r="W26" s="706">
        <f t="shared" si="14"/>
        <v>100</v>
      </c>
      <c r="X26" s="1355"/>
      <c r="Y26" s="374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51"/>
      <c r="Q27" s="1343">
        <f t="shared" si="11"/>
        <v>111</v>
      </c>
      <c r="R27" s="701" t="s">
        <v>18</v>
      </c>
      <c r="S27" s="702">
        <f t="shared" si="12"/>
        <v>100</v>
      </c>
      <c r="T27" s="701" t="s">
        <v>18</v>
      </c>
      <c r="U27" s="702">
        <f t="shared" si="13"/>
        <v>100</v>
      </c>
      <c r="V27" s="701" t="s">
        <v>18</v>
      </c>
      <c r="W27" s="702">
        <f t="shared" si="14"/>
        <v>100</v>
      </c>
      <c r="X27" s="703"/>
      <c r="Y27" s="374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51"/>
      <c r="Q28" s="1352">
        <f t="shared" si="11"/>
        <v>111</v>
      </c>
      <c r="R28" s="705" t="s">
        <v>18</v>
      </c>
      <c r="S28" s="706">
        <f t="shared" si="12"/>
        <v>100</v>
      </c>
      <c r="T28" s="705" t="s">
        <v>18</v>
      </c>
      <c r="U28" s="706">
        <f t="shared" si="13"/>
        <v>100</v>
      </c>
      <c r="V28" s="705" t="s">
        <v>18</v>
      </c>
      <c r="W28" s="706">
        <f t="shared" si="14"/>
        <v>100</v>
      </c>
      <c r="X28" s="1355"/>
      <c r="Y28" s="374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51"/>
      <c r="Q29" s="1352">
        <f t="shared" si="11"/>
        <v>111</v>
      </c>
      <c r="R29" s="705" t="s">
        <v>18</v>
      </c>
      <c r="S29" s="706">
        <f t="shared" si="12"/>
        <v>100</v>
      </c>
      <c r="T29" s="705" t="s">
        <v>18</v>
      </c>
      <c r="U29" s="706">
        <f t="shared" si="13"/>
        <v>100</v>
      </c>
      <c r="V29" s="705" t="s">
        <v>18</v>
      </c>
      <c r="W29" s="706">
        <f t="shared" si="14"/>
        <v>100</v>
      </c>
      <c r="X29" s="1355"/>
      <c r="Y29" s="374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51"/>
      <c r="Q30" s="1352">
        <f t="shared" si="11"/>
        <v>111</v>
      </c>
      <c r="R30" s="705" t="s">
        <v>18</v>
      </c>
      <c r="S30" s="706">
        <f t="shared" si="12"/>
        <v>100</v>
      </c>
      <c r="T30" s="705" t="s">
        <v>18</v>
      </c>
      <c r="U30" s="706">
        <f t="shared" si="13"/>
        <v>100</v>
      </c>
      <c r="V30" s="705" t="s">
        <v>18</v>
      </c>
      <c r="W30" s="706">
        <f t="shared" si="14"/>
        <v>100</v>
      </c>
      <c r="X30" s="1355"/>
      <c r="Y30" s="374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51"/>
      <c r="Q31" s="1352">
        <f t="shared" si="11"/>
        <v>111</v>
      </c>
      <c r="R31" s="705" t="s">
        <v>18</v>
      </c>
      <c r="S31" s="706">
        <f t="shared" si="12"/>
        <v>100</v>
      </c>
      <c r="T31" s="705" t="s">
        <v>18</v>
      </c>
      <c r="U31" s="706">
        <f t="shared" si="13"/>
        <v>100</v>
      </c>
      <c r="V31" s="705" t="s">
        <v>18</v>
      </c>
      <c r="W31" s="706">
        <f t="shared" si="14"/>
        <v>100</v>
      </c>
      <c r="X31" s="1355"/>
      <c r="Y31" s="374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45" t="s">
        <v>1696</v>
      </c>
      <c r="Q32" s="1352" t="str">
        <f t="shared" si="11"/>
        <v>建筑类型</v>
      </c>
      <c r="R32" s="705" t="s">
        <v>18</v>
      </c>
      <c r="S32" s="706">
        <f t="shared" si="12"/>
        <v>100</v>
      </c>
      <c r="T32" s="705" t="s">
        <v>18</v>
      </c>
      <c r="U32" s="706">
        <f t="shared" si="13"/>
        <v>100</v>
      </c>
      <c r="V32" s="705" t="s">
        <v>18</v>
      </c>
      <c r="W32" s="706">
        <f t="shared" si="14"/>
        <v>100</v>
      </c>
      <c r="X32" s="1355"/>
      <c r="Y32" s="374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46"/>
      <c r="Q33" s="707" t="str">
        <f t="shared" si="11"/>
        <v>项目建筑规模</v>
      </c>
      <c r="R33" s="708" t="s">
        <v>18</v>
      </c>
      <c r="S33" s="709" t="e">
        <f t="shared" si="12"/>
        <v>#N/A</v>
      </c>
      <c r="T33" s="708" t="s">
        <v>18</v>
      </c>
      <c r="U33" s="709" t="e">
        <f t="shared" si="13"/>
        <v>#N/A</v>
      </c>
      <c r="V33" s="708" t="s">
        <v>18</v>
      </c>
      <c r="W33" s="709" t="e">
        <f t="shared" si="14"/>
        <v>#N/A</v>
      </c>
      <c r="X33" s="710"/>
      <c r="Y33" s="374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46"/>
      <c r="Q34" s="1352" t="str">
        <f t="shared" si="11"/>
        <v>建筑结构</v>
      </c>
      <c r="R34" s="705" t="s">
        <v>18</v>
      </c>
      <c r="S34" s="706">
        <f t="shared" si="12"/>
        <v>100</v>
      </c>
      <c r="T34" s="705" t="s">
        <v>18</v>
      </c>
      <c r="U34" s="706">
        <f t="shared" si="13"/>
        <v>100</v>
      </c>
      <c r="V34" s="705" t="s">
        <v>18</v>
      </c>
      <c r="W34" s="706">
        <f t="shared" si="14"/>
        <v>100</v>
      </c>
      <c r="X34" s="1355"/>
      <c r="Y34" s="374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46"/>
      <c r="Q35" s="1352" t="str">
        <f t="shared" si="11"/>
        <v>建筑品质</v>
      </c>
      <c r="R35" s="705" t="s">
        <v>18</v>
      </c>
      <c r="S35" s="706">
        <f t="shared" si="12"/>
        <v>100</v>
      </c>
      <c r="T35" s="705" t="s">
        <v>18</v>
      </c>
      <c r="U35" s="706">
        <f t="shared" si="13"/>
        <v>100</v>
      </c>
      <c r="V35" s="705" t="s">
        <v>18</v>
      </c>
      <c r="W35" s="706">
        <f t="shared" si="14"/>
        <v>100</v>
      </c>
      <c r="X35" s="1355"/>
      <c r="Y35" s="374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46"/>
      <c r="Q36" s="1352" t="str">
        <f t="shared" si="11"/>
        <v>公共部分装修</v>
      </c>
      <c r="R36" s="705" t="s">
        <v>18</v>
      </c>
      <c r="S36" s="706">
        <f t="shared" si="12"/>
        <v>100</v>
      </c>
      <c r="T36" s="705" t="s">
        <v>18</v>
      </c>
      <c r="U36" s="706">
        <f t="shared" si="13"/>
        <v>100</v>
      </c>
      <c r="V36" s="705" t="s">
        <v>18</v>
      </c>
      <c r="W36" s="706">
        <f t="shared" si="14"/>
        <v>100</v>
      </c>
      <c r="X36" s="1355"/>
      <c r="Y36" s="374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6"/>
      <c r="Q37" s="1343" t="str">
        <f t="shared" si="11"/>
        <v>成新度</v>
      </c>
      <c r="R37" s="701" t="s">
        <v>18</v>
      </c>
      <c r="S37" s="702" t="e">
        <f t="shared" si="12"/>
        <v>#N/A</v>
      </c>
      <c r="T37" s="701" t="s">
        <v>18</v>
      </c>
      <c r="U37" s="702" t="e">
        <f t="shared" si="13"/>
        <v>#N/A</v>
      </c>
      <c r="V37" s="701" t="s">
        <v>18</v>
      </c>
      <c r="W37" s="702" t="e">
        <f t="shared" si="14"/>
        <v>#N/A</v>
      </c>
      <c r="X37" s="703"/>
      <c r="Y37" s="374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46" t="s">
        <v>1696</v>
      </c>
      <c r="Q38" s="1352" t="str">
        <f t="shared" si="11"/>
        <v>物业管理</v>
      </c>
      <c r="R38" s="705" t="s">
        <v>18</v>
      </c>
      <c r="S38" s="706">
        <f t="shared" si="12"/>
        <v>100</v>
      </c>
      <c r="T38" s="705" t="s">
        <v>18</v>
      </c>
      <c r="U38" s="706">
        <f t="shared" si="13"/>
        <v>100</v>
      </c>
      <c r="V38" s="705" t="s">
        <v>18</v>
      </c>
      <c r="W38" s="706">
        <f t="shared" si="14"/>
        <v>100</v>
      </c>
      <c r="X38" s="1355"/>
      <c r="Y38" s="374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46"/>
      <c r="Q39" s="1352" t="str">
        <f t="shared" si="11"/>
        <v>市政基础设施</v>
      </c>
      <c r="R39" s="705" t="s">
        <v>18</v>
      </c>
      <c r="S39" s="706">
        <f t="shared" si="12"/>
        <v>100</v>
      </c>
      <c r="T39" s="705" t="s">
        <v>18</v>
      </c>
      <c r="U39" s="706">
        <f t="shared" si="13"/>
        <v>100</v>
      </c>
      <c r="V39" s="705" t="s">
        <v>18</v>
      </c>
      <c r="W39" s="706">
        <f t="shared" si="14"/>
        <v>100</v>
      </c>
      <c r="X39" s="1355"/>
      <c r="Y39" s="374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46"/>
      <c r="Q40" s="1352" t="str">
        <f t="shared" si="11"/>
        <v>房型</v>
      </c>
      <c r="R40" s="705" t="s">
        <v>18</v>
      </c>
      <c r="S40" s="706">
        <f t="shared" si="12"/>
        <v>100</v>
      </c>
      <c r="T40" s="705" t="s">
        <v>18</v>
      </c>
      <c r="U40" s="706">
        <f t="shared" si="13"/>
        <v>100</v>
      </c>
      <c r="V40" s="705" t="s">
        <v>18</v>
      </c>
      <c r="W40" s="706">
        <f t="shared" si="14"/>
        <v>100</v>
      </c>
      <c r="X40" s="1355"/>
      <c r="Y40" s="374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46"/>
      <c r="Q41" s="707" t="str">
        <f t="shared" si="11"/>
        <v>单套/主力户型建筑面积</v>
      </c>
      <c r="R41" s="708" t="s">
        <v>18</v>
      </c>
      <c r="S41" s="709">
        <f t="shared" si="12"/>
        <v>100</v>
      </c>
      <c r="T41" s="708" t="s">
        <v>18</v>
      </c>
      <c r="U41" s="709">
        <f t="shared" si="13"/>
        <v>100</v>
      </c>
      <c r="V41" s="708" t="s">
        <v>18</v>
      </c>
      <c r="W41" s="709">
        <f t="shared" si="14"/>
        <v>100</v>
      </c>
      <c r="X41" s="710"/>
      <c r="Y41" s="374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46"/>
      <c r="Q42" s="1352" t="str">
        <f t="shared" si="11"/>
        <v>内部装修</v>
      </c>
      <c r="R42" s="705" t="s">
        <v>18</v>
      </c>
      <c r="S42" s="706">
        <f t="shared" si="12"/>
        <v>100</v>
      </c>
      <c r="T42" s="705" t="s">
        <v>18</v>
      </c>
      <c r="U42" s="706">
        <f t="shared" si="13"/>
        <v>100</v>
      </c>
      <c r="V42" s="705" t="s">
        <v>18</v>
      </c>
      <c r="W42" s="706">
        <f t="shared" si="14"/>
        <v>100</v>
      </c>
      <c r="X42" s="1355"/>
      <c r="Y42" s="374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46"/>
      <c r="Q43" s="1352" t="str">
        <f t="shared" si="11"/>
        <v>内部装修维护情况</v>
      </c>
      <c r="R43" s="705" t="s">
        <v>18</v>
      </c>
      <c r="S43" s="706">
        <f t="shared" si="12"/>
        <v>100</v>
      </c>
      <c r="T43" s="705" t="s">
        <v>18</v>
      </c>
      <c r="U43" s="706">
        <f t="shared" si="13"/>
        <v>100</v>
      </c>
      <c r="V43" s="705" t="s">
        <v>18</v>
      </c>
      <c r="W43" s="706">
        <f t="shared" si="14"/>
        <v>100</v>
      </c>
      <c r="X43" s="1355"/>
      <c r="Y43" s="374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46"/>
      <c r="Q44" s="1343">
        <f t="shared" si="11"/>
        <v>111</v>
      </c>
      <c r="R44" s="701" t="s">
        <v>18</v>
      </c>
      <c r="S44" s="702">
        <f t="shared" si="12"/>
        <v>100</v>
      </c>
      <c r="T44" s="701" t="s">
        <v>18</v>
      </c>
      <c r="U44" s="702">
        <f t="shared" si="13"/>
        <v>100</v>
      </c>
      <c r="V44" s="701" t="s">
        <v>18</v>
      </c>
      <c r="W44" s="702">
        <f t="shared" si="14"/>
        <v>100</v>
      </c>
      <c r="X44" s="703"/>
      <c r="Y44" s="374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46"/>
      <c r="Q45" s="1352">
        <f t="shared" si="11"/>
        <v>111</v>
      </c>
      <c r="R45" s="705" t="s">
        <v>18</v>
      </c>
      <c r="S45" s="706">
        <f t="shared" si="12"/>
        <v>100</v>
      </c>
      <c r="T45" s="705" t="s">
        <v>18</v>
      </c>
      <c r="U45" s="706">
        <f t="shared" si="13"/>
        <v>100</v>
      </c>
      <c r="V45" s="705" t="s">
        <v>18</v>
      </c>
      <c r="W45" s="706">
        <f t="shared" si="14"/>
        <v>100</v>
      </c>
      <c r="X45" s="1355"/>
      <c r="Y45" s="374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47"/>
      <c r="Q46" s="1352">
        <f t="shared" si="11"/>
        <v>111</v>
      </c>
      <c r="R46" s="705" t="s">
        <v>17</v>
      </c>
      <c r="S46" s="706">
        <f t="shared" si="12"/>
        <v>100</v>
      </c>
      <c r="T46" s="705" t="s">
        <v>17</v>
      </c>
      <c r="U46" s="706">
        <f t="shared" si="13"/>
        <v>100</v>
      </c>
      <c r="V46" s="705" t="s">
        <v>17</v>
      </c>
      <c r="W46" s="706">
        <f t="shared" si="14"/>
        <v>100</v>
      </c>
      <c r="X46" s="1355"/>
      <c r="Y46" s="374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41" t="str">
        <f>A47</f>
        <v>成交单价（元/平方米）</v>
      </c>
      <c r="Q47" s="3741"/>
      <c r="R47" s="3742">
        <f>E47</f>
        <v>0</v>
      </c>
      <c r="S47" s="3742"/>
      <c r="T47" s="3742">
        <f>G47</f>
        <v>0</v>
      </c>
      <c r="U47" s="3742"/>
      <c r="V47" s="3742">
        <f>I47</f>
        <v>0</v>
      </c>
      <c r="W47" s="374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14258.28</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11" t="s">
        <v>1771</v>
      </c>
      <c r="S4" s="3712"/>
      <c r="T4" s="3711" t="s">
        <v>1772</v>
      </c>
      <c r="U4" s="3712"/>
      <c r="V4" s="3736" t="s">
        <v>1773</v>
      </c>
      <c r="W4" s="3736"/>
      <c r="X4" s="1355"/>
      <c r="Y4" s="3711" t="s">
        <v>1775</v>
      </c>
      <c r="Z4" s="3712"/>
      <c r="AA4" s="3706" t="s">
        <v>1771</v>
      </c>
      <c r="AB4" s="3736" t="s">
        <v>1772</v>
      </c>
      <c r="AC4" s="3706" t="s">
        <v>1773</v>
      </c>
    </row>
    <row r="5" spans="1:29" ht="15">
      <c r="A5" s="358"/>
      <c r="B5" s="359"/>
      <c r="C5" s="3717" t="s">
        <v>1673</v>
      </c>
      <c r="D5" s="3718"/>
      <c r="E5" s="3715" t="s">
        <v>1674</v>
      </c>
      <c r="F5" s="3716"/>
      <c r="G5" s="3717" t="s">
        <v>1675</v>
      </c>
      <c r="H5" s="3718"/>
      <c r="I5" s="3717" t="s">
        <v>1676</v>
      </c>
      <c r="J5" s="3718"/>
      <c r="K5" s="559"/>
      <c r="L5" s="2711"/>
      <c r="M5" s="2712"/>
      <c r="N5" s="2712"/>
      <c r="O5" s="2712"/>
      <c r="P5" s="3730"/>
      <c r="Q5" s="3731"/>
      <c r="R5" s="3713"/>
      <c r="S5" s="3714"/>
      <c r="T5" s="3713"/>
      <c r="U5" s="3714"/>
      <c r="V5" s="3736"/>
      <c r="W5" s="3736"/>
      <c r="X5" s="1355"/>
      <c r="Y5" s="3713"/>
      <c r="Z5" s="3714"/>
      <c r="AA5" s="3707"/>
      <c r="AB5" s="3736"/>
      <c r="AC5" s="3707"/>
    </row>
    <row r="6" spans="1:29" ht="15.75" thickBot="1">
      <c r="A6" s="360"/>
      <c r="B6" s="361"/>
      <c r="C6" s="3719" t="s">
        <v>1677</v>
      </c>
      <c r="D6" s="3720"/>
      <c r="E6" s="3721" t="s">
        <v>1677</v>
      </c>
      <c r="F6" s="3722"/>
      <c r="G6" s="3719" t="s">
        <v>1677</v>
      </c>
      <c r="H6" s="3720"/>
      <c r="I6" s="3719" t="s">
        <v>1677</v>
      </c>
      <c r="J6" s="3720"/>
      <c r="K6" s="559" t="s">
        <v>1678</v>
      </c>
      <c r="L6" s="2711"/>
      <c r="M6" s="2712"/>
      <c r="N6" s="2712"/>
      <c r="O6" s="2712"/>
      <c r="P6" s="3732"/>
      <c r="Q6" s="3733"/>
      <c r="R6" s="3713"/>
      <c r="S6" s="3714"/>
      <c r="T6" s="3734"/>
      <c r="U6" s="3735"/>
      <c r="V6" s="3736"/>
      <c r="W6" s="3736"/>
      <c r="X6" s="1355"/>
      <c r="Y6" s="3734"/>
      <c r="Z6" s="3735"/>
      <c r="AA6" s="3708"/>
      <c r="AB6" s="3736"/>
      <c r="AC6" s="3708"/>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3"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3"/>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3"/>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71.2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50" t="s">
        <v>1691</v>
      </c>
      <c r="Q15" s="1352" t="str">
        <f t="shared" si="6"/>
        <v>商业繁华度</v>
      </c>
      <c r="R15" s="705" t="s">
        <v>14</v>
      </c>
      <c r="S15" s="706">
        <f t="shared" si="0"/>
        <v>100</v>
      </c>
      <c r="T15" s="705" t="s">
        <v>14</v>
      </c>
      <c r="U15" s="706">
        <f t="shared" si="1"/>
        <v>100</v>
      </c>
      <c r="V15" s="705" t="s">
        <v>14</v>
      </c>
      <c r="W15" s="706">
        <f t="shared" si="2"/>
        <v>100</v>
      </c>
      <c r="X15" s="1355"/>
      <c r="Y15" s="374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51"/>
      <c r="Q16" s="1352"/>
      <c r="R16" s="705"/>
      <c r="S16" s="706"/>
      <c r="T16" s="705"/>
      <c r="U16" s="706"/>
      <c r="V16" s="705"/>
      <c r="W16" s="706"/>
      <c r="X16" s="1355"/>
      <c r="Y16" s="3744"/>
      <c r="Z16" s="1356"/>
      <c r="AA16" s="1353">
        <v>1</v>
      </c>
      <c r="AB16" s="1353">
        <v>1</v>
      </c>
      <c r="AC16" s="1353">
        <v>1</v>
      </c>
    </row>
    <row r="17" spans="1:29" ht="85.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51"/>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51"/>
      <c r="Q18" s="1352"/>
      <c r="R18" s="705"/>
      <c r="S18" s="706"/>
      <c r="T18" s="705"/>
      <c r="U18" s="706"/>
      <c r="V18" s="705"/>
      <c r="W18" s="706"/>
      <c r="X18" s="1355"/>
      <c r="Y18" s="3744"/>
      <c r="Z18" s="1356"/>
      <c r="AA18" s="1353">
        <v>1</v>
      </c>
      <c r="AB18" s="1353">
        <v>1</v>
      </c>
      <c r="AC18" s="1353">
        <v>1</v>
      </c>
    </row>
    <row r="19" spans="1:29" ht="42.7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51"/>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51"/>
      <c r="Q20" s="1352"/>
      <c r="R20" s="705"/>
      <c r="S20" s="706"/>
      <c r="T20" s="705"/>
      <c r="U20" s="706"/>
      <c r="V20" s="705"/>
      <c r="W20" s="706"/>
      <c r="X20" s="1355"/>
      <c r="Y20" s="3744"/>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51"/>
      <c r="Q22" s="1352"/>
      <c r="R22" s="705"/>
      <c r="S22" s="706"/>
      <c r="T22" s="705"/>
      <c r="U22" s="706"/>
      <c r="V22" s="705"/>
      <c r="W22" s="706"/>
      <c r="X22" s="1355"/>
      <c r="Y22" s="3744"/>
      <c r="Z22" s="1356"/>
      <c r="AA22" s="1353">
        <v>1</v>
      </c>
      <c r="AB22" s="1353">
        <v>1</v>
      </c>
      <c r="AC22" s="1353">
        <v>1</v>
      </c>
    </row>
    <row r="23" spans="1:29" ht="57">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51"/>
      <c r="Q23" s="1352" t="str">
        <f>B23</f>
        <v>自然及人文环境</v>
      </c>
      <c r="R23" s="705" t="s">
        <v>14</v>
      </c>
      <c r="S23" s="706">
        <f>F23</f>
        <v>100</v>
      </c>
      <c r="T23" s="705" t="s">
        <v>14</v>
      </c>
      <c r="U23" s="706">
        <f>H23</f>
        <v>100</v>
      </c>
      <c r="V23" s="705" t="s">
        <v>14</v>
      </c>
      <c r="W23" s="706">
        <f>J23</f>
        <v>100</v>
      </c>
      <c r="X23" s="1355"/>
      <c r="Y23" s="374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51"/>
      <c r="Q24" s="1352"/>
      <c r="R24" s="705"/>
      <c r="S24" s="706"/>
      <c r="T24" s="705"/>
      <c r="U24" s="706"/>
      <c r="V24" s="705"/>
      <c r="W24" s="706"/>
      <c r="X24" s="1355"/>
      <c r="Y24" s="374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51"/>
      <c r="Q25" s="1352" t="str">
        <f t="shared" ref="Q25:Q46" si="11">B25</f>
        <v>临街状况</v>
      </c>
      <c r="R25" s="705" t="s">
        <v>14</v>
      </c>
      <c r="S25" s="706">
        <f>F25</f>
        <v>100</v>
      </c>
      <c r="T25" s="705" t="s">
        <v>14</v>
      </c>
      <c r="U25" s="706">
        <f>H25</f>
        <v>100</v>
      </c>
      <c r="V25" s="705" t="s">
        <v>14</v>
      </c>
      <c r="W25" s="706">
        <f>J25</f>
        <v>100</v>
      </c>
      <c r="X25" s="1355"/>
      <c r="Y25" s="374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51"/>
      <c r="Q26" s="1352" t="str">
        <f t="shared" si="11"/>
        <v>平面位置/可视性</v>
      </c>
      <c r="R26" s="705" t="s">
        <v>14</v>
      </c>
      <c r="S26" s="706">
        <f>F26</f>
        <v>100</v>
      </c>
      <c r="T26" s="705" t="s">
        <v>14</v>
      </c>
      <c r="U26" s="706">
        <f>H26</f>
        <v>100</v>
      </c>
      <c r="V26" s="705" t="s">
        <v>14</v>
      </c>
      <c r="W26" s="706">
        <f>J26</f>
        <v>100</v>
      </c>
      <c r="X26" s="1355"/>
      <c r="Y26" s="374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51"/>
      <c r="Q27" s="1343" t="str">
        <f t="shared" si="11"/>
        <v>人流量</v>
      </c>
      <c r="R27" s="701" t="s">
        <v>14</v>
      </c>
      <c r="S27" s="702">
        <f>F27</f>
        <v>100</v>
      </c>
      <c r="T27" s="701" t="s">
        <v>14</v>
      </c>
      <c r="U27" s="702">
        <f>H27</f>
        <v>100</v>
      </c>
      <c r="V27" s="701" t="s">
        <v>14</v>
      </c>
      <c r="W27" s="702">
        <f>J27</f>
        <v>100</v>
      </c>
      <c r="X27" s="703"/>
      <c r="Y27" s="374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1"/>
      <c r="Q29" s="1352">
        <f t="shared" si="11"/>
        <v>111</v>
      </c>
      <c r="R29" s="705" t="s">
        <v>14</v>
      </c>
      <c r="S29" s="706">
        <f t="shared" si="12"/>
        <v>100</v>
      </c>
      <c r="T29" s="705" t="s">
        <v>14</v>
      </c>
      <c r="U29" s="706">
        <f t="shared" si="13"/>
        <v>100</v>
      </c>
      <c r="V29" s="705" t="s">
        <v>14</v>
      </c>
      <c r="W29" s="706">
        <f t="shared" si="14"/>
        <v>100</v>
      </c>
      <c r="X29" s="1355"/>
      <c r="Y29" s="37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1"/>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1"/>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45" t="s">
        <v>1696</v>
      </c>
      <c r="Q32" s="1352" t="str">
        <f t="shared" si="11"/>
        <v>商业类型</v>
      </c>
      <c r="R32" s="705" t="s">
        <v>14</v>
      </c>
      <c r="S32" s="706">
        <f t="shared" si="12"/>
        <v>100</v>
      </c>
      <c r="T32" s="705" t="s">
        <v>14</v>
      </c>
      <c r="U32" s="706">
        <f t="shared" si="13"/>
        <v>100</v>
      </c>
      <c r="V32" s="705" t="s">
        <v>14</v>
      </c>
      <c r="W32" s="706">
        <f t="shared" si="14"/>
        <v>100</v>
      </c>
      <c r="X32" s="1355"/>
      <c r="Y32" s="374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6"/>
      <c r="Q33" s="707" t="str">
        <f t="shared" si="11"/>
        <v>项目建筑规模</v>
      </c>
      <c r="R33" s="708" t="s">
        <v>14</v>
      </c>
      <c r="S33" s="709" t="e">
        <f t="shared" si="12"/>
        <v>#N/A</v>
      </c>
      <c r="T33" s="708" t="s">
        <v>14</v>
      </c>
      <c r="U33" s="709" t="e">
        <f t="shared" si="13"/>
        <v>#N/A</v>
      </c>
      <c r="V33" s="708" t="s">
        <v>14</v>
      </c>
      <c r="W33" s="709" t="e">
        <f t="shared" si="14"/>
        <v>#N/A</v>
      </c>
      <c r="X33" s="710"/>
      <c r="Y33" s="374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46"/>
      <c r="Q34" s="1352" t="str">
        <f t="shared" si="11"/>
        <v>建筑结构</v>
      </c>
      <c r="R34" s="705" t="s">
        <v>14</v>
      </c>
      <c r="S34" s="706">
        <f t="shared" si="12"/>
        <v>100</v>
      </c>
      <c r="T34" s="705" t="s">
        <v>14</v>
      </c>
      <c r="U34" s="706">
        <f t="shared" si="13"/>
        <v>100</v>
      </c>
      <c r="V34" s="705" t="s">
        <v>14</v>
      </c>
      <c r="W34" s="706">
        <f t="shared" si="14"/>
        <v>100</v>
      </c>
      <c r="X34" s="1355"/>
      <c r="Y34" s="374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46"/>
      <c r="Q35" s="1352" t="str">
        <f t="shared" si="11"/>
        <v>公共部分装修</v>
      </c>
      <c r="R35" s="705" t="s">
        <v>14</v>
      </c>
      <c r="S35" s="706">
        <f t="shared" si="12"/>
        <v>100</v>
      </c>
      <c r="T35" s="705" t="s">
        <v>14</v>
      </c>
      <c r="U35" s="706">
        <f t="shared" si="13"/>
        <v>100</v>
      </c>
      <c r="V35" s="705" t="s">
        <v>14</v>
      </c>
      <c r="W35" s="706">
        <f t="shared" si="14"/>
        <v>100</v>
      </c>
      <c r="X35" s="1355"/>
      <c r="Y35" s="374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6"/>
      <c r="Q36" s="1352" t="str">
        <f t="shared" si="11"/>
        <v>成新度</v>
      </c>
      <c r="R36" s="705" t="s">
        <v>14</v>
      </c>
      <c r="S36" s="706" t="e">
        <f t="shared" si="12"/>
        <v>#N/A</v>
      </c>
      <c r="T36" s="705" t="s">
        <v>14</v>
      </c>
      <c r="U36" s="706" t="e">
        <f t="shared" si="13"/>
        <v>#N/A</v>
      </c>
      <c r="V36" s="705" t="s">
        <v>14</v>
      </c>
      <c r="W36" s="706" t="e">
        <f t="shared" si="14"/>
        <v>#N/A</v>
      </c>
      <c r="X36" s="1355"/>
      <c r="Y36" s="374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46"/>
      <c r="Q37" s="1343" t="str">
        <f t="shared" si="11"/>
        <v>市政基础设施</v>
      </c>
      <c r="R37" s="701" t="s">
        <v>14</v>
      </c>
      <c r="S37" s="702">
        <f t="shared" si="12"/>
        <v>100</v>
      </c>
      <c r="T37" s="701" t="s">
        <v>14</v>
      </c>
      <c r="U37" s="702">
        <f t="shared" si="13"/>
        <v>100</v>
      </c>
      <c r="V37" s="701" t="s">
        <v>14</v>
      </c>
      <c r="W37" s="702">
        <f t="shared" si="14"/>
        <v>100</v>
      </c>
      <c r="X37" s="703"/>
      <c r="Y37" s="374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46" t="s">
        <v>1696</v>
      </c>
      <c r="Q38" s="1352" t="str">
        <f t="shared" si="11"/>
        <v>业态</v>
      </c>
      <c r="R38" s="705" t="s">
        <v>14</v>
      </c>
      <c r="S38" s="706">
        <f t="shared" si="12"/>
        <v>100</v>
      </c>
      <c r="T38" s="705" t="s">
        <v>14</v>
      </c>
      <c r="U38" s="706">
        <f t="shared" si="13"/>
        <v>100</v>
      </c>
      <c r="V38" s="705" t="s">
        <v>14</v>
      </c>
      <c r="W38" s="706">
        <f t="shared" si="14"/>
        <v>100</v>
      </c>
      <c r="X38" s="1355"/>
      <c r="Y38" s="374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46"/>
      <c r="Q39" s="1352" t="str">
        <f t="shared" si="11"/>
        <v>层高</v>
      </c>
      <c r="R39" s="705" t="s">
        <v>14</v>
      </c>
      <c r="S39" s="706">
        <f t="shared" si="12"/>
        <v>100</v>
      </c>
      <c r="T39" s="705" t="s">
        <v>14</v>
      </c>
      <c r="U39" s="706">
        <f t="shared" si="13"/>
        <v>100</v>
      </c>
      <c r="V39" s="705" t="s">
        <v>14</v>
      </c>
      <c r="W39" s="706">
        <f t="shared" si="14"/>
        <v>100</v>
      </c>
      <c r="X39" s="1355"/>
      <c r="Y39" s="374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6"/>
      <c r="Q40" s="1352" t="str">
        <f t="shared" si="11"/>
        <v>单套建筑面积</v>
      </c>
      <c r="R40" s="705" t="s">
        <v>14</v>
      </c>
      <c r="S40" s="706">
        <f t="shared" si="12"/>
        <v>100</v>
      </c>
      <c r="T40" s="705" t="s">
        <v>14</v>
      </c>
      <c r="U40" s="706">
        <f t="shared" si="13"/>
        <v>100</v>
      </c>
      <c r="V40" s="705" t="s">
        <v>14</v>
      </c>
      <c r="W40" s="706">
        <f t="shared" si="14"/>
        <v>100</v>
      </c>
      <c r="X40" s="1355"/>
      <c r="Y40" s="374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46"/>
      <c r="Q42" s="1352" t="str">
        <f t="shared" si="11"/>
        <v>内部装修</v>
      </c>
      <c r="R42" s="705" t="s">
        <v>14</v>
      </c>
      <c r="S42" s="706">
        <f t="shared" si="12"/>
        <v>100</v>
      </c>
      <c r="T42" s="705" t="s">
        <v>14</v>
      </c>
      <c r="U42" s="706">
        <f t="shared" si="13"/>
        <v>100</v>
      </c>
      <c r="V42" s="705" t="s">
        <v>14</v>
      </c>
      <c r="W42" s="706">
        <f t="shared" si="14"/>
        <v>100</v>
      </c>
      <c r="X42" s="1355"/>
      <c r="Y42" s="374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46"/>
      <c r="Q43" s="1352" t="str">
        <f t="shared" si="11"/>
        <v>内部装修维护情况</v>
      </c>
      <c r="R43" s="705" t="s">
        <v>14</v>
      </c>
      <c r="S43" s="706">
        <f t="shared" si="12"/>
        <v>100</v>
      </c>
      <c r="T43" s="705" t="s">
        <v>14</v>
      </c>
      <c r="U43" s="706">
        <f t="shared" si="13"/>
        <v>100</v>
      </c>
      <c r="V43" s="705" t="s">
        <v>14</v>
      </c>
      <c r="W43" s="706">
        <f t="shared" si="14"/>
        <v>100</v>
      </c>
      <c r="X43" s="1355"/>
      <c r="Y43" s="37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6"/>
      <c r="Q44" s="1343">
        <f t="shared" si="11"/>
        <v>111</v>
      </c>
      <c r="R44" s="701" t="s">
        <v>14</v>
      </c>
      <c r="S44" s="702">
        <f t="shared" si="12"/>
        <v>100</v>
      </c>
      <c r="T44" s="701" t="s">
        <v>14</v>
      </c>
      <c r="U44" s="702">
        <f t="shared" si="13"/>
        <v>100</v>
      </c>
      <c r="V44" s="701" t="s">
        <v>14</v>
      </c>
      <c r="W44" s="702">
        <f t="shared" si="14"/>
        <v>100</v>
      </c>
      <c r="X44" s="703"/>
      <c r="Y44" s="37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6"/>
      <c r="Q45" s="1352">
        <f t="shared" si="11"/>
        <v>111</v>
      </c>
      <c r="R45" s="705" t="s">
        <v>14</v>
      </c>
      <c r="S45" s="706">
        <f t="shared" si="12"/>
        <v>100</v>
      </c>
      <c r="T45" s="705" t="s">
        <v>14</v>
      </c>
      <c r="U45" s="706">
        <f t="shared" si="13"/>
        <v>100</v>
      </c>
      <c r="V45" s="705" t="s">
        <v>14</v>
      </c>
      <c r="W45" s="706">
        <f t="shared" si="14"/>
        <v>100</v>
      </c>
      <c r="X45" s="1355"/>
      <c r="Y45" s="37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7"/>
      <c r="Q46" s="1352">
        <f t="shared" si="11"/>
        <v>111</v>
      </c>
      <c r="R46" s="705" t="s">
        <v>14</v>
      </c>
      <c r="S46" s="706">
        <f t="shared" si="12"/>
        <v>100</v>
      </c>
      <c r="T46" s="705" t="s">
        <v>14</v>
      </c>
      <c r="U46" s="706">
        <f t="shared" si="13"/>
        <v>100</v>
      </c>
      <c r="V46" s="705" t="s">
        <v>14</v>
      </c>
      <c r="W46" s="706">
        <f t="shared" si="14"/>
        <v>100</v>
      </c>
      <c r="X46" s="1355"/>
      <c r="Y46" s="374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41" t="str">
        <f>A47</f>
        <v>成交单价（元/平方米）</v>
      </c>
      <c r="Q47" s="3741"/>
      <c r="R47" s="3736">
        <f>E47</f>
        <v>0</v>
      </c>
      <c r="S47" s="3736"/>
      <c r="T47" s="3736">
        <f>G47</f>
        <v>0</v>
      </c>
      <c r="U47" s="3736"/>
      <c r="V47" s="3736">
        <f>I47</f>
        <v>0</v>
      </c>
      <c r="W47" s="373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14258.28</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58" t="s">
        <v>1775</v>
      </c>
      <c r="Q4" s="3759"/>
      <c r="R4" s="3753" t="s">
        <v>1771</v>
      </c>
      <c r="S4" s="3754"/>
      <c r="T4" s="3753" t="s">
        <v>1772</v>
      </c>
      <c r="U4" s="3754"/>
      <c r="V4" s="3762" t="s">
        <v>1773</v>
      </c>
      <c r="W4" s="3762"/>
      <c r="X4" s="1958"/>
      <c r="Y4" s="3753" t="s">
        <v>1775</v>
      </c>
      <c r="Z4" s="3754"/>
      <c r="AA4" s="3752" t="s">
        <v>1771</v>
      </c>
      <c r="AB4" s="3752" t="s">
        <v>1772</v>
      </c>
      <c r="AC4" s="3755" t="s">
        <v>1773</v>
      </c>
    </row>
    <row r="5" spans="1:29" ht="15">
      <c r="A5" s="358"/>
      <c r="B5" s="359"/>
      <c r="C5" s="3717" t="s">
        <v>1673</v>
      </c>
      <c r="D5" s="3718"/>
      <c r="E5" s="3715" t="s">
        <v>1674</v>
      </c>
      <c r="F5" s="3716"/>
      <c r="G5" s="3717" t="s">
        <v>1675</v>
      </c>
      <c r="H5" s="3718"/>
      <c r="I5" s="3717" t="s">
        <v>1676</v>
      </c>
      <c r="J5" s="3718"/>
      <c r="K5" s="559"/>
      <c r="L5" s="2711"/>
      <c r="M5" s="2712"/>
      <c r="N5" s="2712"/>
      <c r="O5" s="2712"/>
      <c r="P5" s="3760"/>
      <c r="Q5" s="3731"/>
      <c r="R5" s="3713"/>
      <c r="S5" s="3714"/>
      <c r="T5" s="3713"/>
      <c r="U5" s="3714"/>
      <c r="V5" s="3736"/>
      <c r="W5" s="3736"/>
      <c r="X5" s="1355"/>
      <c r="Y5" s="3713"/>
      <c r="Z5" s="3714"/>
      <c r="AA5" s="3707"/>
      <c r="AB5" s="3707"/>
      <c r="AC5" s="3756"/>
    </row>
    <row r="6" spans="1:29" ht="15.75" thickBot="1">
      <c r="A6" s="360"/>
      <c r="B6" s="361"/>
      <c r="C6" s="3719" t="s">
        <v>1677</v>
      </c>
      <c r="D6" s="3720"/>
      <c r="E6" s="3721" t="s">
        <v>1677</v>
      </c>
      <c r="F6" s="3722"/>
      <c r="G6" s="3719" t="s">
        <v>1677</v>
      </c>
      <c r="H6" s="3720"/>
      <c r="I6" s="3719" t="s">
        <v>1677</v>
      </c>
      <c r="J6" s="3720"/>
      <c r="K6" s="559" t="s">
        <v>1678</v>
      </c>
      <c r="L6" s="2711"/>
      <c r="M6" s="2712"/>
      <c r="N6" s="2712"/>
      <c r="O6" s="2712"/>
      <c r="P6" s="3761"/>
      <c r="Q6" s="3733"/>
      <c r="R6" s="3713"/>
      <c r="S6" s="3714"/>
      <c r="T6" s="3734"/>
      <c r="U6" s="3735"/>
      <c r="V6" s="3736"/>
      <c r="W6" s="3736"/>
      <c r="X6" s="1355"/>
      <c r="Y6" s="3734"/>
      <c r="Z6" s="3735"/>
      <c r="AA6" s="3708"/>
      <c r="AB6" s="3708"/>
      <c r="AC6" s="3757"/>
    </row>
    <row r="7" spans="1:29" s="108" customFormat="1" ht="15.75" thickBot="1">
      <c r="A7" s="362" t="s">
        <v>1679</v>
      </c>
      <c r="B7" s="363"/>
      <c r="C7" s="364">
        <f>'数据-取费表'!B2</f>
        <v>45645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3"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3"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3"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3"/>
      <c r="Q11" s="1343"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2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2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23"/>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1959">
        <f t="shared" si="5"/>
        <v>1</v>
      </c>
    </row>
    <row r="15" spans="1:29" ht="71.25">
      <c r="A15" s="391" t="s">
        <v>1690</v>
      </c>
      <c r="B15" s="577" t="s">
        <v>1811</v>
      </c>
      <c r="C15" s="1961"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50" t="s">
        <v>1691</v>
      </c>
      <c r="Q15" s="1352" t="str">
        <f t="shared" si="6"/>
        <v>办公集聚程度</v>
      </c>
      <c r="R15" s="705" t="s">
        <v>14</v>
      </c>
      <c r="S15" s="706">
        <f t="shared" si="0"/>
        <v>100</v>
      </c>
      <c r="T15" s="705" t="s">
        <v>14</v>
      </c>
      <c r="U15" s="706">
        <f t="shared" si="1"/>
        <v>100</v>
      </c>
      <c r="V15" s="705" t="s">
        <v>14</v>
      </c>
      <c r="W15" s="706">
        <f t="shared" si="2"/>
        <v>100</v>
      </c>
      <c r="X15" s="1355"/>
      <c r="Y15" s="374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51"/>
      <c r="Q16" s="1352"/>
      <c r="R16" s="705"/>
      <c r="S16" s="706"/>
      <c r="T16" s="705"/>
      <c r="U16" s="706"/>
      <c r="V16" s="705"/>
      <c r="W16" s="706"/>
      <c r="X16" s="1355"/>
      <c r="Y16" s="3744"/>
      <c r="Z16" s="1356"/>
      <c r="AA16" s="1353">
        <v>1</v>
      </c>
      <c r="AB16" s="1353">
        <v>1</v>
      </c>
      <c r="AC16" s="1962">
        <v>1</v>
      </c>
    </row>
    <row r="17" spans="1:29" ht="71.2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51"/>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51"/>
      <c r="Q18" s="1352"/>
      <c r="R18" s="705"/>
      <c r="S18" s="706"/>
      <c r="T18" s="705"/>
      <c r="U18" s="706"/>
      <c r="V18" s="705"/>
      <c r="W18" s="706"/>
      <c r="X18" s="1355"/>
      <c r="Y18" s="3744"/>
      <c r="Z18" s="1356"/>
      <c r="AA18" s="1353">
        <v>1</v>
      </c>
      <c r="AB18" s="1353">
        <v>1</v>
      </c>
      <c r="AC18" s="1962">
        <v>1</v>
      </c>
    </row>
    <row r="19" spans="1:29" ht="42.7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51"/>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51"/>
      <c r="Q20" s="1352"/>
      <c r="R20" s="705"/>
      <c r="S20" s="706"/>
      <c r="T20" s="705"/>
      <c r="U20" s="706"/>
      <c r="V20" s="705"/>
      <c r="W20" s="706"/>
      <c r="X20" s="1355"/>
      <c r="Y20" s="3744"/>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51"/>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51"/>
      <c r="Q22" s="1352"/>
      <c r="R22" s="705"/>
      <c r="S22" s="706"/>
      <c r="T22" s="705"/>
      <c r="U22" s="706"/>
      <c r="V22" s="705"/>
      <c r="W22" s="706"/>
      <c r="X22" s="1355"/>
      <c r="Y22" s="3744"/>
      <c r="Z22" s="1356"/>
      <c r="AA22" s="1353">
        <v>1</v>
      </c>
      <c r="AB22" s="1353">
        <v>1</v>
      </c>
      <c r="AC22" s="1962">
        <v>1</v>
      </c>
    </row>
    <row r="23" spans="1:29" ht="42.7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51"/>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51"/>
      <c r="Q24" s="1352"/>
      <c r="R24" s="705"/>
      <c r="S24" s="706"/>
      <c r="T24" s="705"/>
      <c r="U24" s="706"/>
      <c r="V24" s="705"/>
      <c r="W24" s="706"/>
      <c r="X24" s="1355"/>
      <c r="Y24" s="374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51"/>
      <c r="Q25" s="1352" t="str">
        <f>B25</f>
        <v>毗邻道路的类型与等级</v>
      </c>
      <c r="R25" s="705" t="s">
        <v>14</v>
      </c>
      <c r="S25" s="706">
        <f>F25</f>
        <v>100</v>
      </c>
      <c r="T25" s="705" t="s">
        <v>14</v>
      </c>
      <c r="U25" s="706">
        <f>H25</f>
        <v>100</v>
      </c>
      <c r="V25" s="705" t="s">
        <v>14</v>
      </c>
      <c r="W25" s="706">
        <f>J25</f>
        <v>100</v>
      </c>
      <c r="X25" s="1355"/>
      <c r="Y25" s="374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51"/>
      <c r="Q26" s="1352"/>
      <c r="R26" s="705"/>
      <c r="S26" s="706"/>
      <c r="T26" s="705"/>
      <c r="U26" s="706"/>
      <c r="V26" s="705"/>
      <c r="W26" s="706"/>
      <c r="X26" s="1355"/>
      <c r="Y26" s="374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51"/>
      <c r="Q27" s="1352" t="str">
        <f t="shared" ref="Q27:Q47" si="11">B27</f>
        <v>楼层</v>
      </c>
      <c r="R27" s="705" t="s">
        <v>14</v>
      </c>
      <c r="S27" s="706">
        <f>F27</f>
        <v>100</v>
      </c>
      <c r="T27" s="705" t="s">
        <v>14</v>
      </c>
      <c r="U27" s="706">
        <f>H27</f>
        <v>100</v>
      </c>
      <c r="V27" s="705" t="s">
        <v>14</v>
      </c>
      <c r="W27" s="706">
        <f>J27</f>
        <v>100</v>
      </c>
      <c r="X27" s="1355"/>
      <c r="Y27" s="374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51"/>
      <c r="Q28" s="1343" t="str">
        <f t="shared" si="11"/>
        <v>朝向</v>
      </c>
      <c r="R28" s="701" t="s">
        <v>14</v>
      </c>
      <c r="S28" s="702">
        <f>F28</f>
        <v>100</v>
      </c>
      <c r="T28" s="701" t="s">
        <v>14</v>
      </c>
      <c r="U28" s="702">
        <f>H28</f>
        <v>100</v>
      </c>
      <c r="V28" s="701" t="s">
        <v>14</v>
      </c>
      <c r="W28" s="702">
        <f>J28</f>
        <v>100</v>
      </c>
      <c r="X28" s="703"/>
      <c r="Y28" s="374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4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51"/>
      <c r="Q30" s="1352">
        <f t="shared" si="11"/>
        <v>111</v>
      </c>
      <c r="R30" s="705" t="s">
        <v>14</v>
      </c>
      <c r="S30" s="706">
        <f t="shared" si="12"/>
        <v>100</v>
      </c>
      <c r="T30" s="705" t="s">
        <v>14</v>
      </c>
      <c r="U30" s="706">
        <f t="shared" si="13"/>
        <v>100</v>
      </c>
      <c r="V30" s="705" t="s">
        <v>14</v>
      </c>
      <c r="W30" s="706">
        <f t="shared" si="14"/>
        <v>100</v>
      </c>
      <c r="X30" s="1355"/>
      <c r="Y30" s="374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51"/>
      <c r="Q31" s="1352">
        <f t="shared" si="11"/>
        <v>111</v>
      </c>
      <c r="R31" s="705" t="s">
        <v>14</v>
      </c>
      <c r="S31" s="706">
        <f t="shared" si="12"/>
        <v>100</v>
      </c>
      <c r="T31" s="705" t="s">
        <v>14</v>
      </c>
      <c r="U31" s="706">
        <f t="shared" si="13"/>
        <v>100</v>
      </c>
      <c r="V31" s="705" t="s">
        <v>14</v>
      </c>
      <c r="W31" s="706">
        <f t="shared" si="14"/>
        <v>100</v>
      </c>
      <c r="X31" s="1355"/>
      <c r="Y31" s="374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51"/>
      <c r="Q32" s="1352">
        <f t="shared" si="11"/>
        <v>111</v>
      </c>
      <c r="R32" s="705" t="s">
        <v>14</v>
      </c>
      <c r="S32" s="706">
        <f t="shared" si="12"/>
        <v>100</v>
      </c>
      <c r="T32" s="705" t="s">
        <v>14</v>
      </c>
      <c r="U32" s="706">
        <f t="shared" si="13"/>
        <v>100</v>
      </c>
      <c r="V32" s="705" t="s">
        <v>14</v>
      </c>
      <c r="W32" s="706">
        <f t="shared" si="14"/>
        <v>100</v>
      </c>
      <c r="X32" s="1355"/>
      <c r="Y32" s="374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45" t="s">
        <v>1696</v>
      </c>
      <c r="Q33" s="1352" t="str">
        <f t="shared" si="11"/>
        <v>建筑类型</v>
      </c>
      <c r="R33" s="705" t="s">
        <v>14</v>
      </c>
      <c r="S33" s="706">
        <f t="shared" si="12"/>
        <v>100</v>
      </c>
      <c r="T33" s="705" t="s">
        <v>14</v>
      </c>
      <c r="U33" s="706">
        <f t="shared" si="13"/>
        <v>100</v>
      </c>
      <c r="V33" s="705" t="s">
        <v>14</v>
      </c>
      <c r="W33" s="706">
        <f t="shared" si="14"/>
        <v>100</v>
      </c>
      <c r="X33" s="1355"/>
      <c r="Y33" s="374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6"/>
      <c r="Q34" s="707" t="str">
        <f t="shared" si="11"/>
        <v>项目建筑规模</v>
      </c>
      <c r="R34" s="708" t="s">
        <v>14</v>
      </c>
      <c r="S34" s="709" t="e">
        <f t="shared" si="12"/>
        <v>#N/A</v>
      </c>
      <c r="T34" s="708" t="s">
        <v>14</v>
      </c>
      <c r="U34" s="709" t="e">
        <f t="shared" si="13"/>
        <v>#N/A</v>
      </c>
      <c r="V34" s="708" t="s">
        <v>14</v>
      </c>
      <c r="W34" s="709" t="e">
        <f t="shared" si="14"/>
        <v>#N/A</v>
      </c>
      <c r="X34" s="710"/>
      <c r="Y34" s="374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6"/>
      <c r="Q35" s="1352" t="str">
        <f t="shared" si="11"/>
        <v>建筑结构</v>
      </c>
      <c r="R35" s="705" t="s">
        <v>14</v>
      </c>
      <c r="S35" s="706">
        <f t="shared" si="12"/>
        <v>100</v>
      </c>
      <c r="T35" s="705" t="s">
        <v>14</v>
      </c>
      <c r="U35" s="706">
        <f t="shared" si="13"/>
        <v>100</v>
      </c>
      <c r="V35" s="705" t="s">
        <v>14</v>
      </c>
      <c r="W35" s="706">
        <f t="shared" si="14"/>
        <v>100</v>
      </c>
      <c r="X35" s="1355"/>
      <c r="Y35" s="374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6"/>
      <c r="Q36" s="1352" t="str">
        <f t="shared" si="11"/>
        <v>公共部分装修</v>
      </c>
      <c r="R36" s="705" t="s">
        <v>14</v>
      </c>
      <c r="S36" s="706">
        <f t="shared" si="12"/>
        <v>100</v>
      </c>
      <c r="T36" s="705" t="s">
        <v>14</v>
      </c>
      <c r="U36" s="706">
        <f t="shared" si="13"/>
        <v>100</v>
      </c>
      <c r="V36" s="705" t="s">
        <v>14</v>
      </c>
      <c r="W36" s="706">
        <f t="shared" si="14"/>
        <v>100</v>
      </c>
      <c r="X36" s="1355"/>
      <c r="Y36" s="374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6"/>
      <c r="Q37" s="1352" t="str">
        <f t="shared" si="11"/>
        <v>成新度</v>
      </c>
      <c r="R37" s="705" t="s">
        <v>14</v>
      </c>
      <c r="S37" s="706" t="e">
        <f t="shared" si="12"/>
        <v>#N/A</v>
      </c>
      <c r="T37" s="705" t="s">
        <v>14</v>
      </c>
      <c r="U37" s="706" t="e">
        <f t="shared" si="13"/>
        <v>#N/A</v>
      </c>
      <c r="V37" s="705" t="s">
        <v>14</v>
      </c>
      <c r="W37" s="706" t="e">
        <f t="shared" si="14"/>
        <v>#N/A</v>
      </c>
      <c r="X37" s="1355"/>
      <c r="Y37" s="374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6"/>
      <c r="Q38" s="1343" t="str">
        <f t="shared" si="11"/>
        <v>写字楼等级</v>
      </c>
      <c r="R38" s="701" t="s">
        <v>14</v>
      </c>
      <c r="S38" s="702">
        <f t="shared" si="12"/>
        <v>100</v>
      </c>
      <c r="T38" s="701" t="s">
        <v>14</v>
      </c>
      <c r="U38" s="702">
        <f t="shared" si="13"/>
        <v>100</v>
      </c>
      <c r="V38" s="701" t="s">
        <v>14</v>
      </c>
      <c r="W38" s="702">
        <f t="shared" si="14"/>
        <v>100</v>
      </c>
      <c r="X38" s="703"/>
      <c r="Y38" s="374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6" t="s">
        <v>1696</v>
      </c>
      <c r="Q39" s="1352" t="str">
        <f t="shared" si="11"/>
        <v>物业管理</v>
      </c>
      <c r="R39" s="705" t="s">
        <v>14</v>
      </c>
      <c r="S39" s="706">
        <f t="shared" si="12"/>
        <v>100</v>
      </c>
      <c r="T39" s="705" t="s">
        <v>14</v>
      </c>
      <c r="U39" s="706">
        <f t="shared" si="13"/>
        <v>100</v>
      </c>
      <c r="V39" s="705" t="s">
        <v>14</v>
      </c>
      <c r="W39" s="706">
        <f t="shared" si="14"/>
        <v>100</v>
      </c>
      <c r="X39" s="1355"/>
      <c r="Y39" s="374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6"/>
      <c r="Q40" s="1352" t="str">
        <f t="shared" si="11"/>
        <v>市政基础设施</v>
      </c>
      <c r="R40" s="705" t="s">
        <v>14</v>
      </c>
      <c r="S40" s="706">
        <f t="shared" si="12"/>
        <v>100</v>
      </c>
      <c r="T40" s="705" t="s">
        <v>14</v>
      </c>
      <c r="U40" s="706">
        <f t="shared" si="13"/>
        <v>100</v>
      </c>
      <c r="V40" s="705" t="s">
        <v>14</v>
      </c>
      <c r="W40" s="706">
        <f t="shared" si="14"/>
        <v>100</v>
      </c>
      <c r="X40" s="1355"/>
      <c r="Y40" s="374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6"/>
      <c r="Q41" s="1352" t="str">
        <f t="shared" si="11"/>
        <v>层高</v>
      </c>
      <c r="R41" s="705" t="s">
        <v>14</v>
      </c>
      <c r="S41" s="706">
        <f t="shared" si="12"/>
        <v>100</v>
      </c>
      <c r="T41" s="705" t="s">
        <v>14</v>
      </c>
      <c r="U41" s="706">
        <f t="shared" si="13"/>
        <v>100</v>
      </c>
      <c r="V41" s="705" t="s">
        <v>14</v>
      </c>
      <c r="W41" s="706">
        <f t="shared" si="14"/>
        <v>100</v>
      </c>
      <c r="X41" s="1355"/>
      <c r="Y41" s="374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6"/>
      <c r="Q42" s="707" t="str">
        <f t="shared" si="11"/>
        <v>单套建筑面积</v>
      </c>
      <c r="R42" s="708" t="s">
        <v>14</v>
      </c>
      <c r="S42" s="709">
        <f t="shared" si="12"/>
        <v>100</v>
      </c>
      <c r="T42" s="708" t="s">
        <v>14</v>
      </c>
      <c r="U42" s="709">
        <f t="shared" si="13"/>
        <v>100</v>
      </c>
      <c r="V42" s="708" t="s">
        <v>14</v>
      </c>
      <c r="W42" s="709">
        <f t="shared" si="14"/>
        <v>100</v>
      </c>
      <c r="X42" s="710"/>
      <c r="Y42" s="374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6"/>
      <c r="Q43" s="1352" t="str">
        <f t="shared" si="11"/>
        <v>内部装修</v>
      </c>
      <c r="R43" s="705" t="s">
        <v>14</v>
      </c>
      <c r="S43" s="706">
        <f t="shared" si="12"/>
        <v>100</v>
      </c>
      <c r="T43" s="705" t="s">
        <v>14</v>
      </c>
      <c r="U43" s="706">
        <f t="shared" si="13"/>
        <v>100</v>
      </c>
      <c r="V43" s="705" t="s">
        <v>14</v>
      </c>
      <c r="W43" s="706">
        <f t="shared" si="14"/>
        <v>100</v>
      </c>
      <c r="X43" s="1355"/>
      <c r="Y43" s="374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46"/>
      <c r="Q44" s="1352" t="str">
        <f t="shared" si="11"/>
        <v>内部装修维护情况</v>
      </c>
      <c r="R44" s="705" t="s">
        <v>14</v>
      </c>
      <c r="S44" s="706">
        <f t="shared" si="12"/>
        <v>100</v>
      </c>
      <c r="T44" s="705" t="s">
        <v>14</v>
      </c>
      <c r="U44" s="706">
        <f t="shared" si="13"/>
        <v>100</v>
      </c>
      <c r="V44" s="705" t="s">
        <v>14</v>
      </c>
      <c r="W44" s="706">
        <f t="shared" si="14"/>
        <v>100</v>
      </c>
      <c r="X44" s="1355"/>
      <c r="Y44" s="374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6"/>
      <c r="Q45" s="1343">
        <f t="shared" si="11"/>
        <v>111</v>
      </c>
      <c r="R45" s="701" t="s">
        <v>14</v>
      </c>
      <c r="S45" s="702">
        <f t="shared" si="12"/>
        <v>100</v>
      </c>
      <c r="T45" s="701" t="s">
        <v>14</v>
      </c>
      <c r="U45" s="702">
        <f t="shared" si="13"/>
        <v>100</v>
      </c>
      <c r="V45" s="701" t="s">
        <v>14</v>
      </c>
      <c r="W45" s="702">
        <f t="shared" si="14"/>
        <v>100</v>
      </c>
      <c r="X45" s="703"/>
      <c r="Y45" s="374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7"/>
      <c r="Q47" s="1352">
        <f t="shared" si="11"/>
        <v>111</v>
      </c>
      <c r="R47" s="705" t="s">
        <v>14</v>
      </c>
      <c r="S47" s="706">
        <f t="shared" si="12"/>
        <v>100</v>
      </c>
      <c r="T47" s="705" t="s">
        <v>14</v>
      </c>
      <c r="U47" s="706">
        <f t="shared" si="13"/>
        <v>100</v>
      </c>
      <c r="V47" s="705" t="s">
        <v>14</v>
      </c>
      <c r="W47" s="706">
        <f t="shared" si="14"/>
        <v>100</v>
      </c>
      <c r="X47" s="1355"/>
      <c r="Y47" s="374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23" t="str">
        <f>A48</f>
        <v>成交单价（元/平方米）</v>
      </c>
      <c r="Q48" s="3741"/>
      <c r="R48" s="3742">
        <f>E48</f>
        <v>0</v>
      </c>
      <c r="S48" s="3742"/>
      <c r="T48" s="3742">
        <f>G48</f>
        <v>0</v>
      </c>
      <c r="U48" s="3742"/>
      <c r="V48" s="3742">
        <f>I48</f>
        <v>0</v>
      </c>
      <c r="W48" s="374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23" t="str">
        <f>A49</f>
        <v>比较价值（元/平方米）</v>
      </c>
      <c r="Q49" s="3741"/>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14258.28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913"/>
      <c r="M4" s="914"/>
      <c r="N4" s="914"/>
      <c r="O4" s="914"/>
      <c r="P4" s="3728" t="s">
        <v>1775</v>
      </c>
      <c r="Q4" s="3729"/>
      <c r="R4" s="3711" t="s">
        <v>1771</v>
      </c>
      <c r="S4" s="3712"/>
      <c r="T4" s="3711" t="s">
        <v>1772</v>
      </c>
      <c r="U4" s="3712"/>
      <c r="V4" s="3736" t="s">
        <v>1773</v>
      </c>
      <c r="W4" s="3736"/>
      <c r="X4" s="1355"/>
      <c r="Y4" s="3711" t="s">
        <v>1775</v>
      </c>
      <c r="Z4" s="3712"/>
      <c r="AA4" s="3706" t="s">
        <v>1771</v>
      </c>
      <c r="AB4" s="3707" t="s">
        <v>1772</v>
      </c>
      <c r="AC4" s="3706" t="s">
        <v>1773</v>
      </c>
    </row>
    <row r="5" spans="1:29" ht="15">
      <c r="A5" s="358"/>
      <c r="B5" s="359"/>
      <c r="C5" s="3717" t="s">
        <v>1673</v>
      </c>
      <c r="D5" s="3718"/>
      <c r="E5" s="3715" t="s">
        <v>1674</v>
      </c>
      <c r="F5" s="3716"/>
      <c r="G5" s="3717" t="s">
        <v>1675</v>
      </c>
      <c r="H5" s="3718"/>
      <c r="I5" s="3717" t="s">
        <v>1676</v>
      </c>
      <c r="J5" s="3718"/>
      <c r="K5" s="559"/>
      <c r="L5" s="913"/>
      <c r="M5" s="914"/>
      <c r="N5" s="914"/>
      <c r="O5" s="914"/>
      <c r="P5" s="3730"/>
      <c r="Q5" s="3731"/>
      <c r="R5" s="3713"/>
      <c r="S5" s="3714"/>
      <c r="T5" s="3713"/>
      <c r="U5" s="3714"/>
      <c r="V5" s="3736"/>
      <c r="W5" s="3736"/>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913"/>
      <c r="M6" s="914"/>
      <c r="N6" s="914"/>
      <c r="O6" s="914"/>
      <c r="P6" s="3732"/>
      <c r="Q6" s="3733"/>
      <c r="R6" s="3713"/>
      <c r="S6" s="3714"/>
      <c r="T6" s="3734"/>
      <c r="U6" s="3735"/>
      <c r="V6" s="3736"/>
      <c r="W6" s="3736"/>
      <c r="X6" s="1355"/>
      <c r="Y6" s="3734"/>
      <c r="Z6" s="3735"/>
      <c r="AA6" s="3708"/>
      <c r="AB6" s="3708"/>
      <c r="AC6" s="3708"/>
    </row>
    <row r="7" spans="1:29" s="108" customFormat="1" ht="15.75" thickBot="1">
      <c r="A7" s="362" t="s">
        <v>1679</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1"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41"/>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1343"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1"/>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1"/>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1"/>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3" t="s">
        <v>1691</v>
      </c>
      <c r="Q15" s="1352" t="str">
        <f t="shared" si="6"/>
        <v>产业集聚程度</v>
      </c>
      <c r="R15" s="705" t="s">
        <v>14</v>
      </c>
      <c r="S15" s="706">
        <f t="shared" si="0"/>
        <v>100</v>
      </c>
      <c r="T15" s="705" t="s">
        <v>14</v>
      </c>
      <c r="U15" s="706">
        <f t="shared" si="1"/>
        <v>100</v>
      </c>
      <c r="V15" s="705" t="s">
        <v>14</v>
      </c>
      <c r="W15" s="706">
        <f t="shared" si="2"/>
        <v>100</v>
      </c>
      <c r="X15" s="1355"/>
      <c r="Y15" s="374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4"/>
      <c r="Q16" s="1352"/>
      <c r="R16" s="705"/>
      <c r="S16" s="706"/>
      <c r="T16" s="705"/>
      <c r="U16" s="706"/>
      <c r="V16" s="705"/>
      <c r="W16" s="706"/>
      <c r="X16" s="1355"/>
      <c r="Y16" s="374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4"/>
      <c r="Q18" s="1352"/>
      <c r="R18" s="705"/>
      <c r="S18" s="706"/>
      <c r="T18" s="705"/>
      <c r="U18" s="706"/>
      <c r="V18" s="705"/>
      <c r="W18" s="706"/>
      <c r="X18" s="1355"/>
      <c r="Y18" s="374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4"/>
      <c r="Q19" s="1352" t="str">
        <f>B19</f>
        <v>公共配套设施</v>
      </c>
      <c r="R19" s="705" t="s">
        <v>14</v>
      </c>
      <c r="S19" s="706">
        <f>F19</f>
        <v>100</v>
      </c>
      <c r="T19" s="705" t="s">
        <v>14</v>
      </c>
      <c r="U19" s="706">
        <f>H19</f>
        <v>100</v>
      </c>
      <c r="V19" s="705" t="s">
        <v>14</v>
      </c>
      <c r="W19" s="706">
        <f>J19</f>
        <v>100</v>
      </c>
      <c r="X19" s="1355"/>
      <c r="Y19" s="37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4"/>
      <c r="Q20" s="1352"/>
      <c r="R20" s="705"/>
      <c r="S20" s="706"/>
      <c r="T20" s="705"/>
      <c r="U20" s="706"/>
      <c r="V20" s="705"/>
      <c r="W20" s="706"/>
      <c r="X20" s="1355"/>
      <c r="Y20" s="374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4"/>
      <c r="Q21" s="1352" t="str">
        <f>B21</f>
        <v>基础设施水平</v>
      </c>
      <c r="R21" s="705" t="s">
        <v>14</v>
      </c>
      <c r="S21" s="706">
        <f>F21</f>
        <v>100</v>
      </c>
      <c r="T21" s="705" t="s">
        <v>14</v>
      </c>
      <c r="U21" s="706">
        <f>H21</f>
        <v>100</v>
      </c>
      <c r="V21" s="705" t="s">
        <v>14</v>
      </c>
      <c r="W21" s="706">
        <f>J21</f>
        <v>100</v>
      </c>
      <c r="X21" s="1355"/>
      <c r="Y21" s="37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4"/>
      <c r="Q22" s="1352"/>
      <c r="R22" s="705"/>
      <c r="S22" s="706"/>
      <c r="T22" s="705"/>
      <c r="U22" s="706"/>
      <c r="V22" s="705"/>
      <c r="W22" s="706"/>
      <c r="X22" s="1355"/>
      <c r="Y22" s="374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4"/>
      <c r="Q23" s="1352" t="str">
        <f>B23</f>
        <v>环境质量</v>
      </c>
      <c r="R23" s="705" t="s">
        <v>14</v>
      </c>
      <c r="S23" s="706">
        <f>F23</f>
        <v>100</v>
      </c>
      <c r="T23" s="705" t="s">
        <v>14</v>
      </c>
      <c r="U23" s="706">
        <f>H23</f>
        <v>100</v>
      </c>
      <c r="V23" s="705" t="s">
        <v>14</v>
      </c>
      <c r="W23" s="706">
        <f>J23</f>
        <v>100</v>
      </c>
      <c r="X23" s="1355"/>
      <c r="Y23" s="37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4"/>
      <c r="Q24" s="1352"/>
      <c r="R24" s="705"/>
      <c r="S24" s="706"/>
      <c r="T24" s="705"/>
      <c r="U24" s="706"/>
      <c r="V24" s="705"/>
      <c r="W24" s="706"/>
      <c r="X24" s="1355"/>
      <c r="Y24" s="37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4"/>
      <c r="Q25" s="1352">
        <f>B25</f>
        <v>111</v>
      </c>
      <c r="R25" s="705" t="s">
        <v>14</v>
      </c>
      <c r="S25" s="706">
        <f>F25</f>
        <v>100</v>
      </c>
      <c r="T25" s="705" t="s">
        <v>14</v>
      </c>
      <c r="U25" s="706">
        <f>H25</f>
        <v>100</v>
      </c>
      <c r="V25" s="705" t="s">
        <v>14</v>
      </c>
      <c r="W25" s="706">
        <f>J25</f>
        <v>100</v>
      </c>
      <c r="X25" s="1355"/>
      <c r="Y25" s="37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4"/>
      <c r="Q26" s="1352">
        <f t="shared" ref="Q26:Q40" si="11">B26</f>
        <v>111</v>
      </c>
      <c r="R26" s="705" t="s">
        <v>14</v>
      </c>
      <c r="S26" s="706">
        <f>F26</f>
        <v>100</v>
      </c>
      <c r="T26" s="705" t="s">
        <v>14</v>
      </c>
      <c r="U26" s="706">
        <f>H26</f>
        <v>100</v>
      </c>
      <c r="V26" s="705" t="s">
        <v>14</v>
      </c>
      <c r="W26" s="706">
        <f>J26</f>
        <v>100</v>
      </c>
      <c r="X26" s="1355"/>
      <c r="Y26" s="37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4"/>
      <c r="Q27" s="1343">
        <f t="shared" si="11"/>
        <v>111</v>
      </c>
      <c r="R27" s="701" t="s">
        <v>14</v>
      </c>
      <c r="S27" s="702">
        <f>F27</f>
        <v>100</v>
      </c>
      <c r="T27" s="701" t="s">
        <v>14</v>
      </c>
      <c r="U27" s="702">
        <f>H27</f>
        <v>100</v>
      </c>
      <c r="V27" s="701" t="s">
        <v>14</v>
      </c>
      <c r="W27" s="702">
        <f>J27</f>
        <v>100</v>
      </c>
      <c r="X27" s="703"/>
      <c r="Y27" s="37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4"/>
      <c r="Q28" s="1352">
        <f t="shared" si="11"/>
        <v>111</v>
      </c>
      <c r="R28" s="705" t="s">
        <v>14</v>
      </c>
      <c r="S28" s="706">
        <f t="shared" ref="S28:S40" si="12">F28</f>
        <v>100</v>
      </c>
      <c r="T28" s="705" t="s">
        <v>14</v>
      </c>
      <c r="U28" s="706">
        <f t="shared" ref="U28:U40" si="13">H28</f>
        <v>100</v>
      </c>
      <c r="V28" s="705" t="s">
        <v>14</v>
      </c>
      <c r="W28" s="706">
        <f t="shared" ref="W28:W40" si="14">J28</f>
        <v>100</v>
      </c>
      <c r="X28" s="1355"/>
      <c r="Y28" s="374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74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8"/>
      <c r="Q30" s="707" t="str">
        <f t="shared" si="11"/>
        <v>项目建筑规模</v>
      </c>
      <c r="R30" s="708" t="s">
        <v>14</v>
      </c>
      <c r="S30" s="709" t="e">
        <f t="shared" si="12"/>
        <v>#N/A</v>
      </c>
      <c r="T30" s="708" t="s">
        <v>14</v>
      </c>
      <c r="U30" s="709" t="e">
        <f t="shared" si="13"/>
        <v>#N/A</v>
      </c>
      <c r="V30" s="708" t="s">
        <v>14</v>
      </c>
      <c r="W30" s="709" t="e">
        <f t="shared" si="14"/>
        <v>#N/A</v>
      </c>
      <c r="X30" s="710"/>
      <c r="Y30" s="374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8"/>
      <c r="Q31" s="1352" t="str">
        <f t="shared" si="11"/>
        <v>建筑结构</v>
      </c>
      <c r="R31" s="705" t="s">
        <v>14</v>
      </c>
      <c r="S31" s="706">
        <f t="shared" si="12"/>
        <v>100</v>
      </c>
      <c r="T31" s="705" t="s">
        <v>14</v>
      </c>
      <c r="U31" s="706">
        <f t="shared" si="13"/>
        <v>100</v>
      </c>
      <c r="V31" s="705" t="s">
        <v>14</v>
      </c>
      <c r="W31" s="706">
        <f t="shared" si="14"/>
        <v>100</v>
      </c>
      <c r="X31" s="1355"/>
      <c r="Y31" s="374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8"/>
      <c r="Q32" s="1352" t="str">
        <f t="shared" si="11"/>
        <v>公共部分装修</v>
      </c>
      <c r="R32" s="705" t="s">
        <v>14</v>
      </c>
      <c r="S32" s="706">
        <f t="shared" si="12"/>
        <v>100</v>
      </c>
      <c r="T32" s="705" t="s">
        <v>14</v>
      </c>
      <c r="U32" s="706">
        <f t="shared" si="13"/>
        <v>100</v>
      </c>
      <c r="V32" s="705" t="s">
        <v>14</v>
      </c>
      <c r="W32" s="706">
        <f t="shared" si="14"/>
        <v>100</v>
      </c>
      <c r="X32" s="1355"/>
      <c r="Y32" s="374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8"/>
      <c r="Q33" s="1352" t="str">
        <f t="shared" si="11"/>
        <v>成新度</v>
      </c>
      <c r="R33" s="705" t="s">
        <v>14</v>
      </c>
      <c r="S33" s="706" t="e">
        <f t="shared" si="12"/>
        <v>#N/A</v>
      </c>
      <c r="T33" s="705" t="s">
        <v>14</v>
      </c>
      <c r="U33" s="706" t="e">
        <f t="shared" si="13"/>
        <v>#N/A</v>
      </c>
      <c r="V33" s="705" t="s">
        <v>14</v>
      </c>
      <c r="W33" s="706" t="e">
        <f t="shared" si="14"/>
        <v>#N/A</v>
      </c>
      <c r="X33" s="1355"/>
      <c r="Y33" s="374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8"/>
      <c r="Q34" s="1343" t="str">
        <f t="shared" si="11"/>
        <v>物业管理</v>
      </c>
      <c r="R34" s="701" t="s">
        <v>14</v>
      </c>
      <c r="S34" s="702">
        <f t="shared" si="12"/>
        <v>100</v>
      </c>
      <c r="T34" s="701" t="s">
        <v>14</v>
      </c>
      <c r="U34" s="702">
        <f t="shared" si="13"/>
        <v>100</v>
      </c>
      <c r="V34" s="701" t="s">
        <v>14</v>
      </c>
      <c r="W34" s="702">
        <f t="shared" si="14"/>
        <v>100</v>
      </c>
      <c r="X34" s="703"/>
      <c r="Y34" s="374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8" t="s">
        <v>1696</v>
      </c>
      <c r="Q35" s="1352" t="str">
        <f t="shared" si="11"/>
        <v>市政基础设施</v>
      </c>
      <c r="R35" s="705" t="s">
        <v>14</v>
      </c>
      <c r="S35" s="706">
        <f t="shared" si="12"/>
        <v>100</v>
      </c>
      <c r="T35" s="705" t="s">
        <v>14</v>
      </c>
      <c r="U35" s="706">
        <f t="shared" si="13"/>
        <v>100</v>
      </c>
      <c r="V35" s="705" t="s">
        <v>14</v>
      </c>
      <c r="W35" s="706">
        <f t="shared" si="14"/>
        <v>100</v>
      </c>
      <c r="X35" s="1355"/>
      <c r="Y35" s="374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8"/>
      <c r="Q36" s="1352" t="str">
        <f t="shared" si="11"/>
        <v>内部装修</v>
      </c>
      <c r="R36" s="705" t="s">
        <v>14</v>
      </c>
      <c r="S36" s="706">
        <f t="shared" si="12"/>
        <v>100</v>
      </c>
      <c r="T36" s="705" t="s">
        <v>14</v>
      </c>
      <c r="U36" s="706">
        <f t="shared" si="13"/>
        <v>100</v>
      </c>
      <c r="V36" s="705" t="s">
        <v>14</v>
      </c>
      <c r="W36" s="706">
        <f t="shared" si="14"/>
        <v>100</v>
      </c>
      <c r="X36" s="1355"/>
      <c r="Y36" s="374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8"/>
      <c r="Q37" s="1352" t="str">
        <f t="shared" si="11"/>
        <v>内部装修状况</v>
      </c>
      <c r="R37" s="705" t="s">
        <v>14</v>
      </c>
      <c r="S37" s="706">
        <f t="shared" si="12"/>
        <v>100</v>
      </c>
      <c r="T37" s="705" t="s">
        <v>14</v>
      </c>
      <c r="U37" s="706">
        <f t="shared" si="13"/>
        <v>100</v>
      </c>
      <c r="V37" s="705" t="s">
        <v>14</v>
      </c>
      <c r="W37" s="706">
        <f t="shared" si="14"/>
        <v>100</v>
      </c>
      <c r="X37" s="1355"/>
      <c r="Y37" s="37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8"/>
      <c r="Q38" s="707">
        <f t="shared" si="11"/>
        <v>111</v>
      </c>
      <c r="R38" s="708" t="s">
        <v>14</v>
      </c>
      <c r="S38" s="709">
        <f t="shared" si="12"/>
        <v>100</v>
      </c>
      <c r="T38" s="708" t="s">
        <v>14</v>
      </c>
      <c r="U38" s="709">
        <f t="shared" si="13"/>
        <v>100</v>
      </c>
      <c r="V38" s="708" t="s">
        <v>14</v>
      </c>
      <c r="W38" s="709">
        <f t="shared" si="14"/>
        <v>100</v>
      </c>
      <c r="X38" s="710"/>
      <c r="Y38" s="37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8"/>
      <c r="Q39" s="1352">
        <f t="shared" si="11"/>
        <v>111</v>
      </c>
      <c r="R39" s="705" t="s">
        <v>14</v>
      </c>
      <c r="S39" s="706">
        <f t="shared" si="12"/>
        <v>100</v>
      </c>
      <c r="T39" s="705" t="s">
        <v>14</v>
      </c>
      <c r="U39" s="706">
        <f t="shared" si="13"/>
        <v>100</v>
      </c>
      <c r="V39" s="705" t="s">
        <v>14</v>
      </c>
      <c r="W39" s="706">
        <f t="shared" si="14"/>
        <v>100</v>
      </c>
      <c r="X39" s="1355"/>
      <c r="Y39" s="37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9"/>
      <c r="Q40" s="1352">
        <f t="shared" si="11"/>
        <v>111</v>
      </c>
      <c r="R40" s="705" t="s">
        <v>14</v>
      </c>
      <c r="S40" s="706">
        <f t="shared" si="12"/>
        <v>100</v>
      </c>
      <c r="T40" s="705" t="s">
        <v>14</v>
      </c>
      <c r="U40" s="706">
        <f t="shared" si="13"/>
        <v>100</v>
      </c>
      <c r="V40" s="705" t="s">
        <v>14</v>
      </c>
      <c r="W40" s="706">
        <f t="shared" si="14"/>
        <v>100</v>
      </c>
      <c r="X40" s="1355"/>
      <c r="Y40" s="374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1" t="str">
        <f>A41</f>
        <v>成交单价（元/平方米）</v>
      </c>
      <c r="Q41" s="3741"/>
      <c r="R41" s="3742">
        <f>E41</f>
        <v>0</v>
      </c>
      <c r="S41" s="3742"/>
      <c r="T41" s="3742">
        <f>G41</f>
        <v>0</v>
      </c>
      <c r="U41" s="3742"/>
      <c r="V41" s="3742">
        <f>I41</f>
        <v>0</v>
      </c>
      <c r="W41" s="374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11" t="s">
        <v>1771</v>
      </c>
      <c r="S4" s="3712"/>
      <c r="T4" s="3711" t="s">
        <v>1772</v>
      </c>
      <c r="U4" s="3712"/>
      <c r="V4" s="3736" t="s">
        <v>1773</v>
      </c>
      <c r="W4" s="3736"/>
      <c r="X4" s="1355"/>
      <c r="Y4" s="3711" t="s">
        <v>1775</v>
      </c>
      <c r="Z4" s="3712"/>
      <c r="AA4" s="3706" t="s">
        <v>1771</v>
      </c>
      <c r="AB4" s="3707" t="s">
        <v>1772</v>
      </c>
      <c r="AC4" s="3706" t="s">
        <v>1773</v>
      </c>
    </row>
    <row r="5" spans="1:29" ht="15">
      <c r="A5" s="358"/>
      <c r="B5" s="359"/>
      <c r="C5" s="3717" t="s">
        <v>1673</v>
      </c>
      <c r="D5" s="3718"/>
      <c r="E5" s="3715" t="s">
        <v>1674</v>
      </c>
      <c r="F5" s="3716"/>
      <c r="G5" s="3717" t="s">
        <v>1675</v>
      </c>
      <c r="H5" s="3718"/>
      <c r="I5" s="3717" t="s">
        <v>1676</v>
      </c>
      <c r="J5" s="3718"/>
      <c r="K5" s="559"/>
      <c r="L5" s="2711"/>
      <c r="M5" s="2712"/>
      <c r="N5" s="2712"/>
      <c r="O5" s="2712"/>
      <c r="P5" s="3730"/>
      <c r="Q5" s="3731"/>
      <c r="R5" s="3713"/>
      <c r="S5" s="3714"/>
      <c r="T5" s="3713"/>
      <c r="U5" s="3714"/>
      <c r="V5" s="3736"/>
      <c r="W5" s="3736"/>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2711"/>
      <c r="M6" s="2712"/>
      <c r="N6" s="2712"/>
      <c r="O6" s="2712"/>
      <c r="P6" s="3732"/>
      <c r="Q6" s="3733"/>
      <c r="R6" s="3713"/>
      <c r="S6" s="3714"/>
      <c r="T6" s="3734"/>
      <c r="U6" s="3735"/>
      <c r="V6" s="3736"/>
      <c r="W6" s="3736"/>
      <c r="X6" s="1355"/>
      <c r="Y6" s="3734"/>
      <c r="Z6" s="3735"/>
      <c r="AA6" s="3708"/>
      <c r="AB6" s="3708"/>
      <c r="AC6" s="3708"/>
    </row>
    <row r="7" spans="1:29" s="108" customFormat="1" ht="15.75" thickBot="1">
      <c r="A7" s="362" t="s">
        <v>1679</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9" t="s">
        <v>1680</v>
      </c>
      <c r="Q7" s="3737"/>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1" t="s">
        <v>1686</v>
      </c>
      <c r="Q9" s="1343"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41"/>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1"/>
      <c r="Q11" s="1343">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1"/>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1"/>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3" t="s">
        <v>1691</v>
      </c>
      <c r="Q14" s="1352" t="str">
        <f t="shared" si="6"/>
        <v>交通便捷度</v>
      </c>
      <c r="R14" s="705" t="s">
        <v>14</v>
      </c>
      <c r="S14" s="706">
        <f t="shared" si="0"/>
        <v>100</v>
      </c>
      <c r="T14" s="705" t="s">
        <v>14</v>
      </c>
      <c r="U14" s="706">
        <f t="shared" si="1"/>
        <v>100</v>
      </c>
      <c r="V14" s="705" t="s">
        <v>14</v>
      </c>
      <c r="W14" s="706">
        <f t="shared" si="2"/>
        <v>100</v>
      </c>
      <c r="X14" s="1355"/>
      <c r="Y14" s="374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44"/>
      <c r="Q15" s="1352"/>
      <c r="R15" s="705"/>
      <c r="S15" s="706"/>
      <c r="T15" s="705"/>
      <c r="U15" s="706"/>
      <c r="V15" s="705"/>
      <c r="W15" s="706"/>
      <c r="X15" s="1355"/>
      <c r="Y15" s="3744"/>
      <c r="Z15" s="1356"/>
      <c r="AA15" s="1353">
        <v>1</v>
      </c>
      <c r="AB15" s="1353">
        <v>1</v>
      </c>
      <c r="AC15" s="1353">
        <v>1</v>
      </c>
    </row>
    <row r="16" spans="1:29" ht="42.7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44"/>
      <c r="Q17" s="1352"/>
      <c r="R17" s="705"/>
      <c r="S17" s="706"/>
      <c r="T17" s="705"/>
      <c r="U17" s="706"/>
      <c r="V17" s="705"/>
      <c r="W17" s="706"/>
      <c r="X17" s="1355"/>
      <c r="Y17" s="3744"/>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44"/>
      <c r="Q19" s="1352"/>
      <c r="R19" s="705"/>
      <c r="S19" s="706"/>
      <c r="T19" s="705"/>
      <c r="U19" s="706"/>
      <c r="V19" s="705"/>
      <c r="W19" s="706"/>
      <c r="X19" s="1355"/>
      <c r="Y19" s="3744"/>
      <c r="Z19" s="1356"/>
      <c r="AA19" s="1353">
        <v>1</v>
      </c>
      <c r="AB19" s="1353">
        <v>1</v>
      </c>
      <c r="AC19" s="1353">
        <v>1</v>
      </c>
    </row>
    <row r="20" spans="1:29" ht="57">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44"/>
      <c r="Q21" s="1352"/>
      <c r="R21" s="705"/>
      <c r="S21" s="706"/>
      <c r="T21" s="705"/>
      <c r="U21" s="706"/>
      <c r="V21" s="705"/>
      <c r="W21" s="706"/>
      <c r="X21" s="1355"/>
      <c r="Y21" s="374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4"/>
      <c r="Q24" s="1352">
        <f t="shared" ref="Q24:Q36"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8"/>
      <c r="Q27" s="707" t="str">
        <f t="shared" si="11"/>
        <v>项目停车位配比</v>
      </c>
      <c r="R27" s="708" t="s">
        <v>14</v>
      </c>
      <c r="S27" s="709">
        <f t="shared" si="12"/>
        <v>100</v>
      </c>
      <c r="T27" s="708" t="s">
        <v>14</v>
      </c>
      <c r="U27" s="709">
        <f t="shared" si="13"/>
        <v>100</v>
      </c>
      <c r="V27" s="708" t="s">
        <v>14</v>
      </c>
      <c r="W27" s="709">
        <f t="shared" si="14"/>
        <v>100</v>
      </c>
      <c r="X27" s="710"/>
      <c r="Y27" s="374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8"/>
      <c r="Q28" s="1352" t="str">
        <f t="shared" si="11"/>
        <v>公共部分装修</v>
      </c>
      <c r="R28" s="705" t="s">
        <v>14</v>
      </c>
      <c r="S28" s="706">
        <f t="shared" si="12"/>
        <v>100</v>
      </c>
      <c r="T28" s="705" t="s">
        <v>14</v>
      </c>
      <c r="U28" s="706">
        <f t="shared" si="13"/>
        <v>100</v>
      </c>
      <c r="V28" s="705" t="s">
        <v>14</v>
      </c>
      <c r="W28" s="706">
        <f t="shared" si="14"/>
        <v>100</v>
      </c>
      <c r="X28" s="1355"/>
      <c r="Y28" s="374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8"/>
      <c r="Q29" s="1352" t="str">
        <f t="shared" si="11"/>
        <v>成新率</v>
      </c>
      <c r="R29" s="705" t="s">
        <v>14</v>
      </c>
      <c r="S29" s="706" t="e">
        <f t="shared" si="12"/>
        <v>#N/A</v>
      </c>
      <c r="T29" s="705" t="s">
        <v>14</v>
      </c>
      <c r="U29" s="706" t="e">
        <f t="shared" si="13"/>
        <v>#N/A</v>
      </c>
      <c r="V29" s="705" t="s">
        <v>14</v>
      </c>
      <c r="W29" s="706" t="e">
        <f t="shared" si="14"/>
        <v>#N/A</v>
      </c>
      <c r="X29" s="1355"/>
      <c r="Y29" s="374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8"/>
      <c r="Q30" s="1352" t="str">
        <f t="shared" si="11"/>
        <v>物业等级</v>
      </c>
      <c r="R30" s="705" t="s">
        <v>14</v>
      </c>
      <c r="S30" s="706">
        <f t="shared" si="12"/>
        <v>100</v>
      </c>
      <c r="T30" s="705" t="s">
        <v>14</v>
      </c>
      <c r="U30" s="706">
        <f t="shared" si="13"/>
        <v>100</v>
      </c>
      <c r="V30" s="705" t="s">
        <v>14</v>
      </c>
      <c r="W30" s="706">
        <f t="shared" si="14"/>
        <v>100</v>
      </c>
      <c r="X30" s="1355"/>
      <c r="Y30" s="374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8"/>
      <c r="Q31" s="1343" t="str">
        <f t="shared" si="11"/>
        <v>停车位面积</v>
      </c>
      <c r="R31" s="701" t="s">
        <v>14</v>
      </c>
      <c r="S31" s="702" t="e">
        <f t="shared" si="12"/>
        <v>#N/A</v>
      </c>
      <c r="T31" s="701" t="s">
        <v>14</v>
      </c>
      <c r="U31" s="702" t="e">
        <f t="shared" si="13"/>
        <v>#N/A</v>
      </c>
      <c r="V31" s="701" t="s">
        <v>14</v>
      </c>
      <c r="W31" s="702" t="e">
        <f t="shared" si="14"/>
        <v>#N/A</v>
      </c>
      <c r="X31" s="703"/>
      <c r="Y31" s="374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8" t="s">
        <v>1696</v>
      </c>
      <c r="Q32" s="1352" t="str">
        <f t="shared" si="11"/>
        <v>车位类型</v>
      </c>
      <c r="R32" s="705" t="s">
        <v>14</v>
      </c>
      <c r="S32" s="706">
        <f t="shared" si="12"/>
        <v>100</v>
      </c>
      <c r="T32" s="705" t="s">
        <v>14</v>
      </c>
      <c r="U32" s="706">
        <f t="shared" si="13"/>
        <v>100</v>
      </c>
      <c r="V32" s="705" t="s">
        <v>14</v>
      </c>
      <c r="W32" s="706">
        <f t="shared" si="14"/>
        <v>100</v>
      </c>
      <c r="X32" s="1355"/>
      <c r="Y32" s="374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8"/>
      <c r="Q33" s="1352" t="str">
        <f t="shared" si="11"/>
        <v>是否直接入户</v>
      </c>
      <c r="R33" s="705" t="s">
        <v>14</v>
      </c>
      <c r="S33" s="706">
        <f t="shared" si="12"/>
        <v>100</v>
      </c>
      <c r="T33" s="705" t="s">
        <v>14</v>
      </c>
      <c r="U33" s="706">
        <f t="shared" si="13"/>
        <v>100</v>
      </c>
      <c r="V33" s="705" t="s">
        <v>14</v>
      </c>
      <c r="W33" s="706">
        <f t="shared" si="14"/>
        <v>100</v>
      </c>
      <c r="X33" s="1355"/>
      <c r="Y33" s="37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8"/>
      <c r="Q35" s="707">
        <f t="shared" si="11"/>
        <v>111</v>
      </c>
      <c r="R35" s="708" t="s">
        <v>14</v>
      </c>
      <c r="S35" s="709">
        <f t="shared" si="12"/>
        <v>100</v>
      </c>
      <c r="T35" s="708" t="s">
        <v>14</v>
      </c>
      <c r="U35" s="709">
        <f t="shared" si="13"/>
        <v>100</v>
      </c>
      <c r="V35" s="708" t="s">
        <v>14</v>
      </c>
      <c r="W35" s="709">
        <f t="shared" si="14"/>
        <v>100</v>
      </c>
      <c r="X35" s="710"/>
      <c r="Y35" s="37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8"/>
      <c r="Q36" s="1352">
        <f t="shared" si="11"/>
        <v>111</v>
      </c>
      <c r="R36" s="705" t="s">
        <v>14</v>
      </c>
      <c r="S36" s="706">
        <f t="shared" si="12"/>
        <v>100</v>
      </c>
      <c r="T36" s="705" t="s">
        <v>14</v>
      </c>
      <c r="U36" s="706">
        <f t="shared" si="13"/>
        <v>100</v>
      </c>
      <c r="V36" s="705" t="s">
        <v>14</v>
      </c>
      <c r="W36" s="706">
        <f t="shared" si="14"/>
        <v>100</v>
      </c>
      <c r="X36" s="1355"/>
      <c r="Y36" s="3748"/>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0"/>
      <c r="M37" s="2721"/>
      <c r="N37" s="2712"/>
      <c r="O37" s="2721"/>
      <c r="P37" s="3741" t="str">
        <f>A37</f>
        <v>成交单价</v>
      </c>
      <c r="Q37" s="3741"/>
      <c r="R37" s="3742">
        <f>E37</f>
        <v>0</v>
      </c>
      <c r="S37" s="3742"/>
      <c r="T37" s="3742">
        <f>G37</f>
        <v>0</v>
      </c>
      <c r="U37" s="3742"/>
      <c r="V37" s="3742">
        <f>I37</f>
        <v>0</v>
      </c>
      <c r="W37" s="374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8" t="str">
        <f>A39</f>
        <v>估价对象XX用房的比较价值（楼面单价，元/平方米）</v>
      </c>
      <c r="Q39" s="3739"/>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11" t="s">
        <v>1771</v>
      </c>
      <c r="S4" s="3712"/>
      <c r="T4" s="3711" t="s">
        <v>1772</v>
      </c>
      <c r="U4" s="3712"/>
      <c r="V4" s="3736" t="s">
        <v>1773</v>
      </c>
      <c r="W4" s="3736"/>
      <c r="X4" s="1355"/>
      <c r="Y4" s="3711" t="s">
        <v>1775</v>
      </c>
      <c r="Z4" s="3712"/>
      <c r="AA4" s="3706" t="s">
        <v>1771</v>
      </c>
      <c r="AB4" s="3707" t="s">
        <v>1772</v>
      </c>
      <c r="AC4" s="3706" t="s">
        <v>1773</v>
      </c>
    </row>
    <row r="5" spans="1:29" ht="15">
      <c r="A5" s="358"/>
      <c r="B5" s="359"/>
      <c r="C5" s="3717" t="s">
        <v>1673</v>
      </c>
      <c r="D5" s="3718"/>
      <c r="E5" s="3715" t="s">
        <v>1674</v>
      </c>
      <c r="F5" s="3716"/>
      <c r="G5" s="3717" t="s">
        <v>1675</v>
      </c>
      <c r="H5" s="3718"/>
      <c r="I5" s="3717" t="s">
        <v>1676</v>
      </c>
      <c r="J5" s="3718"/>
      <c r="K5" s="559"/>
      <c r="L5" s="2711"/>
      <c r="M5" s="2712"/>
      <c r="N5" s="2712"/>
      <c r="O5" s="2712"/>
      <c r="P5" s="3730"/>
      <c r="Q5" s="3731"/>
      <c r="R5" s="3713"/>
      <c r="S5" s="3714"/>
      <c r="T5" s="3713"/>
      <c r="U5" s="3714"/>
      <c r="V5" s="3736"/>
      <c r="W5" s="3736"/>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2711"/>
      <c r="M6" s="2712"/>
      <c r="N6" s="2712"/>
      <c r="O6" s="2712"/>
      <c r="P6" s="3732"/>
      <c r="Q6" s="3733"/>
      <c r="R6" s="3713"/>
      <c r="S6" s="3714"/>
      <c r="T6" s="3734"/>
      <c r="U6" s="3735"/>
      <c r="V6" s="3736"/>
      <c r="W6" s="3736"/>
      <c r="X6" s="1355"/>
      <c r="Y6" s="3734"/>
      <c r="Z6" s="3735"/>
      <c r="AA6" s="3708"/>
      <c r="AB6" s="3708"/>
      <c r="AC6" s="3708"/>
    </row>
    <row r="7" spans="1:29" s="108" customFormat="1" ht="15.75" thickBot="1">
      <c r="A7" s="362" t="s">
        <v>1679</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9" t="s">
        <v>1680</v>
      </c>
      <c r="Q7" s="3737"/>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1" t="s">
        <v>1686</v>
      </c>
      <c r="Q9" s="1343" t="str">
        <f t="shared" ref="Q9:Q14" si="6">B9</f>
        <v>用途</v>
      </c>
      <c r="R9" s="701" t="s">
        <v>14</v>
      </c>
      <c r="S9" s="702">
        <f t="shared" si="0"/>
        <v>100</v>
      </c>
      <c r="T9" s="701" t="s">
        <v>14</v>
      </c>
      <c r="U9" s="702">
        <f t="shared" si="1"/>
        <v>100</v>
      </c>
      <c r="V9" s="701" t="s">
        <v>14</v>
      </c>
      <c r="W9" s="702">
        <f t="shared" si="2"/>
        <v>100</v>
      </c>
      <c r="X9" s="703"/>
      <c r="Y9" s="3653"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41"/>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1"/>
      <c r="Q11" s="1343">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1"/>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41"/>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3" t="s">
        <v>1691</v>
      </c>
      <c r="Q14" s="1352" t="str">
        <f t="shared" si="6"/>
        <v>交通便捷度</v>
      </c>
      <c r="R14" s="705" t="s">
        <v>14</v>
      </c>
      <c r="S14" s="706">
        <f t="shared" si="0"/>
        <v>100</v>
      </c>
      <c r="T14" s="705" t="s">
        <v>14</v>
      </c>
      <c r="U14" s="706">
        <f t="shared" si="1"/>
        <v>100</v>
      </c>
      <c r="V14" s="705" t="s">
        <v>14</v>
      </c>
      <c r="W14" s="706">
        <f t="shared" si="2"/>
        <v>100</v>
      </c>
      <c r="X14" s="1355"/>
      <c r="Y14" s="374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44"/>
      <c r="Q15" s="1352"/>
      <c r="R15" s="705"/>
      <c r="S15" s="706"/>
      <c r="T15" s="705"/>
      <c r="U15" s="706"/>
      <c r="V15" s="705"/>
      <c r="W15" s="706"/>
      <c r="X15" s="1355"/>
      <c r="Y15" s="3744"/>
      <c r="Z15" s="1356"/>
      <c r="AA15" s="1353">
        <v>1</v>
      </c>
      <c r="AB15" s="1353">
        <v>1</v>
      </c>
      <c r="AC15" s="1353">
        <v>1</v>
      </c>
    </row>
    <row r="16" spans="1:29" ht="42.7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4"/>
      <c r="Q16" s="1352" t="str">
        <f>B16</f>
        <v>公共配套设施</v>
      </c>
      <c r="R16" s="705" t="s">
        <v>14</v>
      </c>
      <c r="S16" s="706">
        <f>F16</f>
        <v>100</v>
      </c>
      <c r="T16" s="705" t="s">
        <v>14</v>
      </c>
      <c r="U16" s="706">
        <f>H16</f>
        <v>100</v>
      </c>
      <c r="V16" s="705" t="s">
        <v>14</v>
      </c>
      <c r="W16" s="706">
        <f>J16</f>
        <v>100</v>
      </c>
      <c r="X16" s="1355"/>
      <c r="Y16" s="37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44"/>
      <c r="Q17" s="1352"/>
      <c r="R17" s="705"/>
      <c r="S17" s="706"/>
      <c r="T17" s="705"/>
      <c r="U17" s="706"/>
      <c r="V17" s="705"/>
      <c r="W17" s="706"/>
      <c r="X17" s="1355"/>
      <c r="Y17" s="3744"/>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4"/>
      <c r="Q18" s="1352" t="str">
        <f>B18</f>
        <v>基础设施水平</v>
      </c>
      <c r="R18" s="705" t="s">
        <v>14</v>
      </c>
      <c r="S18" s="706">
        <f>F18</f>
        <v>100</v>
      </c>
      <c r="T18" s="705" t="s">
        <v>14</v>
      </c>
      <c r="U18" s="706">
        <f>H18</f>
        <v>100</v>
      </c>
      <c r="V18" s="705" t="s">
        <v>14</v>
      </c>
      <c r="W18" s="706">
        <f>J18</f>
        <v>100</v>
      </c>
      <c r="X18" s="1355"/>
      <c r="Y18" s="37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44"/>
      <c r="Q19" s="1352"/>
      <c r="R19" s="705"/>
      <c r="S19" s="706"/>
      <c r="T19" s="705"/>
      <c r="U19" s="706"/>
      <c r="V19" s="705"/>
      <c r="W19" s="706"/>
      <c r="X19" s="1355"/>
      <c r="Y19" s="3744"/>
      <c r="Z19" s="1356"/>
      <c r="AA19" s="1353">
        <v>1</v>
      </c>
      <c r="AB19" s="1353">
        <v>1</v>
      </c>
      <c r="AC19" s="1353">
        <v>1</v>
      </c>
    </row>
    <row r="20" spans="1:29" ht="57">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4"/>
      <c r="Q20" s="1352" t="str">
        <f>B20</f>
        <v>自然及人文环境</v>
      </c>
      <c r="R20" s="705" t="s">
        <v>14</v>
      </c>
      <c r="S20" s="706">
        <f>F20</f>
        <v>100</v>
      </c>
      <c r="T20" s="705" t="s">
        <v>14</v>
      </c>
      <c r="U20" s="706">
        <f>H20</f>
        <v>100</v>
      </c>
      <c r="V20" s="705" t="s">
        <v>14</v>
      </c>
      <c r="W20" s="706">
        <f>J20</f>
        <v>100</v>
      </c>
      <c r="X20" s="1355"/>
      <c r="Y20" s="37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44"/>
      <c r="Q21" s="1352"/>
      <c r="R21" s="705"/>
      <c r="S21" s="706"/>
      <c r="T21" s="705"/>
      <c r="U21" s="706"/>
      <c r="V21" s="705"/>
      <c r="W21" s="706"/>
      <c r="X21" s="1355"/>
      <c r="Y21" s="374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4"/>
      <c r="Q22" s="1352" t="str">
        <f>B22</f>
        <v>楼层</v>
      </c>
      <c r="R22" s="705" t="s">
        <v>14</v>
      </c>
      <c r="S22" s="706">
        <f>F22</f>
        <v>100</v>
      </c>
      <c r="T22" s="705" t="s">
        <v>14</v>
      </c>
      <c r="U22" s="706">
        <f>H22</f>
        <v>100</v>
      </c>
      <c r="V22" s="705" t="s">
        <v>14</v>
      </c>
      <c r="W22" s="706">
        <f>J22</f>
        <v>100</v>
      </c>
      <c r="X22" s="1355"/>
      <c r="Y22" s="37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4"/>
      <c r="Q23" s="1352">
        <f>B23</f>
        <v>111</v>
      </c>
      <c r="R23" s="705" t="s">
        <v>14</v>
      </c>
      <c r="S23" s="706">
        <f>F23</f>
        <v>100</v>
      </c>
      <c r="T23" s="705" t="s">
        <v>14</v>
      </c>
      <c r="U23" s="706">
        <f>H23</f>
        <v>100</v>
      </c>
      <c r="V23" s="705" t="s">
        <v>14</v>
      </c>
      <c r="W23" s="706">
        <f>J23</f>
        <v>100</v>
      </c>
      <c r="X23" s="1355"/>
      <c r="Y23" s="37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4"/>
      <c r="Q24" s="1352">
        <f t="shared" ref="Q24:Q34" si="11">B24</f>
        <v>111</v>
      </c>
      <c r="R24" s="705" t="s">
        <v>14</v>
      </c>
      <c r="S24" s="706">
        <f>F24</f>
        <v>100</v>
      </c>
      <c r="T24" s="705" t="s">
        <v>14</v>
      </c>
      <c r="U24" s="706">
        <f>H24</f>
        <v>100</v>
      </c>
      <c r="V24" s="705" t="s">
        <v>14</v>
      </c>
      <c r="W24" s="706">
        <f>J24</f>
        <v>100</v>
      </c>
      <c r="X24" s="1355"/>
      <c r="Y24" s="374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44"/>
      <c r="Q25" s="1343">
        <f t="shared" si="11"/>
        <v>111</v>
      </c>
      <c r="R25" s="701" t="s">
        <v>14</v>
      </c>
      <c r="S25" s="702">
        <f>F25</f>
        <v>100</v>
      </c>
      <c r="T25" s="701" t="s">
        <v>14</v>
      </c>
      <c r="U25" s="702">
        <f>H25</f>
        <v>100</v>
      </c>
      <c r="V25" s="701" t="s">
        <v>14</v>
      </c>
      <c r="W25" s="702">
        <f>J25</f>
        <v>100</v>
      </c>
      <c r="X25" s="703"/>
      <c r="Y25" s="374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8"/>
      <c r="Q27" s="707" t="str">
        <f t="shared" si="11"/>
        <v>成新率</v>
      </c>
      <c r="R27" s="708" t="s">
        <v>14</v>
      </c>
      <c r="S27" s="709" t="e">
        <f t="shared" si="12"/>
        <v>#N/A</v>
      </c>
      <c r="T27" s="708" t="s">
        <v>14</v>
      </c>
      <c r="U27" s="709" t="e">
        <f t="shared" si="13"/>
        <v>#N/A</v>
      </c>
      <c r="V27" s="708" t="s">
        <v>14</v>
      </c>
      <c r="W27" s="709" t="e">
        <f t="shared" si="14"/>
        <v>#N/A</v>
      </c>
      <c r="X27" s="710"/>
      <c r="Y27" s="374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8"/>
      <c r="Q28" s="1352" t="str">
        <f t="shared" si="11"/>
        <v>物业等级</v>
      </c>
      <c r="R28" s="705" t="s">
        <v>14</v>
      </c>
      <c r="S28" s="706">
        <f t="shared" si="12"/>
        <v>100</v>
      </c>
      <c r="T28" s="705" t="s">
        <v>14</v>
      </c>
      <c r="U28" s="706">
        <f t="shared" si="13"/>
        <v>100</v>
      </c>
      <c r="V28" s="705" t="s">
        <v>14</v>
      </c>
      <c r="W28" s="706">
        <f t="shared" si="14"/>
        <v>100</v>
      </c>
      <c r="X28" s="1355"/>
      <c r="Y28" s="374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8"/>
      <c r="Q29" s="1352" t="str">
        <f t="shared" si="11"/>
        <v>有无电梯</v>
      </c>
      <c r="R29" s="705" t="s">
        <v>14</v>
      </c>
      <c r="S29" s="706">
        <f t="shared" si="12"/>
        <v>100</v>
      </c>
      <c r="T29" s="705" t="s">
        <v>14</v>
      </c>
      <c r="U29" s="706">
        <f t="shared" si="13"/>
        <v>100</v>
      </c>
      <c r="V29" s="705" t="s">
        <v>14</v>
      </c>
      <c r="W29" s="706">
        <f t="shared" si="14"/>
        <v>100</v>
      </c>
      <c r="X29" s="1355"/>
      <c r="Y29" s="374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8"/>
      <c r="Q30" s="1352" t="str">
        <f t="shared" si="11"/>
        <v>建筑面积</v>
      </c>
      <c r="R30" s="705" t="s">
        <v>14</v>
      </c>
      <c r="S30" s="706" t="e">
        <f t="shared" si="12"/>
        <v>#N/A</v>
      </c>
      <c r="T30" s="705" t="s">
        <v>14</v>
      </c>
      <c r="U30" s="706" t="e">
        <f t="shared" si="13"/>
        <v>#N/A</v>
      </c>
      <c r="V30" s="705" t="s">
        <v>14</v>
      </c>
      <c r="W30" s="706" t="e">
        <f t="shared" si="14"/>
        <v>#N/A</v>
      </c>
      <c r="X30" s="1355"/>
      <c r="Y30" s="374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8"/>
      <c r="Q31" s="1343" t="str">
        <f t="shared" si="11"/>
        <v>是否封闭</v>
      </c>
      <c r="R31" s="701" t="s">
        <v>14</v>
      </c>
      <c r="S31" s="702">
        <f t="shared" si="12"/>
        <v>100</v>
      </c>
      <c r="T31" s="701" t="s">
        <v>14</v>
      </c>
      <c r="U31" s="702">
        <f t="shared" si="13"/>
        <v>100</v>
      </c>
      <c r="V31" s="701" t="s">
        <v>14</v>
      </c>
      <c r="W31" s="702">
        <f t="shared" si="14"/>
        <v>100</v>
      </c>
      <c r="X31" s="703"/>
      <c r="Y31" s="37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8" t="s">
        <v>1696</v>
      </c>
      <c r="Q32" s="1352">
        <f t="shared" si="11"/>
        <v>111</v>
      </c>
      <c r="R32" s="705" t="s">
        <v>14</v>
      </c>
      <c r="S32" s="706">
        <f t="shared" si="12"/>
        <v>100</v>
      </c>
      <c r="T32" s="705" t="s">
        <v>14</v>
      </c>
      <c r="U32" s="706">
        <f t="shared" si="13"/>
        <v>100</v>
      </c>
      <c r="V32" s="705" t="s">
        <v>14</v>
      </c>
      <c r="W32" s="706">
        <f t="shared" si="14"/>
        <v>100</v>
      </c>
      <c r="X32" s="1355"/>
      <c r="Y32" s="374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8"/>
      <c r="Q33" s="1352">
        <f t="shared" si="11"/>
        <v>111</v>
      </c>
      <c r="R33" s="705" t="s">
        <v>14</v>
      </c>
      <c r="S33" s="706">
        <f t="shared" si="12"/>
        <v>100</v>
      </c>
      <c r="T33" s="705" t="s">
        <v>14</v>
      </c>
      <c r="U33" s="706">
        <f t="shared" si="13"/>
        <v>100</v>
      </c>
      <c r="V33" s="705" t="s">
        <v>14</v>
      </c>
      <c r="W33" s="706">
        <f t="shared" si="14"/>
        <v>100</v>
      </c>
      <c r="X33" s="1355"/>
      <c r="Y33" s="374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48"/>
      <c r="Q34" s="1352">
        <f t="shared" si="11"/>
        <v>111</v>
      </c>
      <c r="R34" s="705" t="s">
        <v>14</v>
      </c>
      <c r="S34" s="706">
        <f t="shared" si="12"/>
        <v>100</v>
      </c>
      <c r="T34" s="705" t="s">
        <v>14</v>
      </c>
      <c r="U34" s="706">
        <f t="shared" si="13"/>
        <v>100</v>
      </c>
      <c r="V34" s="705" t="s">
        <v>14</v>
      </c>
      <c r="W34" s="706">
        <f t="shared" si="14"/>
        <v>100</v>
      </c>
      <c r="X34" s="1355"/>
      <c r="Y34" s="374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41" t="str">
        <f>A35</f>
        <v>成交单价（元/平方米）</v>
      </c>
      <c r="Q35" s="3741"/>
      <c r="R35" s="3742">
        <f>E35</f>
        <v>0</v>
      </c>
      <c r="S35" s="3742"/>
      <c r="T35" s="3742">
        <f>G35</f>
        <v>0</v>
      </c>
      <c r="U35" s="3742"/>
      <c r="V35" s="3742">
        <f>I35</f>
        <v>0</v>
      </c>
      <c r="W35" s="374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8" t="str">
        <f>A37</f>
        <v>估价对象XX用房的比较价值（楼面单价，元/平方米）</v>
      </c>
      <c r="Q37" s="3739"/>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11" t="s">
        <v>1771</v>
      </c>
      <c r="S4" s="3712"/>
      <c r="T4" s="3711" t="s">
        <v>1772</v>
      </c>
      <c r="U4" s="3712"/>
      <c r="V4" s="3736" t="s">
        <v>1773</v>
      </c>
      <c r="W4" s="3736"/>
      <c r="X4" s="1355"/>
      <c r="Y4" s="3711" t="s">
        <v>1775</v>
      </c>
      <c r="Z4" s="3712"/>
      <c r="AA4" s="3706" t="s">
        <v>1771</v>
      </c>
      <c r="AB4" s="3707" t="s">
        <v>1772</v>
      </c>
      <c r="AC4" s="3706" t="s">
        <v>1773</v>
      </c>
    </row>
    <row r="5" spans="1:30" ht="15">
      <c r="A5" s="358"/>
      <c r="B5" s="359"/>
      <c r="C5" s="3717" t="s">
        <v>1673</v>
      </c>
      <c r="D5" s="3718"/>
      <c r="E5" s="3715" t="s">
        <v>1674</v>
      </c>
      <c r="F5" s="3716"/>
      <c r="G5" s="3717" t="s">
        <v>1675</v>
      </c>
      <c r="H5" s="3718"/>
      <c r="I5" s="3717" t="s">
        <v>1676</v>
      </c>
      <c r="J5" s="3718"/>
      <c r="K5" s="559"/>
      <c r="L5" s="2711"/>
      <c r="M5" s="2712"/>
      <c r="N5" s="2712"/>
      <c r="O5" s="2712"/>
      <c r="P5" s="3730"/>
      <c r="Q5" s="3731"/>
      <c r="R5" s="3713"/>
      <c r="S5" s="3714"/>
      <c r="T5" s="3713"/>
      <c r="U5" s="3714"/>
      <c r="V5" s="3736"/>
      <c r="W5" s="3736"/>
      <c r="X5" s="1355"/>
      <c r="Y5" s="3713"/>
      <c r="Z5" s="3714"/>
      <c r="AA5" s="3707"/>
      <c r="AB5" s="3707"/>
      <c r="AC5" s="3707"/>
    </row>
    <row r="6" spans="1:30" ht="15.75" thickBot="1">
      <c r="A6" s="360"/>
      <c r="B6" s="361"/>
      <c r="C6" s="3719" t="s">
        <v>1677</v>
      </c>
      <c r="D6" s="3720"/>
      <c r="E6" s="3721" t="s">
        <v>1677</v>
      </c>
      <c r="F6" s="3722"/>
      <c r="G6" s="3719" t="s">
        <v>1677</v>
      </c>
      <c r="H6" s="3720"/>
      <c r="I6" s="3719" t="s">
        <v>1677</v>
      </c>
      <c r="J6" s="3720"/>
      <c r="K6" s="559" t="s">
        <v>1678</v>
      </c>
      <c r="L6" s="2711"/>
      <c r="M6" s="2712"/>
      <c r="N6" s="2712"/>
      <c r="O6" s="2712"/>
      <c r="P6" s="3732"/>
      <c r="Q6" s="3733"/>
      <c r="R6" s="3713"/>
      <c r="S6" s="3714"/>
      <c r="T6" s="3734"/>
      <c r="U6" s="3735"/>
      <c r="V6" s="3736"/>
      <c r="W6" s="3736"/>
      <c r="X6" s="1355"/>
      <c r="Y6" s="3734"/>
      <c r="Z6" s="3735"/>
      <c r="AA6" s="3708"/>
      <c r="AB6" s="3708"/>
      <c r="AC6" s="3708"/>
    </row>
    <row r="7" spans="1:30" s="108" customFormat="1" ht="15.75" thickBot="1">
      <c r="A7" s="362" t="s">
        <v>1679</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41"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741"/>
      <c r="Q10" s="1343" t="str">
        <f t="shared" si="6"/>
        <v>土地使用年限（年）</v>
      </c>
      <c r="R10" s="701" t="s">
        <v>14</v>
      </c>
      <c r="S10" s="702">
        <f t="shared" si="0"/>
        <v>106</v>
      </c>
      <c r="T10" s="701" t="s">
        <v>14</v>
      </c>
      <c r="U10" s="702">
        <f t="shared" si="1"/>
        <v>106</v>
      </c>
      <c r="V10" s="701" t="s">
        <v>14</v>
      </c>
      <c r="W10" s="702">
        <f t="shared" si="2"/>
        <v>106</v>
      </c>
      <c r="X10" s="703"/>
      <c r="Y10" s="365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41"/>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41"/>
      <c r="Q12" s="1343" t="str">
        <f t="shared" si="6"/>
        <v>配建</v>
      </c>
      <c r="R12" s="701" t="s">
        <v>14</v>
      </c>
      <c r="S12" s="702">
        <f t="shared" si="0"/>
        <v>100</v>
      </c>
      <c r="T12" s="701" t="s">
        <v>14</v>
      </c>
      <c r="U12" s="702">
        <f t="shared" si="1"/>
        <v>100</v>
      </c>
      <c r="V12" s="701" t="s">
        <v>14</v>
      </c>
      <c r="W12" s="702">
        <f t="shared" si="2"/>
        <v>100</v>
      </c>
      <c r="X12" s="703"/>
      <c r="Y12" s="36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41"/>
      <c r="Q13" s="1343">
        <f t="shared" si="6"/>
        <v>111</v>
      </c>
      <c r="R13" s="701" t="s">
        <v>14</v>
      </c>
      <c r="S13" s="702">
        <f t="shared" si="0"/>
        <v>100</v>
      </c>
      <c r="T13" s="701" t="s">
        <v>14</v>
      </c>
      <c r="U13" s="702">
        <f t="shared" si="1"/>
        <v>100</v>
      </c>
      <c r="V13" s="701" t="s">
        <v>14</v>
      </c>
      <c r="W13" s="702">
        <f t="shared" si="2"/>
        <v>100</v>
      </c>
      <c r="X13" s="703"/>
      <c r="Y13" s="36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41"/>
      <c r="Q14" s="1343">
        <f t="shared" si="6"/>
        <v>111</v>
      </c>
      <c r="R14" s="701" t="s">
        <v>14</v>
      </c>
      <c r="S14" s="702">
        <f t="shared" si="0"/>
        <v>100</v>
      </c>
      <c r="T14" s="701" t="s">
        <v>14</v>
      </c>
      <c r="U14" s="702">
        <f t="shared" si="1"/>
        <v>100</v>
      </c>
      <c r="V14" s="701" t="s">
        <v>14</v>
      </c>
      <c r="W14" s="702">
        <f t="shared" si="2"/>
        <v>100</v>
      </c>
      <c r="X14" s="703"/>
      <c r="Y14" s="3653"/>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3" t="s">
        <v>1691</v>
      </c>
      <c r="Q15" s="1352" t="str">
        <f t="shared" si="6"/>
        <v>居住社区成熟度</v>
      </c>
      <c r="R15" s="705" t="s">
        <v>14</v>
      </c>
      <c r="S15" s="706">
        <f t="shared" si="0"/>
        <v>100</v>
      </c>
      <c r="T15" s="705" t="s">
        <v>14</v>
      </c>
      <c r="U15" s="706">
        <f t="shared" si="1"/>
        <v>100</v>
      </c>
      <c r="V15" s="705" t="s">
        <v>14</v>
      </c>
      <c r="W15" s="706">
        <f t="shared" si="2"/>
        <v>100</v>
      </c>
      <c r="X15" s="1355"/>
      <c r="Y15" s="374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44"/>
      <c r="Q16" s="1352"/>
      <c r="R16" s="705"/>
      <c r="S16" s="706"/>
      <c r="T16" s="705"/>
      <c r="U16" s="706"/>
      <c r="V16" s="705"/>
      <c r="W16" s="706"/>
      <c r="X16" s="1355"/>
      <c r="Y16" s="3744"/>
      <c r="Z16" s="1356"/>
      <c r="AA16" s="1353">
        <v>1</v>
      </c>
      <c r="AB16" s="1353">
        <v>1</v>
      </c>
      <c r="AC16" s="1353">
        <v>1</v>
      </c>
    </row>
    <row r="17" spans="1:29" ht="71.2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4"/>
      <c r="Q17" s="1352" t="str">
        <f>B17</f>
        <v>商业繁华度</v>
      </c>
      <c r="R17" s="705" t="s">
        <v>14</v>
      </c>
      <c r="S17" s="706">
        <f>F17</f>
        <v>100</v>
      </c>
      <c r="T17" s="705" t="s">
        <v>14</v>
      </c>
      <c r="U17" s="706">
        <f>H17</f>
        <v>100</v>
      </c>
      <c r="V17" s="705" t="s">
        <v>14</v>
      </c>
      <c r="W17" s="706">
        <f>J17</f>
        <v>100</v>
      </c>
      <c r="X17" s="1355"/>
      <c r="Y17" s="374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44"/>
      <c r="Q18" s="1352"/>
      <c r="R18" s="705"/>
      <c r="S18" s="706"/>
      <c r="T18" s="705"/>
      <c r="U18" s="706"/>
      <c r="V18" s="705"/>
      <c r="W18" s="706"/>
      <c r="X18" s="1355"/>
      <c r="Y18" s="3744"/>
      <c r="Z18" s="1356"/>
      <c r="AA18" s="1353">
        <v>1</v>
      </c>
      <c r="AB18" s="1353">
        <v>1</v>
      </c>
      <c r="AC18" s="1353">
        <v>1</v>
      </c>
    </row>
    <row r="19" spans="1:29" ht="71.25">
      <c r="A19" s="379"/>
      <c r="B19" s="402" t="s">
        <v>1811</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4"/>
      <c r="Q19" s="1352" t="str">
        <f>B19</f>
        <v>办公集聚程度</v>
      </c>
      <c r="R19" s="705" t="s">
        <v>14</v>
      </c>
      <c r="S19" s="706">
        <f>F19</f>
        <v>100</v>
      </c>
      <c r="T19" s="705" t="s">
        <v>14</v>
      </c>
      <c r="U19" s="706">
        <f>H19</f>
        <v>100</v>
      </c>
      <c r="V19" s="705" t="s">
        <v>14</v>
      </c>
      <c r="W19" s="706">
        <f>J19</f>
        <v>100</v>
      </c>
      <c r="X19" s="1355"/>
      <c r="Y19" s="374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44"/>
      <c r="Q20" s="1352"/>
      <c r="R20" s="705"/>
      <c r="S20" s="706"/>
      <c r="T20" s="705"/>
      <c r="U20" s="706"/>
      <c r="V20" s="705"/>
      <c r="W20" s="706"/>
      <c r="X20" s="1355"/>
      <c r="Y20" s="3744"/>
      <c r="Z20" s="1356"/>
      <c r="AA20" s="1353">
        <v>1</v>
      </c>
      <c r="AB20" s="1353">
        <v>1</v>
      </c>
      <c r="AC20" s="1353">
        <v>1</v>
      </c>
    </row>
    <row r="21" spans="1:29" ht="85.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4"/>
      <c r="Q21" s="1352" t="str">
        <f>B21</f>
        <v>交通便捷度</v>
      </c>
      <c r="R21" s="705" t="s">
        <v>14</v>
      </c>
      <c r="S21" s="706">
        <f>F21</f>
        <v>100</v>
      </c>
      <c r="T21" s="705" t="s">
        <v>14</v>
      </c>
      <c r="U21" s="706">
        <f>H21</f>
        <v>100</v>
      </c>
      <c r="V21" s="705" t="s">
        <v>14</v>
      </c>
      <c r="W21" s="706">
        <f>J21</f>
        <v>100</v>
      </c>
      <c r="X21" s="1355"/>
      <c r="Y21" s="374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44"/>
      <c r="Q22" s="1352"/>
      <c r="R22" s="705"/>
      <c r="S22" s="706"/>
      <c r="T22" s="705"/>
      <c r="U22" s="706"/>
      <c r="V22" s="705"/>
      <c r="W22" s="706"/>
      <c r="X22" s="1355"/>
      <c r="Y22" s="374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4"/>
      <c r="Q23" s="1352" t="str">
        <f t="shared" ref="Q23:Q37" si="8">B23</f>
        <v>区域土地利用方向</v>
      </c>
      <c r="R23" s="705" t="s">
        <v>14</v>
      </c>
      <c r="S23" s="706">
        <f>F23</f>
        <v>100</v>
      </c>
      <c r="T23" s="705" t="s">
        <v>14</v>
      </c>
      <c r="U23" s="706">
        <f>H23</f>
        <v>100</v>
      </c>
      <c r="V23" s="705" t="s">
        <v>14</v>
      </c>
      <c r="W23" s="706">
        <f>J23</f>
        <v>100</v>
      </c>
      <c r="X23" s="1355"/>
      <c r="Y23" s="374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44"/>
      <c r="Q24" s="1352"/>
      <c r="R24" s="705"/>
      <c r="S24" s="706"/>
      <c r="T24" s="705"/>
      <c r="U24" s="706"/>
      <c r="V24" s="705"/>
      <c r="W24" s="706"/>
      <c r="X24" s="1355"/>
      <c r="Y24" s="3744"/>
      <c r="Z24" s="1356"/>
      <c r="AA24" s="1353"/>
      <c r="AB24" s="1353"/>
      <c r="AC24" s="1353"/>
    </row>
    <row r="25" spans="1:29" ht="5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4"/>
      <c r="Q25" s="1352" t="str">
        <f t="shared" si="8"/>
        <v>自然及人文环境状况</v>
      </c>
      <c r="R25" s="705" t="s">
        <v>14</v>
      </c>
      <c r="S25" s="706">
        <f>F25</f>
        <v>100</v>
      </c>
      <c r="T25" s="705" t="s">
        <v>14</v>
      </c>
      <c r="U25" s="706">
        <f>H25</f>
        <v>100</v>
      </c>
      <c r="V25" s="705" t="s">
        <v>14</v>
      </c>
      <c r="W25" s="706">
        <f>J25</f>
        <v>100</v>
      </c>
      <c r="X25" s="1355"/>
      <c r="Y25" s="374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44"/>
      <c r="Q26" s="1352"/>
      <c r="R26" s="705"/>
      <c r="S26" s="706"/>
      <c r="T26" s="705"/>
      <c r="U26" s="706"/>
      <c r="V26" s="705"/>
      <c r="W26" s="706"/>
      <c r="X26" s="1355"/>
      <c r="Y26" s="3744"/>
      <c r="Z26" s="1356"/>
      <c r="AA26" s="1353">
        <v>1</v>
      </c>
      <c r="AB26" s="1353">
        <v>1</v>
      </c>
      <c r="AC26" s="1353">
        <v>1</v>
      </c>
    </row>
    <row r="27" spans="1:29" s="108" customFormat="1" ht="42.7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4"/>
      <c r="Q27" s="1343" t="str">
        <f t="shared" si="8"/>
        <v>公共配套设施</v>
      </c>
      <c r="R27" s="701" t="s">
        <v>14</v>
      </c>
      <c r="S27" s="702">
        <f>F27</f>
        <v>100</v>
      </c>
      <c r="T27" s="701" t="s">
        <v>14</v>
      </c>
      <c r="U27" s="702">
        <f>H27</f>
        <v>100</v>
      </c>
      <c r="V27" s="701" t="s">
        <v>14</v>
      </c>
      <c r="W27" s="702">
        <f>J27</f>
        <v>100</v>
      </c>
      <c r="X27" s="703"/>
      <c r="Y27" s="374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44"/>
      <c r="Q28" s="1343"/>
      <c r="R28" s="701"/>
      <c r="S28" s="702"/>
      <c r="T28" s="701"/>
      <c r="U28" s="702"/>
      <c r="V28" s="701"/>
      <c r="W28" s="702"/>
      <c r="X28" s="703"/>
      <c r="Y28" s="3744"/>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4"/>
      <c r="Q29" s="1343" t="str">
        <f t="shared" ref="Q29" si="9">B29</f>
        <v>基础设施水平</v>
      </c>
      <c r="R29" s="701" t="s">
        <v>14</v>
      </c>
      <c r="S29" s="702">
        <f>F29</f>
        <v>100</v>
      </c>
      <c r="T29" s="701" t="s">
        <v>14</v>
      </c>
      <c r="U29" s="702">
        <f>H29</f>
        <v>100</v>
      </c>
      <c r="V29" s="701" t="s">
        <v>14</v>
      </c>
      <c r="W29" s="702">
        <f>J29</f>
        <v>100</v>
      </c>
      <c r="X29" s="703"/>
      <c r="Y29" s="374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44"/>
      <c r="Q30" s="1343"/>
      <c r="R30" s="701"/>
      <c r="S30" s="702"/>
      <c r="T30" s="701"/>
      <c r="U30" s="702"/>
      <c r="V30" s="701"/>
      <c r="W30" s="702"/>
      <c r="X30" s="703"/>
      <c r="Y30" s="374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4"/>
      <c r="Q32" s="1352" t="str">
        <f t="shared" si="8"/>
        <v>毗邻道路的类型与等级</v>
      </c>
      <c r="R32" s="705" t="s">
        <v>14</v>
      </c>
      <c r="S32" s="706">
        <f t="shared" si="10"/>
        <v>100</v>
      </c>
      <c r="T32" s="705" t="s">
        <v>14</v>
      </c>
      <c r="U32" s="706">
        <f t="shared" si="11"/>
        <v>100</v>
      </c>
      <c r="V32" s="705" t="s">
        <v>14</v>
      </c>
      <c r="W32" s="706">
        <f t="shared" si="12"/>
        <v>100</v>
      </c>
      <c r="X32" s="1355"/>
      <c r="Y32" s="374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44"/>
      <c r="Q33" s="1352"/>
      <c r="R33" s="705"/>
      <c r="S33" s="706"/>
      <c r="T33" s="705"/>
      <c r="U33" s="706"/>
      <c r="V33" s="705"/>
      <c r="W33" s="706"/>
      <c r="X33" s="1355"/>
      <c r="Y33" s="374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4"/>
      <c r="Q34" s="1352" t="str">
        <f t="shared" si="8"/>
        <v>土地级别</v>
      </c>
      <c r="R34" s="705" t="s">
        <v>14</v>
      </c>
      <c r="S34" s="706">
        <f t="shared" si="10"/>
        <v>100</v>
      </c>
      <c r="T34" s="705" t="s">
        <v>14</v>
      </c>
      <c r="U34" s="706">
        <f t="shared" si="11"/>
        <v>100</v>
      </c>
      <c r="V34" s="705" t="s">
        <v>14</v>
      </c>
      <c r="W34" s="706">
        <f t="shared" si="12"/>
        <v>100</v>
      </c>
      <c r="X34" s="1355"/>
      <c r="Y34" s="37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4"/>
      <c r="Q35" s="1352">
        <f t="shared" si="8"/>
        <v>111</v>
      </c>
      <c r="R35" s="705" t="s">
        <v>14</v>
      </c>
      <c r="S35" s="706">
        <f t="shared" si="10"/>
        <v>100</v>
      </c>
      <c r="T35" s="705" t="s">
        <v>14</v>
      </c>
      <c r="U35" s="706">
        <f t="shared" si="11"/>
        <v>100</v>
      </c>
      <c r="V35" s="705" t="s">
        <v>14</v>
      </c>
      <c r="W35" s="706">
        <f t="shared" si="12"/>
        <v>100</v>
      </c>
      <c r="X35" s="1355"/>
      <c r="Y35" s="37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7" t="s">
        <v>1696</v>
      </c>
      <c r="Q36" s="1352">
        <f t="shared" si="8"/>
        <v>111</v>
      </c>
      <c r="R36" s="705" t="s">
        <v>14</v>
      </c>
      <c r="S36" s="706">
        <f t="shared" si="10"/>
        <v>100</v>
      </c>
      <c r="T36" s="705" t="s">
        <v>14</v>
      </c>
      <c r="U36" s="706">
        <f t="shared" si="11"/>
        <v>100</v>
      </c>
      <c r="V36" s="705" t="s">
        <v>14</v>
      </c>
      <c r="W36" s="706">
        <f t="shared" si="12"/>
        <v>100</v>
      </c>
      <c r="X36" s="1355"/>
      <c r="Y36" s="374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8"/>
      <c r="Q37" s="1352">
        <f t="shared" si="8"/>
        <v>111</v>
      </c>
      <c r="R37" s="708" t="s">
        <v>14</v>
      </c>
      <c r="S37" s="709">
        <f t="shared" si="10"/>
        <v>100</v>
      </c>
      <c r="T37" s="708" t="s">
        <v>14</v>
      </c>
      <c r="U37" s="709">
        <f t="shared" si="11"/>
        <v>100</v>
      </c>
      <c r="V37" s="708" t="s">
        <v>14</v>
      </c>
      <c r="W37" s="709">
        <f t="shared" si="12"/>
        <v>100</v>
      </c>
      <c r="X37" s="710"/>
      <c r="Y37" s="374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8"/>
      <c r="Q38" s="1352" t="str">
        <f>B38</f>
        <v>宗地面积</v>
      </c>
      <c r="R38" s="705" t="s">
        <v>14</v>
      </c>
      <c r="S38" s="706" t="e">
        <f t="shared" si="10"/>
        <v>#N/A</v>
      </c>
      <c r="T38" s="705" t="s">
        <v>14</v>
      </c>
      <c r="U38" s="706" t="e">
        <f t="shared" si="11"/>
        <v>#N/A</v>
      </c>
      <c r="V38" s="705" t="s">
        <v>14</v>
      </c>
      <c r="W38" s="706" t="e">
        <f t="shared" si="12"/>
        <v>#N/A</v>
      </c>
      <c r="X38" s="1355"/>
      <c r="Y38" s="374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48"/>
      <c r="Q39" s="1352" t="str">
        <f t="shared" ref="Q39:Q45" si="14">B39</f>
        <v>宗地形状</v>
      </c>
      <c r="R39" s="705" t="s">
        <v>14</v>
      </c>
      <c r="S39" s="706">
        <f t="shared" si="10"/>
        <v>100</v>
      </c>
      <c r="T39" s="705" t="s">
        <v>14</v>
      </c>
      <c r="U39" s="706">
        <f t="shared" si="11"/>
        <v>100</v>
      </c>
      <c r="V39" s="705" t="s">
        <v>14</v>
      </c>
      <c r="W39" s="706">
        <f t="shared" si="12"/>
        <v>100</v>
      </c>
      <c r="X39" s="1355"/>
      <c r="Y39" s="374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48"/>
      <c r="Q40" s="1352" t="str">
        <f t="shared" si="14"/>
        <v>临街宽度及深度</v>
      </c>
      <c r="R40" s="705" t="s">
        <v>14</v>
      </c>
      <c r="S40" s="706">
        <f t="shared" si="10"/>
        <v>100</v>
      </c>
      <c r="T40" s="705" t="s">
        <v>14</v>
      </c>
      <c r="U40" s="706">
        <f t="shared" si="11"/>
        <v>100</v>
      </c>
      <c r="V40" s="705" t="s">
        <v>14</v>
      </c>
      <c r="W40" s="706">
        <f t="shared" si="12"/>
        <v>100</v>
      </c>
      <c r="X40" s="1355"/>
      <c r="Y40" s="374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48"/>
      <c r="Q41" s="1352" t="str">
        <f t="shared" si="14"/>
        <v>宗地开发程度</v>
      </c>
      <c r="R41" s="701" t="s">
        <v>14</v>
      </c>
      <c r="S41" s="702">
        <f t="shared" si="10"/>
        <v>100</v>
      </c>
      <c r="T41" s="701" t="s">
        <v>14</v>
      </c>
      <c r="U41" s="702">
        <f t="shared" si="11"/>
        <v>100</v>
      </c>
      <c r="V41" s="701" t="s">
        <v>14</v>
      </c>
      <c r="W41" s="702">
        <f t="shared" si="12"/>
        <v>100</v>
      </c>
      <c r="X41" s="703"/>
      <c r="Y41" s="374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48" t="s">
        <v>1696</v>
      </c>
      <c r="Q42" s="1352" t="str">
        <f t="shared" si="14"/>
        <v>工程地质条件</v>
      </c>
      <c r="R42" s="705" t="s">
        <v>14</v>
      </c>
      <c r="S42" s="706">
        <f t="shared" si="10"/>
        <v>100</v>
      </c>
      <c r="T42" s="705" t="s">
        <v>14</v>
      </c>
      <c r="U42" s="706">
        <f t="shared" si="11"/>
        <v>100</v>
      </c>
      <c r="V42" s="705" t="s">
        <v>14</v>
      </c>
      <c r="W42" s="706">
        <f t="shared" si="12"/>
        <v>100</v>
      </c>
      <c r="X42" s="1355"/>
      <c r="Y42" s="374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8"/>
      <c r="Q43" s="1352">
        <f t="shared" si="14"/>
        <v>111</v>
      </c>
      <c r="R43" s="705" t="s">
        <v>14</v>
      </c>
      <c r="S43" s="706">
        <f t="shared" si="10"/>
        <v>100</v>
      </c>
      <c r="T43" s="705" t="s">
        <v>14</v>
      </c>
      <c r="U43" s="706">
        <f t="shared" si="11"/>
        <v>100</v>
      </c>
      <c r="V43" s="705" t="s">
        <v>14</v>
      </c>
      <c r="W43" s="706">
        <f t="shared" si="12"/>
        <v>100</v>
      </c>
      <c r="X43" s="1355"/>
      <c r="Y43" s="37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8"/>
      <c r="Q44" s="1352">
        <f t="shared" si="14"/>
        <v>111</v>
      </c>
      <c r="R44" s="705" t="s">
        <v>14</v>
      </c>
      <c r="S44" s="706">
        <f t="shared" si="10"/>
        <v>100</v>
      </c>
      <c r="T44" s="705" t="s">
        <v>14</v>
      </c>
      <c r="U44" s="706">
        <f t="shared" si="11"/>
        <v>100</v>
      </c>
      <c r="V44" s="705" t="s">
        <v>14</v>
      </c>
      <c r="W44" s="706">
        <f t="shared" si="12"/>
        <v>100</v>
      </c>
      <c r="X44" s="1355"/>
      <c r="Y44" s="374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8"/>
      <c r="Q45" s="1352">
        <f t="shared" si="14"/>
        <v>111</v>
      </c>
      <c r="R45" s="708" t="s">
        <v>14</v>
      </c>
      <c r="S45" s="709">
        <f t="shared" si="10"/>
        <v>100</v>
      </c>
      <c r="T45" s="708" t="s">
        <v>14</v>
      </c>
      <c r="U45" s="709">
        <f t="shared" si="11"/>
        <v>100</v>
      </c>
      <c r="V45" s="708" t="s">
        <v>14</v>
      </c>
      <c r="W45" s="709">
        <f t="shared" si="12"/>
        <v>100</v>
      </c>
      <c r="X45" s="710"/>
      <c r="Y45" s="374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41" t="str">
        <f>A46</f>
        <v>成交单价</v>
      </c>
      <c r="Q46" s="3741"/>
      <c r="R46" s="3736">
        <f>E46</f>
        <v>0</v>
      </c>
      <c r="S46" s="3736"/>
      <c r="T46" s="3736">
        <f>G46</f>
        <v>0</v>
      </c>
      <c r="U46" s="3736"/>
      <c r="V46" s="3736">
        <f>I46</f>
        <v>0</v>
      </c>
      <c r="W46" s="373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41" t="str">
        <f>A47</f>
        <v>比较价值（元/平方米）</v>
      </c>
      <c r="Q47" s="3741"/>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8" t="str">
        <f>A48</f>
        <v>估价对象XX用房的比较价值（楼面单价，元/平方米）</v>
      </c>
      <c r="Q48" s="3739"/>
      <c r="R48" s="3770" t="e">
        <f>ROUND(IF(D47="简单平均",AVERAGE(R47:W47),R47*F47+T47*H47+V47*J47),0)</f>
        <v>#DIV/0!</v>
      </c>
      <c r="S48" s="3770"/>
      <c r="T48" s="3770"/>
      <c r="U48" s="3770"/>
      <c r="V48" s="3770"/>
      <c r="W48" s="377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24" t="s">
        <v>1887</v>
      </c>
      <c r="H55" s="3771"/>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14258.28</v>
      </c>
      <c r="F56" s="886" t="e">
        <f t="shared" ref="F56:F64" si="15">ROUND(B56*E56/10000,0)</f>
        <v>#DIV/0!</v>
      </c>
      <c r="G56" s="3723"/>
      <c r="H56" s="374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14258.28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1"/>
      <c r="M4" s="2712"/>
      <c r="N4" s="2712"/>
      <c r="O4" s="2712"/>
      <c r="P4" s="3728" t="s">
        <v>1775</v>
      </c>
      <c r="Q4" s="3729"/>
      <c r="R4" s="3711" t="s">
        <v>1771</v>
      </c>
      <c r="S4" s="3712"/>
      <c r="T4" s="3711" t="s">
        <v>1772</v>
      </c>
      <c r="U4" s="3712"/>
      <c r="V4" s="3736" t="s">
        <v>1773</v>
      </c>
      <c r="W4" s="3736"/>
      <c r="X4" s="1355"/>
      <c r="Y4" s="3711" t="s">
        <v>1775</v>
      </c>
      <c r="Z4" s="3712"/>
      <c r="AA4" s="3706" t="s">
        <v>1771</v>
      </c>
      <c r="AB4" s="3707" t="s">
        <v>1772</v>
      </c>
      <c r="AC4" s="3706" t="s">
        <v>1773</v>
      </c>
    </row>
    <row r="5" spans="1:29" ht="15">
      <c r="A5" s="358"/>
      <c r="B5" s="359"/>
      <c r="C5" s="3717" t="s">
        <v>1673</v>
      </c>
      <c r="D5" s="3718"/>
      <c r="E5" s="3715" t="s">
        <v>1674</v>
      </c>
      <c r="F5" s="3716"/>
      <c r="G5" s="3717" t="s">
        <v>1675</v>
      </c>
      <c r="H5" s="3718"/>
      <c r="I5" s="3717" t="s">
        <v>1676</v>
      </c>
      <c r="J5" s="3718"/>
      <c r="K5" s="559"/>
      <c r="L5" s="2711"/>
      <c r="M5" s="2712"/>
      <c r="N5" s="2712"/>
      <c r="O5" s="2712"/>
      <c r="P5" s="3730"/>
      <c r="Q5" s="3731"/>
      <c r="R5" s="3713"/>
      <c r="S5" s="3714"/>
      <c r="T5" s="3713"/>
      <c r="U5" s="3714"/>
      <c r="V5" s="3736"/>
      <c r="W5" s="3736"/>
      <c r="X5" s="1355"/>
      <c r="Y5" s="3713"/>
      <c r="Z5" s="3714"/>
      <c r="AA5" s="3707"/>
      <c r="AB5" s="3707"/>
      <c r="AC5" s="3707"/>
    </row>
    <row r="6" spans="1:29" ht="15.75" thickBot="1">
      <c r="A6" s="360"/>
      <c r="B6" s="361"/>
      <c r="C6" s="3772" t="s">
        <v>1919</v>
      </c>
      <c r="D6" s="3773"/>
      <c r="E6" s="3774" t="s">
        <v>1919</v>
      </c>
      <c r="F6" s="3775"/>
      <c r="G6" s="3772" t="s">
        <v>1919</v>
      </c>
      <c r="H6" s="3773"/>
      <c r="I6" s="3772" t="s">
        <v>1919</v>
      </c>
      <c r="J6" s="3773"/>
      <c r="K6" s="559" t="s">
        <v>1678</v>
      </c>
      <c r="L6" s="2711"/>
      <c r="M6" s="2712"/>
      <c r="N6" s="2712"/>
      <c r="O6" s="2712"/>
      <c r="P6" s="3732"/>
      <c r="Q6" s="3733"/>
      <c r="R6" s="3713"/>
      <c r="S6" s="3714"/>
      <c r="T6" s="3734"/>
      <c r="U6" s="3735"/>
      <c r="V6" s="3736"/>
      <c r="W6" s="3736"/>
      <c r="X6" s="1355"/>
      <c r="Y6" s="3734"/>
      <c r="Z6" s="3735"/>
      <c r="AA6" s="3708"/>
      <c r="AB6" s="3708"/>
      <c r="AC6" s="3708"/>
    </row>
    <row r="7" spans="1:29" s="108" customFormat="1" ht="15.75" thickBot="1">
      <c r="A7" s="362" t="s">
        <v>1679</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9" t="s">
        <v>1680</v>
      </c>
      <c r="Q7" s="3737"/>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41" t="s">
        <v>1686</v>
      </c>
      <c r="Q9" s="1343" t="str">
        <f t="shared" ref="Q9:Q15" si="6">B9</f>
        <v>用途</v>
      </c>
      <c r="R9" s="701" t="s">
        <v>14</v>
      </c>
      <c r="S9" s="702">
        <f t="shared" si="0"/>
        <v>100</v>
      </c>
      <c r="T9" s="701" t="s">
        <v>14</v>
      </c>
      <c r="U9" s="702">
        <f t="shared" si="1"/>
        <v>100</v>
      </c>
      <c r="V9" s="701" t="s">
        <v>14</v>
      </c>
      <c r="W9" s="702">
        <f t="shared" si="2"/>
        <v>100</v>
      </c>
      <c r="X9" s="703"/>
      <c r="Y9" s="36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741"/>
      <c r="Q10" s="1343" t="str">
        <f t="shared" si="6"/>
        <v>土地使用年限（年）</v>
      </c>
      <c r="R10" s="701" t="s">
        <v>14</v>
      </c>
      <c r="S10" s="702">
        <f t="shared" si="0"/>
        <v>106</v>
      </c>
      <c r="T10" s="701" t="s">
        <v>14</v>
      </c>
      <c r="U10" s="702">
        <f t="shared" si="1"/>
        <v>106</v>
      </c>
      <c r="V10" s="701" t="s">
        <v>14</v>
      </c>
      <c r="W10" s="702">
        <f t="shared" si="2"/>
        <v>106</v>
      </c>
      <c r="X10" s="703"/>
      <c r="Y10" s="365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41"/>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41"/>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41"/>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41"/>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3" t="s">
        <v>1691</v>
      </c>
      <c r="Q15" s="1352" t="str">
        <f t="shared" si="6"/>
        <v>产业集聚程度</v>
      </c>
      <c r="R15" s="705" t="s">
        <v>14</v>
      </c>
      <c r="S15" s="706">
        <f t="shared" si="0"/>
        <v>100</v>
      </c>
      <c r="T15" s="705" t="s">
        <v>14</v>
      </c>
      <c r="U15" s="706">
        <f t="shared" si="1"/>
        <v>100</v>
      </c>
      <c r="V15" s="705" t="s">
        <v>14</v>
      </c>
      <c r="W15" s="706">
        <f t="shared" si="2"/>
        <v>100</v>
      </c>
      <c r="X15" s="1355"/>
      <c r="Y15" s="374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44"/>
      <c r="Q16" s="1352"/>
      <c r="R16" s="705"/>
      <c r="S16" s="706"/>
      <c r="T16" s="705"/>
      <c r="U16" s="706"/>
      <c r="V16" s="705"/>
      <c r="W16" s="706"/>
      <c r="X16" s="1355"/>
      <c r="Y16" s="374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4"/>
      <c r="Q17" s="1352" t="str">
        <f>B17</f>
        <v>交通便捷度</v>
      </c>
      <c r="R17" s="705" t="s">
        <v>14</v>
      </c>
      <c r="S17" s="706">
        <f>F17</f>
        <v>100</v>
      </c>
      <c r="T17" s="705" t="s">
        <v>14</v>
      </c>
      <c r="U17" s="706">
        <f>H17</f>
        <v>100</v>
      </c>
      <c r="V17" s="705" t="s">
        <v>14</v>
      </c>
      <c r="W17" s="706">
        <f>J17</f>
        <v>100</v>
      </c>
      <c r="X17" s="1355"/>
      <c r="Y17" s="37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44"/>
      <c r="Q18" s="1352"/>
      <c r="R18" s="705"/>
      <c r="S18" s="706"/>
      <c r="T18" s="705"/>
      <c r="U18" s="706"/>
      <c r="V18" s="705"/>
      <c r="W18" s="706"/>
      <c r="X18" s="1355"/>
      <c r="Y18" s="374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4"/>
      <c r="Q19" s="1352" t="str">
        <f t="shared" ref="Q19:Q33" si="8">B19</f>
        <v>区域土地利用方向</v>
      </c>
      <c r="R19" s="705" t="s">
        <v>14</v>
      </c>
      <c r="S19" s="706">
        <f>F19</f>
        <v>100</v>
      </c>
      <c r="T19" s="705" t="s">
        <v>14</v>
      </c>
      <c r="U19" s="706">
        <f>H19</f>
        <v>100</v>
      </c>
      <c r="V19" s="705" t="s">
        <v>14</v>
      </c>
      <c r="W19" s="706">
        <f>J19</f>
        <v>100</v>
      </c>
      <c r="X19" s="1355"/>
      <c r="Y19" s="37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44"/>
      <c r="Q20" s="1352"/>
      <c r="R20" s="705"/>
      <c r="S20" s="706"/>
      <c r="T20" s="705"/>
      <c r="U20" s="706"/>
      <c r="V20" s="705"/>
      <c r="W20" s="706"/>
      <c r="X20" s="1355"/>
      <c r="Y20" s="374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4"/>
      <c r="Q21" s="1352" t="str">
        <f t="shared" si="8"/>
        <v>环境状况</v>
      </c>
      <c r="R21" s="705" t="s">
        <v>14</v>
      </c>
      <c r="S21" s="706">
        <f>F21</f>
        <v>100</v>
      </c>
      <c r="T21" s="705" t="s">
        <v>14</v>
      </c>
      <c r="U21" s="706">
        <f>H21</f>
        <v>100</v>
      </c>
      <c r="V21" s="705" t="s">
        <v>14</v>
      </c>
      <c r="W21" s="706">
        <f>J21</f>
        <v>100</v>
      </c>
      <c r="X21" s="1355"/>
      <c r="Y21" s="37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44"/>
      <c r="Q22" s="1352"/>
      <c r="R22" s="705"/>
      <c r="S22" s="706"/>
      <c r="T22" s="705"/>
      <c r="U22" s="706"/>
      <c r="V22" s="705"/>
      <c r="W22" s="706"/>
      <c r="X22" s="1355"/>
      <c r="Y22" s="374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4"/>
      <c r="Q23" s="1343" t="str">
        <f t="shared" si="8"/>
        <v>公共配套设施</v>
      </c>
      <c r="R23" s="701" t="s">
        <v>14</v>
      </c>
      <c r="S23" s="702">
        <f>F23</f>
        <v>100</v>
      </c>
      <c r="T23" s="701" t="s">
        <v>14</v>
      </c>
      <c r="U23" s="702">
        <f>H23</f>
        <v>100</v>
      </c>
      <c r="V23" s="701" t="s">
        <v>14</v>
      </c>
      <c r="W23" s="702">
        <f>J23</f>
        <v>100</v>
      </c>
      <c r="X23" s="703"/>
      <c r="Y23" s="374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44"/>
      <c r="Q24" s="1343"/>
      <c r="R24" s="701"/>
      <c r="S24" s="702"/>
      <c r="T24" s="701"/>
      <c r="U24" s="702"/>
      <c r="V24" s="701"/>
      <c r="W24" s="702"/>
      <c r="X24" s="703"/>
      <c r="Y24" s="374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4"/>
      <c r="Q25" s="1343" t="str">
        <f t="shared" ref="Q25" si="9">B25</f>
        <v>基础设施水平</v>
      </c>
      <c r="R25" s="701" t="s">
        <v>14</v>
      </c>
      <c r="S25" s="702">
        <f>F25</f>
        <v>100</v>
      </c>
      <c r="T25" s="701" t="s">
        <v>14</v>
      </c>
      <c r="U25" s="702">
        <f>H25</f>
        <v>100</v>
      </c>
      <c r="V25" s="701" t="s">
        <v>14</v>
      </c>
      <c r="W25" s="702">
        <f>J25</f>
        <v>100</v>
      </c>
      <c r="X25" s="703"/>
      <c r="Y25" s="374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44"/>
      <c r="Q26" s="1343"/>
      <c r="R26" s="701"/>
      <c r="S26" s="702"/>
      <c r="T26" s="701"/>
      <c r="U26" s="702"/>
      <c r="V26" s="701"/>
      <c r="W26" s="702"/>
      <c r="X26" s="703"/>
      <c r="Y26" s="374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4"/>
      <c r="Q28" s="1352" t="str">
        <f t="shared" si="8"/>
        <v>毗邻道路的类型与等级</v>
      </c>
      <c r="R28" s="705" t="s">
        <v>14</v>
      </c>
      <c r="S28" s="706">
        <f t="shared" si="10"/>
        <v>100</v>
      </c>
      <c r="T28" s="705" t="s">
        <v>14</v>
      </c>
      <c r="U28" s="706">
        <f t="shared" si="11"/>
        <v>100</v>
      </c>
      <c r="V28" s="705" t="s">
        <v>14</v>
      </c>
      <c r="W28" s="706">
        <f t="shared" si="12"/>
        <v>100</v>
      </c>
      <c r="X28" s="1355"/>
      <c r="Y28" s="37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44"/>
      <c r="Q29" s="1352"/>
      <c r="R29" s="705"/>
      <c r="S29" s="706"/>
      <c r="T29" s="705"/>
      <c r="U29" s="706"/>
      <c r="V29" s="705"/>
      <c r="W29" s="706"/>
      <c r="X29" s="1355"/>
      <c r="Y29" s="374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4"/>
      <c r="Q30" s="1352" t="str">
        <f t="shared" si="8"/>
        <v>土地级别</v>
      </c>
      <c r="R30" s="705" t="s">
        <v>14</v>
      </c>
      <c r="S30" s="706">
        <f t="shared" si="10"/>
        <v>100</v>
      </c>
      <c r="T30" s="705" t="s">
        <v>14</v>
      </c>
      <c r="U30" s="706">
        <f t="shared" si="11"/>
        <v>100</v>
      </c>
      <c r="V30" s="705" t="s">
        <v>14</v>
      </c>
      <c r="W30" s="706">
        <f t="shared" si="12"/>
        <v>100</v>
      </c>
      <c r="X30" s="1355"/>
      <c r="Y30" s="374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4"/>
      <c r="Q31" s="1352">
        <f t="shared" si="8"/>
        <v>111</v>
      </c>
      <c r="R31" s="705" t="s">
        <v>14</v>
      </c>
      <c r="S31" s="706">
        <f t="shared" si="10"/>
        <v>100</v>
      </c>
      <c r="T31" s="705" t="s">
        <v>14</v>
      </c>
      <c r="U31" s="706">
        <f t="shared" si="11"/>
        <v>100</v>
      </c>
      <c r="V31" s="705" t="s">
        <v>14</v>
      </c>
      <c r="W31" s="706">
        <f t="shared" si="12"/>
        <v>100</v>
      </c>
      <c r="X31" s="1355"/>
      <c r="Y31" s="374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7" t="s">
        <v>1696</v>
      </c>
      <c r="Q32" s="1352">
        <f t="shared" si="8"/>
        <v>111</v>
      </c>
      <c r="R32" s="705" t="s">
        <v>14</v>
      </c>
      <c r="S32" s="706">
        <f t="shared" si="10"/>
        <v>100</v>
      </c>
      <c r="T32" s="705" t="s">
        <v>14</v>
      </c>
      <c r="U32" s="706">
        <f t="shared" si="11"/>
        <v>100</v>
      </c>
      <c r="V32" s="705" t="s">
        <v>14</v>
      </c>
      <c r="W32" s="706">
        <f t="shared" si="12"/>
        <v>100</v>
      </c>
      <c r="X32" s="1355"/>
      <c r="Y32" s="374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8"/>
      <c r="Q33" s="1352">
        <f t="shared" si="8"/>
        <v>111</v>
      </c>
      <c r="R33" s="708" t="s">
        <v>14</v>
      </c>
      <c r="S33" s="709">
        <f t="shared" si="10"/>
        <v>100</v>
      </c>
      <c r="T33" s="708" t="s">
        <v>14</v>
      </c>
      <c r="U33" s="709">
        <f t="shared" si="11"/>
        <v>100</v>
      </c>
      <c r="V33" s="708" t="s">
        <v>14</v>
      </c>
      <c r="W33" s="709">
        <f t="shared" si="12"/>
        <v>100</v>
      </c>
      <c r="X33" s="710"/>
      <c r="Y33" s="374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8"/>
      <c r="Q34" s="1352" t="str">
        <f>B34</f>
        <v>宗地面积</v>
      </c>
      <c r="R34" s="705" t="s">
        <v>14</v>
      </c>
      <c r="S34" s="706" t="e">
        <f t="shared" si="10"/>
        <v>#N/A</v>
      </c>
      <c r="T34" s="705" t="s">
        <v>14</v>
      </c>
      <c r="U34" s="706" t="e">
        <f t="shared" si="11"/>
        <v>#N/A</v>
      </c>
      <c r="V34" s="705" t="s">
        <v>14</v>
      </c>
      <c r="W34" s="706" t="e">
        <f t="shared" si="12"/>
        <v>#N/A</v>
      </c>
      <c r="X34" s="1355"/>
      <c r="Y34" s="374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48"/>
      <c r="Q35" s="1352" t="str">
        <f t="shared" ref="Q35:Q40" si="14">B35</f>
        <v>宗地形状</v>
      </c>
      <c r="R35" s="705" t="s">
        <v>14</v>
      </c>
      <c r="S35" s="706">
        <f t="shared" si="10"/>
        <v>100</v>
      </c>
      <c r="T35" s="705" t="s">
        <v>14</v>
      </c>
      <c r="U35" s="706">
        <f t="shared" si="11"/>
        <v>100</v>
      </c>
      <c r="V35" s="705" t="s">
        <v>14</v>
      </c>
      <c r="W35" s="706">
        <f t="shared" si="12"/>
        <v>100</v>
      </c>
      <c r="X35" s="1355"/>
      <c r="Y35" s="374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48"/>
      <c r="Q36" s="1352" t="str">
        <f t="shared" si="14"/>
        <v>宗地开发程度</v>
      </c>
      <c r="R36" s="701" t="s">
        <v>14</v>
      </c>
      <c r="S36" s="702">
        <f t="shared" si="10"/>
        <v>100</v>
      </c>
      <c r="T36" s="701" t="s">
        <v>14</v>
      </c>
      <c r="U36" s="702">
        <f t="shared" si="11"/>
        <v>100</v>
      </c>
      <c r="V36" s="701" t="s">
        <v>14</v>
      </c>
      <c r="W36" s="702">
        <f t="shared" si="12"/>
        <v>100</v>
      </c>
      <c r="X36" s="703"/>
      <c r="Y36" s="374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48" t="s">
        <v>1696</v>
      </c>
      <c r="Q37" s="1352" t="str">
        <f t="shared" si="14"/>
        <v>工程地质条件</v>
      </c>
      <c r="R37" s="705" t="s">
        <v>14</v>
      </c>
      <c r="S37" s="706">
        <f t="shared" si="10"/>
        <v>100</v>
      </c>
      <c r="T37" s="705" t="s">
        <v>14</v>
      </c>
      <c r="U37" s="706">
        <f t="shared" si="11"/>
        <v>100</v>
      </c>
      <c r="V37" s="705" t="s">
        <v>14</v>
      </c>
      <c r="W37" s="706">
        <f t="shared" si="12"/>
        <v>100</v>
      </c>
      <c r="X37" s="1355"/>
      <c r="Y37" s="374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8"/>
      <c r="Q38" s="1352">
        <f t="shared" si="14"/>
        <v>111</v>
      </c>
      <c r="R38" s="705" t="s">
        <v>14</v>
      </c>
      <c r="S38" s="706">
        <f t="shared" si="10"/>
        <v>100</v>
      </c>
      <c r="T38" s="705" t="s">
        <v>14</v>
      </c>
      <c r="U38" s="706">
        <f t="shared" si="11"/>
        <v>100</v>
      </c>
      <c r="V38" s="705" t="s">
        <v>14</v>
      </c>
      <c r="W38" s="706">
        <f t="shared" si="12"/>
        <v>100</v>
      </c>
      <c r="X38" s="1355"/>
      <c r="Y38" s="37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8"/>
      <c r="Q39" s="1352">
        <f t="shared" si="14"/>
        <v>111</v>
      </c>
      <c r="R39" s="705" t="s">
        <v>14</v>
      </c>
      <c r="S39" s="706">
        <f t="shared" si="10"/>
        <v>100</v>
      </c>
      <c r="T39" s="705" t="s">
        <v>14</v>
      </c>
      <c r="U39" s="706">
        <f t="shared" si="11"/>
        <v>100</v>
      </c>
      <c r="V39" s="705" t="s">
        <v>14</v>
      </c>
      <c r="W39" s="706">
        <f t="shared" si="12"/>
        <v>100</v>
      </c>
      <c r="X39" s="1355"/>
      <c r="Y39" s="374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8"/>
      <c r="Q40" s="1352">
        <f t="shared" si="14"/>
        <v>111</v>
      </c>
      <c r="R40" s="708" t="s">
        <v>14</v>
      </c>
      <c r="S40" s="709">
        <f t="shared" si="10"/>
        <v>100</v>
      </c>
      <c r="T40" s="708" t="s">
        <v>14</v>
      </c>
      <c r="U40" s="709">
        <f t="shared" si="11"/>
        <v>100</v>
      </c>
      <c r="V40" s="708" t="s">
        <v>14</v>
      </c>
      <c r="W40" s="709">
        <f t="shared" si="12"/>
        <v>100</v>
      </c>
      <c r="X40" s="710"/>
      <c r="Y40" s="374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41" t="str">
        <f>A41</f>
        <v>成交单价</v>
      </c>
      <c r="Q41" s="3741"/>
      <c r="R41" s="3736">
        <f>E41</f>
        <v>0</v>
      </c>
      <c r="S41" s="3736"/>
      <c r="T41" s="3736">
        <f>G41</f>
        <v>0</v>
      </c>
      <c r="U41" s="3736"/>
      <c r="V41" s="3736">
        <f>I41</f>
        <v>0</v>
      </c>
      <c r="W41" s="373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41" t="str">
        <f>A42</f>
        <v>比较价值（元/平方米）</v>
      </c>
      <c r="Q42" s="3741"/>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8" t="str">
        <f>A43</f>
        <v>估价对象XX用房的比较价值（楼面单价，元/平方米）</v>
      </c>
      <c r="Q43" s="3739"/>
      <c r="R43" s="3770" t="e">
        <f>ROUND(IF(D42="简单平均",AVERAGE(R42:W42),R42*F42+T42*H42+V42*J42),0)</f>
        <v>#DIV/0!</v>
      </c>
      <c r="S43" s="3770"/>
      <c r="T43" s="3770"/>
      <c r="U43" s="3770"/>
      <c r="V43" s="3770"/>
      <c r="W43" s="377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24" t="s">
        <v>1887</v>
      </c>
      <c r="H50" s="3771"/>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14258.28</v>
      </c>
      <c r="F51" s="639" t="e">
        <f t="shared" ref="F51:F60" si="15">ROUND(B51*E51/10000,0)</f>
        <v>#DIV/0!</v>
      </c>
      <c r="G51" s="3723"/>
      <c r="H51" s="374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9" t="s">
        <v>2084</v>
      </c>
      <c r="D1" s="3780"/>
      <c r="E1" s="3780"/>
      <c r="F1" s="3780"/>
      <c r="G1" s="3780"/>
      <c r="H1" s="3780"/>
      <c r="I1" s="3780"/>
      <c r="J1" s="3780"/>
      <c r="K1" s="3780"/>
      <c r="L1" s="3780"/>
      <c r="M1" s="3780"/>
      <c r="N1" s="3780"/>
      <c r="O1" s="3780"/>
      <c r="P1" s="3780"/>
      <c r="Q1" s="3780"/>
      <c r="R1" s="3780"/>
      <c r="S1" s="378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f ca="1">SUMIF(B6:B13,"&lt;&gt;#ref!",B6:B13)</f>
        <v>7929</v>
      </c>
      <c r="C2" s="2145" t="s">
        <v>2074</v>
      </c>
      <c r="D2" s="2145" t="s">
        <v>2075</v>
      </c>
      <c r="E2" s="2608">
        <f ca="1">SUMIF(E6:E13,"&lt;&gt;#ref!",E6:E13)</f>
        <v>8653.92</v>
      </c>
      <c r="F2" s="2789"/>
      <c r="G2" s="2789"/>
      <c r="H2" s="2789"/>
      <c r="I2" s="2789"/>
      <c r="J2" s="2789"/>
      <c r="K2" s="2789"/>
      <c r="L2" s="2789"/>
      <c r="M2" s="2789"/>
      <c r="N2" s="2789"/>
      <c r="O2" s="2789"/>
      <c r="P2" s="2789"/>
    </row>
    <row r="3" spans="1:16" ht="15.75">
      <c r="A3" s="2145" t="s">
        <v>2076</v>
      </c>
      <c r="B3" s="2598">
        <f ca="1">ROUND(B2*10000/E2,0)</f>
        <v>9162</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7929</v>
      </c>
      <c r="C6" s="2145" t="s">
        <v>2074</v>
      </c>
      <c r="D6" s="2789"/>
      <c r="E6" s="2608">
        <f ca="1">SUMIF(INDIRECT("'"&amp;A6&amp;"'"&amp;"!C:C"),"建筑面积",INDIRECT("'"&amp;A6&amp;"'"&amp;"!D:D"))</f>
        <v>8653.92</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3"/>
      <c r="B4" s="3495" t="s">
        <v>917</v>
      </c>
      <c r="C4" s="3495"/>
      <c r="D4" s="3495"/>
      <c r="E4" s="1493"/>
    </row>
    <row r="5" spans="1:5" ht="16.5" thickTop="1">
      <c r="A5" s="1491"/>
      <c r="B5" s="3493" t="s">
        <v>909</v>
      </c>
      <c r="C5" s="1494" t="s">
        <v>910</v>
      </c>
      <c r="D5" s="850">
        <f ca="1">结果表!H101</f>
        <v>20905</v>
      </c>
      <c r="E5" s="1491"/>
    </row>
    <row r="6" spans="1:5" ht="15.75">
      <c r="A6" s="1491"/>
      <c r="B6" s="3493"/>
      <c r="C6" s="1494" t="s">
        <v>911</v>
      </c>
      <c r="D6" s="850" t="str">
        <f ca="1">NUMBERSTRING(INT(D5*10000),2)&amp;"元整"</f>
        <v>贰亿零玖佰零伍万元整</v>
      </c>
      <c r="E6" s="1491"/>
    </row>
    <row r="7" spans="1:5" ht="15.75">
      <c r="A7" s="1491"/>
      <c r="B7" s="3498"/>
      <c r="C7" s="1495" t="s">
        <v>912</v>
      </c>
      <c r="D7" s="851">
        <f ca="1">结果表!H102</f>
        <v>14662</v>
      </c>
      <c r="E7" s="1491"/>
    </row>
    <row r="8" spans="1:5" ht="15.75">
      <c r="A8" s="1491"/>
      <c r="B8" s="3499" t="str">
        <f>结果表!E103</f>
        <v>2.估价师知悉的法定优先受偿款</v>
      </c>
      <c r="C8" s="1496" t="s">
        <v>913</v>
      </c>
      <c r="D8" s="851">
        <f>结果表!H103</f>
        <v>0</v>
      </c>
      <c r="E8" s="1491"/>
    </row>
    <row r="9" spans="1:5" ht="15.75">
      <c r="A9" s="1491"/>
      <c r="B9" s="350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2" t="str">
        <f>结果表!E107</f>
        <v>3.房地产抵押价值</v>
      </c>
      <c r="C13" s="1499" t="s">
        <v>910</v>
      </c>
      <c r="D13" s="853">
        <f ca="1">结果表!H107</f>
        <v>20905</v>
      </c>
      <c r="E13" s="1491"/>
    </row>
    <row r="14" spans="1:5" ht="15.75">
      <c r="A14" s="1491"/>
      <c r="B14" s="3493"/>
      <c r="C14" s="1494" t="s">
        <v>911</v>
      </c>
      <c r="D14" s="850" t="str">
        <f ca="1">NUMBERSTRING(INT(D13*10000),2)&amp;"元整"</f>
        <v>贰亿零玖佰零伍万元整</v>
      </c>
      <c r="E14" s="1491"/>
    </row>
    <row r="15" spans="1:5" ht="15">
      <c r="A15" s="1491"/>
      <c r="B15" s="3498"/>
      <c r="C15" s="1495" t="s">
        <v>921</v>
      </c>
      <c r="D15" s="859">
        <f ca="1">结果表!H108</f>
        <v>14662</v>
      </c>
      <c r="E15" s="1491"/>
    </row>
    <row r="16" spans="1:5" ht="15">
      <c r="A16" s="1491"/>
      <c r="B16" s="3499" t="str">
        <f>结果表!E109</f>
        <v>——</v>
      </c>
      <c r="C16" s="1499" t="s">
        <v>922</v>
      </c>
      <c r="D16" s="1500" t="str">
        <f>结果表!H109</f>
        <v>——</v>
      </c>
      <c r="E16" s="1491"/>
    </row>
    <row r="17" spans="1:5" ht="15.75">
      <c r="A17" s="1491"/>
      <c r="B17" s="3500"/>
      <c r="C17" s="1494" t="s">
        <v>923</v>
      </c>
      <c r="D17" s="850" t="e">
        <f>NUMBERSTRING(INT(D16*10000),2)&amp;"元整"</f>
        <v>#VALUE!</v>
      </c>
      <c r="E17" s="1491"/>
    </row>
    <row r="18" spans="1:5" ht="15">
      <c r="A18" s="1491"/>
      <c r="B18" s="3501"/>
      <c r="C18" s="1495" t="s">
        <v>912</v>
      </c>
      <c r="D18" s="859" t="str">
        <f>结果表!H110</f>
        <v>——</v>
      </c>
      <c r="E18" s="1491"/>
    </row>
    <row r="19" spans="1:5" ht="15.75">
      <c r="A19" s="1491"/>
      <c r="B19" s="3492" t="str">
        <f>结果表!E111</f>
        <v>4.抵押净值</v>
      </c>
      <c r="C19" s="1499" t="s">
        <v>910</v>
      </c>
      <c r="D19" s="851">
        <f ca="1">结果表!H111</f>
        <v>18785</v>
      </c>
      <c r="E19" s="1491"/>
    </row>
    <row r="20" spans="1:5" ht="15.75">
      <c r="A20" s="1491"/>
      <c r="B20" s="3493"/>
      <c r="C20" s="1494" t="s">
        <v>923</v>
      </c>
      <c r="D20" s="850" t="str">
        <f ca="1">NUMBERSTRING(INT(D19*10000),2)&amp;"元整"</f>
        <v>壹亿捌仟柒佰捌拾伍万元整</v>
      </c>
      <c r="E20" s="1491"/>
    </row>
    <row r="21" spans="1:5" ht="15.75" thickBot="1">
      <c r="A21" s="1491"/>
      <c r="B21" s="3494"/>
      <c r="C21" s="1501" t="s">
        <v>921</v>
      </c>
      <c r="D21" s="860">
        <f ca="1">结果表!H112</f>
        <v>13175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08" t="s">
        <v>2605</v>
      </c>
      <c r="B20" s="3801" t="s">
        <v>2626</v>
      </c>
      <c r="C20" s="3099" t="s">
        <v>2437</v>
      </c>
      <c r="D20" s="3100"/>
      <c r="E20" s="3101">
        <v>1</v>
      </c>
      <c r="F20" s="3102" t="s">
        <v>2438</v>
      </c>
      <c r="G20" s="3102"/>
    </row>
    <row r="21" spans="1:13" ht="19.5" customHeight="1">
      <c r="A21" s="3809"/>
      <c r="B21" s="3802"/>
      <c r="C21" s="3103" t="s">
        <v>2439</v>
      </c>
      <c r="D21" s="3104"/>
      <c r="E21" s="3105">
        <v>1</v>
      </c>
      <c r="F21" s="3102" t="s">
        <v>2440</v>
      </c>
      <c r="G21" s="3102"/>
    </row>
    <row r="22" spans="1:13" ht="19.5" customHeight="1">
      <c r="A22" s="3809"/>
      <c r="B22" s="3802"/>
      <c r="C22" s="3103" t="s">
        <v>2441</v>
      </c>
      <c r="D22" s="3104"/>
      <c r="E22" s="3105">
        <v>0.9</v>
      </c>
      <c r="F22" s="3102" t="s">
        <v>2442</v>
      </c>
      <c r="G22" s="3102"/>
    </row>
    <row r="23" spans="1:13" ht="19.5" customHeight="1">
      <c r="A23" s="3809"/>
      <c r="B23" s="3802"/>
      <c r="C23" s="3103" t="s">
        <v>2443</v>
      </c>
      <c r="D23" s="3104"/>
      <c r="E23" s="3105">
        <v>0.9</v>
      </c>
      <c r="F23" s="3102" t="s">
        <v>2444</v>
      </c>
      <c r="G23" s="3102"/>
    </row>
    <row r="24" spans="1:13" ht="19.5" customHeight="1">
      <c r="A24" s="3809"/>
      <c r="B24" s="3802"/>
      <c r="C24" s="3103" t="s">
        <v>2445</v>
      </c>
      <c r="D24" s="3104"/>
      <c r="E24" s="3105">
        <v>0.8</v>
      </c>
      <c r="F24" s="3102" t="s">
        <v>2446</v>
      </c>
      <c r="G24" s="3102"/>
    </row>
    <row r="25" spans="1:13" ht="19.5" customHeight="1" thickBot="1">
      <c r="A25" s="3810"/>
      <c r="B25" s="380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04" t="s">
        <v>2629</v>
      </c>
      <c r="B27" s="3801" t="s">
        <v>2610</v>
      </c>
      <c r="C27" s="3099" t="s">
        <v>2450</v>
      </c>
      <c r="D27" s="3100"/>
      <c r="E27" s="3101">
        <v>1</v>
      </c>
      <c r="F27" s="3102" t="s">
        <v>2451</v>
      </c>
      <c r="G27" s="3102"/>
    </row>
    <row r="28" spans="1:13" ht="19.5" customHeight="1">
      <c r="A28" s="3805"/>
      <c r="B28" s="3802"/>
      <c r="C28" s="3103" t="s">
        <v>2452</v>
      </c>
      <c r="D28" s="3104"/>
      <c r="E28" s="3105">
        <v>1</v>
      </c>
      <c r="F28" s="3102" t="s">
        <v>2453</v>
      </c>
      <c r="G28" s="3102"/>
    </row>
    <row r="29" spans="1:13" ht="19.5" customHeight="1">
      <c r="A29" s="3805"/>
      <c r="B29" s="3802"/>
      <c r="C29" s="3103" t="s">
        <v>2454</v>
      </c>
      <c r="D29" s="3104"/>
      <c r="E29" s="3105">
        <v>0.8</v>
      </c>
      <c r="F29" s="3102" t="s">
        <v>2455</v>
      </c>
      <c r="G29" s="3102"/>
    </row>
    <row r="30" spans="1:13" ht="19.5" customHeight="1">
      <c r="A30" s="3805"/>
      <c r="B30" s="3802"/>
      <c r="C30" s="3103" t="s">
        <v>2456</v>
      </c>
      <c r="D30" s="3104"/>
      <c r="E30" s="3105">
        <v>0.8</v>
      </c>
      <c r="F30" s="3102" t="s">
        <v>2457</v>
      </c>
      <c r="G30" s="3102"/>
    </row>
    <row r="31" spans="1:13" ht="19.5" customHeight="1">
      <c r="A31" s="3805"/>
      <c r="B31" s="3802"/>
      <c r="C31" s="3103" t="s">
        <v>2458</v>
      </c>
      <c r="D31" s="3104"/>
      <c r="E31" s="3105">
        <v>0.8</v>
      </c>
      <c r="F31" s="3102" t="s">
        <v>2459</v>
      </c>
      <c r="G31" s="3102"/>
    </row>
    <row r="32" spans="1:13" ht="19.5" customHeight="1">
      <c r="A32" s="3805"/>
      <c r="B32" s="3802"/>
      <c r="C32" s="3103" t="s">
        <v>2460</v>
      </c>
      <c r="D32" s="3104"/>
      <c r="E32" s="3105">
        <v>0.7</v>
      </c>
      <c r="F32" s="3102" t="s">
        <v>2461</v>
      </c>
      <c r="G32" s="3102"/>
    </row>
    <row r="33" spans="1:7" ht="19.5" customHeight="1">
      <c r="A33" s="3805"/>
      <c r="B33" s="3802"/>
      <c r="C33" s="3103" t="s">
        <v>2462</v>
      </c>
      <c r="D33" s="3104"/>
      <c r="E33" s="3105">
        <v>0.8</v>
      </c>
      <c r="F33" s="3102" t="s">
        <v>2463</v>
      </c>
      <c r="G33" s="3102"/>
    </row>
    <row r="34" spans="1:7" ht="19.5" customHeight="1">
      <c r="A34" s="3805"/>
      <c r="B34" s="3802"/>
      <c r="C34" s="3103" t="s">
        <v>2464</v>
      </c>
      <c r="D34" s="3104"/>
      <c r="E34" s="3105">
        <v>0.6</v>
      </c>
      <c r="F34" s="3102" t="s">
        <v>2465</v>
      </c>
      <c r="G34" s="3102"/>
    </row>
    <row r="35" spans="1:7" ht="19.5" customHeight="1">
      <c r="A35" s="3805"/>
      <c r="B35" s="3802"/>
      <c r="C35" s="3103" t="s">
        <v>2466</v>
      </c>
      <c r="D35" s="3104"/>
      <c r="E35" s="3105">
        <v>0.2</v>
      </c>
      <c r="F35" s="3102" t="s">
        <v>2467</v>
      </c>
      <c r="G35" s="3102"/>
    </row>
    <row r="36" spans="1:7" ht="19.5" customHeight="1">
      <c r="A36" s="3805"/>
      <c r="B36" s="3802"/>
      <c r="C36" s="3103" t="s">
        <v>2468</v>
      </c>
      <c r="D36" s="3104"/>
      <c r="E36" s="3105">
        <v>0.2</v>
      </c>
      <c r="F36" s="3102" t="s">
        <v>2469</v>
      </c>
      <c r="G36" s="3102"/>
    </row>
    <row r="37" spans="1:7" ht="19.5" customHeight="1">
      <c r="A37" s="3805"/>
      <c r="B37" s="3807" t="s">
        <v>2630</v>
      </c>
      <c r="C37" s="3103" t="s">
        <v>2470</v>
      </c>
      <c r="D37" s="3104"/>
      <c r="E37" s="3105">
        <v>0.6</v>
      </c>
      <c r="F37" s="3102" t="s">
        <v>2471</v>
      </c>
      <c r="G37" s="3102"/>
    </row>
    <row r="38" spans="1:7" ht="19.5" customHeight="1">
      <c r="A38" s="3805"/>
      <c r="B38" s="3802"/>
      <c r="C38" s="3103" t="s">
        <v>2472</v>
      </c>
      <c r="D38" s="3104"/>
      <c r="E38" s="3105">
        <v>0.6</v>
      </c>
      <c r="F38" s="3102" t="s">
        <v>2473</v>
      </c>
      <c r="G38" s="3102"/>
    </row>
    <row r="39" spans="1:7" ht="19.5" customHeight="1" thickBot="1">
      <c r="A39" s="3806"/>
      <c r="B39" s="380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08" t="s">
        <v>2608</v>
      </c>
      <c r="B41" s="3801" t="s">
        <v>2632</v>
      </c>
      <c r="C41" s="3099" t="s">
        <v>2477</v>
      </c>
      <c r="D41" s="3100"/>
      <c r="E41" s="3101">
        <v>1</v>
      </c>
      <c r="F41" s="3102" t="s">
        <v>2478</v>
      </c>
      <c r="G41" s="3102"/>
    </row>
    <row r="42" spans="1:7" ht="19.5" customHeight="1">
      <c r="A42" s="3809"/>
      <c r="B42" s="3802"/>
      <c r="C42" s="3103" t="s">
        <v>2479</v>
      </c>
      <c r="D42" s="3104"/>
      <c r="E42" s="3105">
        <v>1</v>
      </c>
      <c r="F42" s="3102" t="s">
        <v>2480</v>
      </c>
      <c r="G42" s="3102"/>
    </row>
    <row r="43" spans="1:7" ht="19.5" customHeight="1">
      <c r="A43" s="3809"/>
      <c r="B43" s="3811"/>
      <c r="C43" s="3103" t="s">
        <v>2481</v>
      </c>
      <c r="D43" s="3104"/>
      <c r="E43" s="3105">
        <v>1.5</v>
      </c>
      <c r="F43" s="3102" t="s">
        <v>2482</v>
      </c>
      <c r="G43" s="3102"/>
    </row>
    <row r="44" spans="1:7" ht="19.5" customHeight="1">
      <c r="A44" s="3809"/>
      <c r="B44" s="3114" t="s">
        <v>2633</v>
      </c>
      <c r="C44" s="3103" t="s">
        <v>2634</v>
      </c>
      <c r="D44" s="3104"/>
      <c r="E44" s="3105">
        <v>2</v>
      </c>
      <c r="F44" s="3102" t="s">
        <v>2483</v>
      </c>
      <c r="G44" s="3102"/>
    </row>
    <row r="45" spans="1:7" ht="19.5" customHeight="1">
      <c r="A45" s="3809"/>
      <c r="B45" s="3807" t="s">
        <v>2635</v>
      </c>
      <c r="C45" s="3103" t="s">
        <v>2484</v>
      </c>
      <c r="D45" s="3104"/>
      <c r="E45" s="3105">
        <v>1</v>
      </c>
      <c r="F45" s="3102" t="s">
        <v>2485</v>
      </c>
      <c r="G45" s="3102"/>
    </row>
    <row r="46" spans="1:7" ht="19.5" customHeight="1">
      <c r="A46" s="3809"/>
      <c r="B46" s="3802"/>
      <c r="C46" s="3103" t="s">
        <v>2486</v>
      </c>
      <c r="D46" s="3104"/>
      <c r="E46" s="3105">
        <v>1</v>
      </c>
      <c r="F46" s="3102" t="s">
        <v>2487</v>
      </c>
      <c r="G46" s="3102"/>
    </row>
    <row r="47" spans="1:7" ht="19.5" customHeight="1">
      <c r="A47" s="3809"/>
      <c r="B47" s="3802"/>
      <c r="C47" s="3103" t="s">
        <v>2488</v>
      </c>
      <c r="D47" s="3104"/>
      <c r="E47" s="3105">
        <v>1</v>
      </c>
      <c r="F47" s="3102" t="s">
        <v>2489</v>
      </c>
      <c r="G47" s="3102"/>
    </row>
    <row r="48" spans="1:7" ht="19.5" customHeight="1">
      <c r="A48" s="3809"/>
      <c r="B48" s="3802"/>
      <c r="C48" s="3103" t="s">
        <v>2490</v>
      </c>
      <c r="D48" s="3104"/>
      <c r="E48" s="3105">
        <v>1</v>
      </c>
      <c r="F48" s="3102" t="s">
        <v>2491</v>
      </c>
      <c r="G48" s="3102"/>
    </row>
    <row r="49" spans="1:7" ht="19.5" customHeight="1">
      <c r="A49" s="3809"/>
      <c r="B49" s="3802"/>
      <c r="C49" s="3103" t="s">
        <v>2492</v>
      </c>
      <c r="D49" s="3104"/>
      <c r="E49" s="3105">
        <v>1</v>
      </c>
      <c r="F49" s="3102" t="s">
        <v>2493</v>
      </c>
      <c r="G49" s="3102"/>
    </row>
    <row r="50" spans="1:7" ht="19.5" customHeight="1">
      <c r="A50" s="3809"/>
      <c r="B50" s="3802"/>
      <c r="C50" s="3103" t="s">
        <v>2494</v>
      </c>
      <c r="D50" s="3104"/>
      <c r="E50" s="3105">
        <v>1</v>
      </c>
      <c r="F50" s="3102" t="s">
        <v>2495</v>
      </c>
      <c r="G50" s="3102"/>
    </row>
    <row r="51" spans="1:7" ht="19.5" customHeight="1" thickBot="1">
      <c r="A51" s="3810"/>
      <c r="B51" s="380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07" t="s">
        <v>2649</v>
      </c>
      <c r="C73" s="3088" t="s">
        <v>2650</v>
      </c>
      <c r="D73" s="3088" t="s">
        <v>2651</v>
      </c>
      <c r="E73" s="3114">
        <v>0.2</v>
      </c>
      <c r="F73" s="3114">
        <v>25</v>
      </c>
    </row>
    <row r="74" spans="1:7" ht="24">
      <c r="A74" s="3114">
        <v>2</v>
      </c>
      <c r="B74" s="3802"/>
      <c r="C74" s="3088" t="s">
        <v>2652</v>
      </c>
      <c r="D74" s="3088" t="s">
        <v>2653</v>
      </c>
      <c r="E74" s="3114">
        <v>0.2</v>
      </c>
      <c r="F74" s="3114">
        <v>25</v>
      </c>
    </row>
    <row r="75" spans="1:7" ht="24">
      <c r="A75" s="3114">
        <v>3</v>
      </c>
      <c r="B75" s="3802"/>
      <c r="C75" s="3088" t="s">
        <v>2654</v>
      </c>
      <c r="D75" s="3088" t="s">
        <v>2655</v>
      </c>
      <c r="E75" s="3114">
        <v>0.2</v>
      </c>
      <c r="F75" s="3114">
        <v>25</v>
      </c>
    </row>
    <row r="76" spans="1:7" ht="13.5">
      <c r="A76" s="3114">
        <v>4</v>
      </c>
      <c r="B76" s="3802"/>
      <c r="C76" s="3088" t="s">
        <v>2656</v>
      </c>
      <c r="D76" s="3088" t="s">
        <v>2657</v>
      </c>
      <c r="E76" s="3114">
        <v>0.15</v>
      </c>
      <c r="F76" s="3114">
        <v>20</v>
      </c>
    </row>
    <row r="77" spans="1:7" ht="24">
      <c r="A77" s="3114">
        <v>5</v>
      </c>
      <c r="B77" s="3802"/>
      <c r="C77" s="3088" t="s">
        <v>2658</v>
      </c>
      <c r="D77" s="3088" t="s">
        <v>2659</v>
      </c>
      <c r="E77" s="3114">
        <v>0.15</v>
      </c>
      <c r="F77" s="3114">
        <v>20</v>
      </c>
    </row>
    <row r="78" spans="1:7" ht="24">
      <c r="A78" s="3114">
        <v>6</v>
      </c>
      <c r="B78" s="3802"/>
      <c r="C78" s="3088" t="s">
        <v>2660</v>
      </c>
      <c r="D78" s="3088" t="s">
        <v>2661</v>
      </c>
      <c r="E78" s="3114">
        <v>0.15</v>
      </c>
      <c r="F78" s="3114">
        <v>20</v>
      </c>
    </row>
    <row r="79" spans="1:7" ht="24">
      <c r="A79" s="3114">
        <v>7</v>
      </c>
      <c r="B79" s="3802"/>
      <c r="C79" s="3088" t="s">
        <v>2662</v>
      </c>
      <c r="D79" s="3088" t="s">
        <v>2663</v>
      </c>
      <c r="E79" s="3114">
        <v>0.15</v>
      </c>
      <c r="F79" s="3114">
        <v>20</v>
      </c>
    </row>
    <row r="80" spans="1:7" ht="24">
      <c r="A80" s="3114">
        <v>8</v>
      </c>
      <c r="B80" s="3802"/>
      <c r="C80" s="3088" t="s">
        <v>2664</v>
      </c>
      <c r="D80" s="3088" t="s">
        <v>2665</v>
      </c>
      <c r="E80" s="3114">
        <v>0.1</v>
      </c>
      <c r="F80" s="3114">
        <v>15</v>
      </c>
    </row>
    <row r="81" spans="1:6" ht="24">
      <c r="A81" s="3114">
        <v>9</v>
      </c>
      <c r="B81" s="3802"/>
      <c r="C81" s="3088" t="s">
        <v>2666</v>
      </c>
      <c r="D81" s="3088" t="s">
        <v>2667</v>
      </c>
      <c r="E81" s="3114">
        <v>0.1</v>
      </c>
      <c r="F81" s="3114">
        <v>15</v>
      </c>
    </row>
    <row r="82" spans="1:6" ht="24">
      <c r="A82" s="3114">
        <v>10</v>
      </c>
      <c r="B82" s="3802"/>
      <c r="C82" s="3088" t="s">
        <v>2668</v>
      </c>
      <c r="D82" s="3088" t="s">
        <v>2669</v>
      </c>
      <c r="E82" s="3114">
        <v>0.1</v>
      </c>
      <c r="F82" s="3114">
        <v>15</v>
      </c>
    </row>
    <row r="83" spans="1:6" ht="24">
      <c r="A83" s="3114">
        <v>11</v>
      </c>
      <c r="B83" s="3802"/>
      <c r="C83" s="3088" t="s">
        <v>2670</v>
      </c>
      <c r="D83" s="3088" t="s">
        <v>2671</v>
      </c>
      <c r="E83" s="3114">
        <v>0.1</v>
      </c>
      <c r="F83" s="3114">
        <v>15</v>
      </c>
    </row>
    <row r="84" spans="1:6" ht="24">
      <c r="A84" s="3114">
        <v>12</v>
      </c>
      <c r="B84" s="3802"/>
      <c r="C84" s="3088" t="s">
        <v>2672</v>
      </c>
      <c r="D84" s="3088" t="s">
        <v>2673</v>
      </c>
      <c r="E84" s="3114">
        <v>0.1</v>
      </c>
      <c r="F84" s="3114">
        <v>15</v>
      </c>
    </row>
    <row r="85" spans="1:6" ht="13.5">
      <c r="A85" s="3114">
        <v>13</v>
      </c>
      <c r="B85" s="3802"/>
      <c r="C85" s="3088" t="s">
        <v>2674</v>
      </c>
      <c r="D85" s="3088" t="s">
        <v>2675</v>
      </c>
      <c r="E85" s="3114">
        <v>0.1</v>
      </c>
      <c r="F85" s="3114">
        <v>15</v>
      </c>
    </row>
    <row r="86" spans="1:6" ht="13.5">
      <c r="A86" s="3114">
        <v>14</v>
      </c>
      <c r="B86" s="3802"/>
      <c r="C86" s="3088" t="s">
        <v>2676</v>
      </c>
      <c r="D86" s="3088" t="s">
        <v>2677</v>
      </c>
      <c r="E86" s="3114">
        <v>0.1</v>
      </c>
      <c r="F86" s="3114">
        <v>15</v>
      </c>
    </row>
    <row r="87" spans="1:6" ht="13.5">
      <c r="A87" s="3114">
        <v>15</v>
      </c>
      <c r="B87" s="3802"/>
      <c r="C87" s="3088" t="s">
        <v>2678</v>
      </c>
      <c r="D87" s="3088" t="s">
        <v>2679</v>
      </c>
      <c r="E87" s="3114">
        <v>0.1</v>
      </c>
      <c r="F87" s="3114">
        <v>15</v>
      </c>
    </row>
    <row r="88" spans="1:6" ht="24">
      <c r="A88" s="3114">
        <v>16</v>
      </c>
      <c r="B88" s="3802"/>
      <c r="C88" s="3088" t="s">
        <v>2680</v>
      </c>
      <c r="D88" s="3088" t="s">
        <v>2681</v>
      </c>
      <c r="E88" s="3114">
        <v>0.1</v>
      </c>
      <c r="F88" s="3114">
        <v>15</v>
      </c>
    </row>
    <row r="89" spans="1:6" ht="24">
      <c r="A89" s="3114">
        <v>17</v>
      </c>
      <c r="B89" s="3811"/>
      <c r="C89" s="3088" t="s">
        <v>2682</v>
      </c>
      <c r="D89" s="3088" t="s">
        <v>2683</v>
      </c>
      <c r="E89" s="3114">
        <v>0.1</v>
      </c>
      <c r="F89" s="3114">
        <v>15</v>
      </c>
    </row>
    <row r="90" spans="1:6" ht="13.5">
      <c r="A90" s="3114">
        <v>18</v>
      </c>
      <c r="B90" s="3807" t="s">
        <v>2684</v>
      </c>
      <c r="C90" s="3088" t="s">
        <v>2685</v>
      </c>
      <c r="D90" s="3088" t="s">
        <v>2686</v>
      </c>
      <c r="E90" s="3114">
        <v>0.2</v>
      </c>
      <c r="F90" s="3114">
        <v>25</v>
      </c>
    </row>
    <row r="91" spans="1:6" ht="24">
      <c r="A91" s="3114">
        <v>19</v>
      </c>
      <c r="B91" s="3802"/>
      <c r="C91" s="3088" t="s">
        <v>2687</v>
      </c>
      <c r="D91" s="3088" t="s">
        <v>2688</v>
      </c>
      <c r="E91" s="3114">
        <v>0.2</v>
      </c>
      <c r="F91" s="3114">
        <v>25</v>
      </c>
    </row>
    <row r="92" spans="1:6" ht="13.5">
      <c r="A92" s="3114">
        <v>20</v>
      </c>
      <c r="B92" s="3802"/>
      <c r="C92" s="3088" t="s">
        <v>2689</v>
      </c>
      <c r="D92" s="3088" t="s">
        <v>2690</v>
      </c>
      <c r="E92" s="3114">
        <v>0.15</v>
      </c>
      <c r="F92" s="3114">
        <v>20</v>
      </c>
    </row>
    <row r="93" spans="1:6" ht="13.5">
      <c r="A93" s="3114">
        <v>21</v>
      </c>
      <c r="B93" s="3802"/>
      <c r="C93" s="3088" t="s">
        <v>2691</v>
      </c>
      <c r="D93" s="3088" t="s">
        <v>2692</v>
      </c>
      <c r="E93" s="3114">
        <v>0.15</v>
      </c>
      <c r="F93" s="3114">
        <v>20</v>
      </c>
    </row>
    <row r="94" spans="1:6" ht="13.5">
      <c r="A94" s="3114">
        <v>22</v>
      </c>
      <c r="B94" s="3802"/>
      <c r="C94" s="3088" t="s">
        <v>2693</v>
      </c>
      <c r="D94" s="3088" t="s">
        <v>2694</v>
      </c>
      <c r="E94" s="3114">
        <v>0.15</v>
      </c>
      <c r="F94" s="3114">
        <v>20</v>
      </c>
    </row>
    <row r="95" spans="1:6" ht="36">
      <c r="A95" s="3114">
        <v>23</v>
      </c>
      <c r="B95" s="3802"/>
      <c r="C95" s="3088" t="s">
        <v>2695</v>
      </c>
      <c r="D95" s="3088" t="s">
        <v>2696</v>
      </c>
      <c r="E95" s="3114">
        <v>0.15</v>
      </c>
      <c r="F95" s="3114">
        <v>20</v>
      </c>
    </row>
    <row r="96" spans="1:6" ht="13.5">
      <c r="A96" s="3114">
        <v>24</v>
      </c>
      <c r="B96" s="3802"/>
      <c r="C96" s="3088" t="s">
        <v>2697</v>
      </c>
      <c r="D96" s="3088" t="s">
        <v>2698</v>
      </c>
      <c r="E96" s="3114">
        <v>0.1</v>
      </c>
      <c r="F96" s="3114">
        <v>15</v>
      </c>
    </row>
    <row r="97" spans="1:6" ht="13.5">
      <c r="A97" s="3114">
        <v>25</v>
      </c>
      <c r="B97" s="3802"/>
      <c r="C97" s="3088" t="s">
        <v>2699</v>
      </c>
      <c r="D97" s="3088" t="s">
        <v>2700</v>
      </c>
      <c r="E97" s="3114">
        <v>0.1</v>
      </c>
      <c r="F97" s="3114">
        <v>15</v>
      </c>
    </row>
    <row r="98" spans="1:6" ht="24">
      <c r="A98" s="3114">
        <v>26</v>
      </c>
      <c r="B98" s="3802"/>
      <c r="C98" s="3088" t="s">
        <v>2701</v>
      </c>
      <c r="D98" s="3088" t="s">
        <v>2702</v>
      </c>
      <c r="E98" s="3114">
        <v>0.1</v>
      </c>
      <c r="F98" s="3114">
        <v>15</v>
      </c>
    </row>
    <row r="99" spans="1:6" ht="24">
      <c r="A99" s="3114">
        <v>27</v>
      </c>
      <c r="B99" s="3802"/>
      <c r="C99" s="3088" t="s">
        <v>2703</v>
      </c>
      <c r="D99" s="3088" t="s">
        <v>2704</v>
      </c>
      <c r="E99" s="3114">
        <v>0.1</v>
      </c>
      <c r="F99" s="3114">
        <v>15</v>
      </c>
    </row>
    <row r="100" spans="1:6" ht="13.5">
      <c r="A100" s="3114">
        <v>28</v>
      </c>
      <c r="B100" s="3802"/>
      <c r="C100" s="3088" t="s">
        <v>2705</v>
      </c>
      <c r="D100" s="3088" t="s">
        <v>2706</v>
      </c>
      <c r="E100" s="3114">
        <v>0.1</v>
      </c>
      <c r="F100" s="3114">
        <v>15</v>
      </c>
    </row>
    <row r="101" spans="1:6" ht="13.5">
      <c r="A101" s="3114">
        <v>29</v>
      </c>
      <c r="B101" s="3802"/>
      <c r="C101" s="3088" t="s">
        <v>2707</v>
      </c>
      <c r="D101" s="3088" t="s">
        <v>2708</v>
      </c>
      <c r="E101" s="3114">
        <v>0.1</v>
      </c>
      <c r="F101" s="3114">
        <v>15</v>
      </c>
    </row>
    <row r="102" spans="1:6" ht="13.5">
      <c r="A102" s="3114">
        <v>30</v>
      </c>
      <c r="B102" s="3802"/>
      <c r="C102" s="3088" t="s">
        <v>2709</v>
      </c>
      <c r="D102" s="3088" t="s">
        <v>2710</v>
      </c>
      <c r="E102" s="3114">
        <v>0.1</v>
      </c>
      <c r="F102" s="3114">
        <v>15</v>
      </c>
    </row>
    <row r="103" spans="1:6" ht="24">
      <c r="A103" s="3114">
        <v>31</v>
      </c>
      <c r="B103" s="3802"/>
      <c r="C103" s="3088" t="s">
        <v>2711</v>
      </c>
      <c r="D103" s="3088" t="s">
        <v>2712</v>
      </c>
      <c r="E103" s="3114">
        <v>0.1</v>
      </c>
      <c r="F103" s="3114">
        <v>15</v>
      </c>
    </row>
    <row r="104" spans="1:6" ht="24">
      <c r="A104" s="3114">
        <v>32</v>
      </c>
      <c r="B104" s="3802"/>
      <c r="C104" s="3088" t="s">
        <v>2713</v>
      </c>
      <c r="D104" s="3088" t="s">
        <v>2714</v>
      </c>
      <c r="E104" s="3114">
        <v>0.1</v>
      </c>
      <c r="F104" s="3114">
        <v>15</v>
      </c>
    </row>
    <row r="105" spans="1:6" ht="24">
      <c r="A105" s="3114">
        <v>33</v>
      </c>
      <c r="B105" s="3802"/>
      <c r="C105" s="3088" t="s">
        <v>2715</v>
      </c>
      <c r="D105" s="3088" t="s">
        <v>2716</v>
      </c>
      <c r="E105" s="3114">
        <v>0.1</v>
      </c>
      <c r="F105" s="3114">
        <v>15</v>
      </c>
    </row>
    <row r="106" spans="1:6" ht="24">
      <c r="A106" s="3114">
        <v>34</v>
      </c>
      <c r="B106" s="3811"/>
      <c r="C106" s="3088" t="s">
        <v>2717</v>
      </c>
      <c r="D106" s="3088" t="s">
        <v>2718</v>
      </c>
      <c r="E106" s="3114">
        <v>0.1</v>
      </c>
      <c r="F106" s="3114">
        <v>15</v>
      </c>
    </row>
    <row r="107" spans="1:6" ht="24">
      <c r="A107" s="3114">
        <v>35</v>
      </c>
      <c r="B107" s="3807" t="s">
        <v>2719</v>
      </c>
      <c r="C107" s="3114" t="s">
        <v>2720</v>
      </c>
      <c r="D107" s="3088" t="s">
        <v>2721</v>
      </c>
      <c r="E107" s="3114">
        <v>0.15</v>
      </c>
      <c r="F107" s="3114">
        <v>20</v>
      </c>
    </row>
    <row r="108" spans="1:6" ht="13.5">
      <c r="A108" s="3114">
        <v>36</v>
      </c>
      <c r="B108" s="3802"/>
      <c r="C108" s="3114" t="s">
        <v>2722</v>
      </c>
      <c r="D108" s="3088" t="s">
        <v>2723</v>
      </c>
      <c r="E108" s="3114">
        <v>0.15</v>
      </c>
      <c r="F108" s="3114">
        <v>20</v>
      </c>
    </row>
    <row r="109" spans="1:6" ht="13.5">
      <c r="A109" s="3114">
        <v>37</v>
      </c>
      <c r="B109" s="3802"/>
      <c r="C109" s="3114" t="s">
        <v>2724</v>
      </c>
      <c r="D109" s="3088" t="s">
        <v>2725</v>
      </c>
      <c r="E109" s="3114">
        <v>0.15</v>
      </c>
      <c r="F109" s="3114">
        <v>20</v>
      </c>
    </row>
    <row r="110" spans="1:6" ht="13.5">
      <c r="A110" s="3114">
        <v>38</v>
      </c>
      <c r="B110" s="3802"/>
      <c r="C110" s="3114" t="s">
        <v>2726</v>
      </c>
      <c r="D110" s="3088" t="s">
        <v>2727</v>
      </c>
      <c r="E110" s="3114">
        <v>0.1</v>
      </c>
      <c r="F110" s="3114">
        <v>15</v>
      </c>
    </row>
    <row r="111" spans="1:6" ht="24">
      <c r="A111" s="3114">
        <v>39</v>
      </c>
      <c r="B111" s="3802"/>
      <c r="C111" s="3114" t="s">
        <v>2728</v>
      </c>
      <c r="D111" s="3088" t="s">
        <v>2729</v>
      </c>
      <c r="E111" s="3114">
        <v>0.1</v>
      </c>
      <c r="F111" s="3114">
        <v>15</v>
      </c>
    </row>
    <row r="112" spans="1:6" ht="24">
      <c r="A112" s="3114">
        <v>40</v>
      </c>
      <c r="B112" s="3811"/>
      <c r="C112" s="3114" t="s">
        <v>2730</v>
      </c>
      <c r="D112" s="3088" t="s">
        <v>2731</v>
      </c>
      <c r="E112" s="3114">
        <v>0.1</v>
      </c>
      <c r="F112" s="3114">
        <v>15</v>
      </c>
    </row>
    <row r="113" spans="1:6" ht="13.5">
      <c r="A113" s="3114">
        <v>41</v>
      </c>
      <c r="B113" s="3812" t="s">
        <v>2732</v>
      </c>
      <c r="C113" s="3114" t="s">
        <v>2733</v>
      </c>
      <c r="D113" s="3088" t="s">
        <v>2734</v>
      </c>
      <c r="E113" s="3114">
        <v>0.1</v>
      </c>
      <c r="F113" s="3114">
        <v>15</v>
      </c>
    </row>
    <row r="114" spans="1:6" ht="13.5">
      <c r="A114" s="3114">
        <v>42</v>
      </c>
      <c r="B114" s="3812"/>
      <c r="C114" s="3114" t="s">
        <v>2735</v>
      </c>
      <c r="D114" s="3088" t="s">
        <v>2736</v>
      </c>
      <c r="E114" s="3114">
        <v>0.1</v>
      </c>
      <c r="F114" s="3114">
        <v>15</v>
      </c>
    </row>
    <row r="115" spans="1:6" ht="24">
      <c r="A115" s="3114">
        <v>43</v>
      </c>
      <c r="B115" s="3812"/>
      <c r="C115" s="3114" t="s">
        <v>2737</v>
      </c>
      <c r="D115" s="3088" t="s">
        <v>2738</v>
      </c>
      <c r="E115" s="3114">
        <v>0.1</v>
      </c>
      <c r="F115" s="3114">
        <v>15</v>
      </c>
    </row>
    <row r="116" spans="1:6" ht="13.5">
      <c r="A116" s="3114">
        <v>44</v>
      </c>
      <c r="B116" s="3807" t="s">
        <v>2739</v>
      </c>
      <c r="C116" s="3114" t="s">
        <v>2740</v>
      </c>
      <c r="D116" s="3088" t="s">
        <v>2741</v>
      </c>
      <c r="E116" s="3114">
        <v>0.1</v>
      </c>
      <c r="F116" s="3114">
        <v>15</v>
      </c>
    </row>
    <row r="117" spans="1:6" ht="24">
      <c r="A117" s="3114">
        <v>45</v>
      </c>
      <c r="B117" s="3811"/>
      <c r="C117" s="3088" t="s">
        <v>2742</v>
      </c>
      <c r="D117" s="3088" t="s">
        <v>2743</v>
      </c>
      <c r="E117" s="3114">
        <v>0.1</v>
      </c>
      <c r="F117" s="3114">
        <v>15</v>
      </c>
    </row>
    <row r="118" spans="1:6" ht="24">
      <c r="A118" s="3114">
        <v>46</v>
      </c>
      <c r="B118" s="3807" t="s">
        <v>2744</v>
      </c>
      <c r="C118" s="3114" t="s">
        <v>2745</v>
      </c>
      <c r="D118" s="3088" t="s">
        <v>2746</v>
      </c>
      <c r="E118" s="3114">
        <v>0.1</v>
      </c>
      <c r="F118" s="3114">
        <v>15</v>
      </c>
    </row>
    <row r="119" spans="1:6" ht="24">
      <c r="A119" s="3114">
        <v>47</v>
      </c>
      <c r="B119" s="3811"/>
      <c r="C119" s="3114" t="s">
        <v>2747</v>
      </c>
      <c r="D119" s="3088" t="s">
        <v>2748</v>
      </c>
      <c r="E119" s="3114">
        <v>0.1</v>
      </c>
      <c r="F119" s="3114">
        <v>15</v>
      </c>
    </row>
    <row r="120" spans="1:6" ht="13.5">
      <c r="A120" s="3114">
        <v>48</v>
      </c>
      <c r="B120" s="3807" t="s">
        <v>2749</v>
      </c>
      <c r="C120" s="3114" t="s">
        <v>2750</v>
      </c>
      <c r="D120" s="3088" t="s">
        <v>2751</v>
      </c>
      <c r="E120" s="3114">
        <v>0.1</v>
      </c>
      <c r="F120" s="3114">
        <v>15</v>
      </c>
    </row>
    <row r="121" spans="1:6" ht="13.5">
      <c r="A121" s="3114">
        <v>49</v>
      </c>
      <c r="B121" s="3811"/>
      <c r="C121" s="3114" t="s">
        <v>2752</v>
      </c>
      <c r="D121" s="3088" t="s">
        <v>2753</v>
      </c>
      <c r="E121" s="3114">
        <v>0.1</v>
      </c>
      <c r="F121" s="3114">
        <v>15</v>
      </c>
    </row>
    <row r="122" spans="1:6" ht="24">
      <c r="A122" s="3114">
        <v>50</v>
      </c>
      <c r="B122" s="3812" t="s">
        <v>2754</v>
      </c>
      <c r="C122" s="3114" t="s">
        <v>2755</v>
      </c>
      <c r="D122" s="3088" t="s">
        <v>2756</v>
      </c>
      <c r="E122" s="3114">
        <v>0.1</v>
      </c>
      <c r="F122" s="3114">
        <v>15</v>
      </c>
    </row>
    <row r="123" spans="1:6" ht="24">
      <c r="A123" s="3114">
        <v>51</v>
      </c>
      <c r="B123" s="3812"/>
      <c r="C123" s="3114" t="s">
        <v>2757</v>
      </c>
      <c r="D123" s="3088" t="s">
        <v>2758</v>
      </c>
      <c r="E123" s="3114">
        <v>0.1</v>
      </c>
      <c r="F123" s="3114">
        <v>15</v>
      </c>
    </row>
    <row r="124" spans="1:6" ht="24">
      <c r="A124" s="3114">
        <v>52</v>
      </c>
      <c r="B124" s="3812" t="s">
        <v>2759</v>
      </c>
      <c r="C124" s="3114" t="s">
        <v>2760</v>
      </c>
      <c r="D124" s="3088" t="s">
        <v>2761</v>
      </c>
      <c r="E124" s="3114">
        <v>0.1</v>
      </c>
      <c r="F124" s="3114">
        <v>15</v>
      </c>
    </row>
    <row r="125" spans="1:6" ht="24">
      <c r="A125" s="3114">
        <v>53</v>
      </c>
      <c r="B125" s="3812"/>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12" t="s">
        <v>2767</v>
      </c>
      <c r="C127" s="3114" t="s">
        <v>2768</v>
      </c>
      <c r="D127" s="3088" t="s">
        <v>2769</v>
      </c>
      <c r="E127" s="3114">
        <v>0.1</v>
      </c>
      <c r="F127" s="3114">
        <v>15</v>
      </c>
    </row>
    <row r="128" spans="1:6" ht="13.5">
      <c r="A128" s="3114">
        <v>56</v>
      </c>
      <c r="B128" s="3812"/>
      <c r="C128" s="3114" t="s">
        <v>2770</v>
      </c>
      <c r="D128" s="3088" t="s">
        <v>2771</v>
      </c>
      <c r="E128" s="3114">
        <v>0.1</v>
      </c>
      <c r="F128" s="3114">
        <v>15</v>
      </c>
    </row>
    <row r="129" spans="1:6" ht="24">
      <c r="A129" s="3114">
        <v>57</v>
      </c>
      <c r="B129" s="3812"/>
      <c r="C129" s="3114" t="s">
        <v>2772</v>
      </c>
      <c r="D129" s="3088" t="s">
        <v>2773</v>
      </c>
      <c r="E129" s="3114">
        <v>0.1</v>
      </c>
      <c r="F129" s="3114">
        <v>15</v>
      </c>
    </row>
    <row r="130" spans="1:6" ht="24">
      <c r="A130" s="3114">
        <v>58</v>
      </c>
      <c r="B130" s="3812" t="s">
        <v>2774</v>
      </c>
      <c r="C130" s="3114" t="s">
        <v>2775</v>
      </c>
      <c r="D130" s="3088" t="s">
        <v>2776</v>
      </c>
      <c r="E130" s="3114">
        <v>0.1</v>
      </c>
      <c r="F130" s="3114">
        <v>15</v>
      </c>
    </row>
    <row r="131" spans="1:6" ht="13.5">
      <c r="A131" s="3114">
        <v>59</v>
      </c>
      <c r="B131" s="3812"/>
      <c r="C131" s="3114" t="s">
        <v>2777</v>
      </c>
      <c r="D131" s="3088" t="s">
        <v>2778</v>
      </c>
      <c r="E131" s="3114">
        <v>0.1</v>
      </c>
      <c r="F131" s="3114">
        <v>15</v>
      </c>
    </row>
    <row r="132" spans="1:6" ht="13.5">
      <c r="A132" s="3114">
        <v>60</v>
      </c>
      <c r="B132" s="3807" t="s">
        <v>2779</v>
      </c>
      <c r="C132" s="3114" t="s">
        <v>2780</v>
      </c>
      <c r="D132" s="3088" t="s">
        <v>2781</v>
      </c>
      <c r="E132" s="3114">
        <v>0.1</v>
      </c>
      <c r="F132" s="3114">
        <v>15</v>
      </c>
    </row>
    <row r="133" spans="1:6" ht="13.5">
      <c r="A133" s="3114">
        <v>61</v>
      </c>
      <c r="B133" s="3811"/>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12" t="s">
        <v>2787</v>
      </c>
      <c r="C135" s="3114" t="s">
        <v>2788</v>
      </c>
      <c r="D135" s="3088" t="s">
        <v>2789</v>
      </c>
      <c r="E135" s="3114">
        <v>0.1</v>
      </c>
      <c r="F135" s="3114">
        <v>15</v>
      </c>
    </row>
    <row r="136" spans="1:6" ht="13.5">
      <c r="A136" s="3114">
        <v>64</v>
      </c>
      <c r="B136" s="3812"/>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0.95120000000000005</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36405</v>
      </c>
      <c r="C2" s="2" t="s">
        <v>106</v>
      </c>
      <c r="D2" s="199"/>
      <c r="E2" s="199"/>
      <c r="F2" s="199"/>
      <c r="G2" s="199"/>
    </row>
    <row r="3" spans="1:7" s="200" customFormat="1" ht="18" customHeight="1" thickBot="1">
      <c r="A3" s="203" t="s">
        <v>58</v>
      </c>
      <c r="B3" s="204">
        <f ca="1">ROUND(B2*10000/'数据-汇总表'!E3,0)</f>
        <v>25533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285</v>
      </c>
      <c r="D10" s="845">
        <f>'数据-汇总表'!E6</f>
        <v>14258.28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285</v>
      </c>
      <c r="D19" s="849">
        <f>'数据-汇总表'!E3</f>
        <v>14258.28</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3836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3836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5704</v>
      </c>
      <c r="D34" s="217"/>
      <c r="E34" s="220"/>
      <c r="F34" s="257">
        <f>IF('数据-取费表'!B24=0,1,'数据-取费表'!N16)</f>
        <v>1</v>
      </c>
      <c r="G34" s="219" t="s">
        <v>89</v>
      </c>
    </row>
    <row r="35" spans="1:7" ht="13.5" customHeight="1">
      <c r="A35" s="780" t="s">
        <v>351</v>
      </c>
      <c r="B35" s="215" t="s">
        <v>33</v>
      </c>
      <c r="C35" s="220">
        <f>ROUND(C34*F35,0)</f>
        <v>285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285</v>
      </c>
      <c r="D37" s="217">
        <f>'数据-汇总表'!E3</f>
        <v>14258.28</v>
      </c>
      <c r="E37" s="249">
        <f>'数据-取费表'!B35</f>
        <v>200</v>
      </c>
      <c r="F37" s="259"/>
      <c r="G37" s="261" t="s">
        <v>92</v>
      </c>
    </row>
    <row r="38" spans="1:7" ht="13.5" customHeight="1">
      <c r="A38" s="780" t="s">
        <v>354</v>
      </c>
      <c r="B38" s="215" t="s">
        <v>36</v>
      </c>
      <c r="C38" s="220">
        <f>ROUND(C34*F38,0)</f>
        <v>114</v>
      </c>
      <c r="D38" s="220"/>
      <c r="E38" s="220"/>
      <c r="F38" s="259">
        <f>'数据-取费表'!B36</f>
        <v>0.02</v>
      </c>
      <c r="G38" s="219" t="s">
        <v>90</v>
      </c>
    </row>
    <row r="39" spans="1:7" s="214" customFormat="1" ht="13.5" customHeight="1">
      <c r="A39" s="777" t="s">
        <v>338</v>
      </c>
      <c r="B39" s="210" t="s">
        <v>77</v>
      </c>
      <c r="C39" s="232">
        <f>ROUND(C33*F20,0)</f>
        <v>128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148</v>
      </c>
      <c r="D42" s="238"/>
      <c r="E42" s="238"/>
      <c r="F42" s="239"/>
      <c r="G42" s="3677" t="s">
        <v>94</v>
      </c>
    </row>
    <row r="43" spans="1:7" ht="13.5" customHeight="1">
      <c r="A43" s="780" t="s">
        <v>347</v>
      </c>
      <c r="B43" s="215" t="s">
        <v>426</v>
      </c>
      <c r="C43" s="238">
        <f ca="1">ROUND(IF('数据-取费表'!B22&lt;=1,C39*F22*'数据-取费表'!B21/2,C39*(POWER((1+F22),'数据-取费表'!B21/2)-1)),0)</f>
        <v>3</v>
      </c>
      <c r="D43" s="238"/>
      <c r="E43" s="238"/>
      <c r="F43" s="239"/>
      <c r="G43" s="3678"/>
    </row>
    <row r="44" spans="1:7" ht="13.5" customHeight="1">
      <c r="A44" s="780" t="s">
        <v>348</v>
      </c>
      <c r="B44" s="215" t="s">
        <v>428</v>
      </c>
      <c r="C44" s="238">
        <f ca="1">ROUND(IF('数据-取费表'!B22&lt;=1,C40*F22*'数据-取费表'!B21/2,C40*(POWER((1+F22),'数据-取费表'!B21/2)-1)),4)</f>
        <v>5.0000000000000001E-4</v>
      </c>
      <c r="D44" s="238"/>
      <c r="E44" s="238"/>
      <c r="F44" s="239"/>
      <c r="G44" s="3679"/>
    </row>
    <row r="45" spans="1:7" s="214" customFormat="1" ht="13.5" customHeight="1">
      <c r="A45" s="777" t="s">
        <v>341</v>
      </c>
      <c r="B45" s="244" t="s">
        <v>85</v>
      </c>
      <c r="C45" s="245">
        <f>C46</f>
        <v>1173</v>
      </c>
      <c r="D45" s="235">
        <f>C47</f>
        <v>3.5999999999999999E-3</v>
      </c>
      <c r="E45" s="236" t="s">
        <v>102</v>
      </c>
      <c r="F45" s="246"/>
      <c r="G45" s="247" t="s">
        <v>434</v>
      </c>
    </row>
    <row r="46" spans="1:7" s="214" customFormat="1" ht="13.5" customHeight="1">
      <c r="A46" s="780" t="s">
        <v>349</v>
      </c>
      <c r="B46" s="248" t="s">
        <v>427</v>
      </c>
      <c r="C46" s="249">
        <f>ROUND((C33+C39)*F27,0)</f>
        <v>1173</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8073</v>
      </c>
      <c r="D51" s="232"/>
      <c r="E51" s="232"/>
      <c r="F51" s="264"/>
      <c r="G51" s="234" t="s">
        <v>37</v>
      </c>
    </row>
    <row r="52" spans="1:7" s="208" customFormat="1" ht="16.5" thickBot="1">
      <c r="A52" s="265" t="s">
        <v>38</v>
      </c>
      <c r="B52" s="266"/>
      <c r="C52" s="267">
        <f ca="1">C31+C51</f>
        <v>36405</v>
      </c>
      <c r="D52" s="266"/>
      <c r="E52" s="266"/>
      <c r="F52" s="266"/>
      <c r="G52" s="268"/>
    </row>
    <row r="55" spans="1:7" ht="15">
      <c r="B55" s="270" t="s">
        <v>39</v>
      </c>
      <c r="C55" s="271"/>
    </row>
    <row r="56" spans="1:7">
      <c r="B56" s="273" t="s">
        <v>40</v>
      </c>
      <c r="C56" s="274">
        <f ca="1">ROUND(C51/C52,3)</f>
        <v>0.222</v>
      </c>
    </row>
    <row r="57" spans="1:7">
      <c r="B57" s="273" t="s">
        <v>41</v>
      </c>
      <c r="C57" s="275">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5" t="s">
        <v>2837</v>
      </c>
      <c r="B1" s="3815"/>
      <c r="C1" s="3815"/>
      <c r="D1" s="3815"/>
      <c r="E1" s="3815"/>
      <c r="F1" s="3815"/>
      <c r="G1" s="3816"/>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813"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814"/>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7" t="s">
        <v>3179</v>
      </c>
      <c r="B1" s="3817"/>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8" t="s">
        <v>3230</v>
      </c>
      <c r="B1" s="3818"/>
      <c r="C1" s="3818"/>
      <c r="D1" s="3818"/>
      <c r="E1" s="3818"/>
      <c r="F1" s="3819"/>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45645</v>
      </c>
      <c r="B1" s="3206" t="s">
        <v>3378</v>
      </c>
      <c r="C1" s="3207"/>
      <c r="D1" s="3207"/>
      <c r="E1" s="3207"/>
      <c r="F1" s="3207"/>
      <c r="G1" s="3207"/>
      <c r="H1" s="3207"/>
      <c r="I1" s="3207"/>
      <c r="J1" s="3161"/>
      <c r="K1" s="3207" t="s">
        <v>454</v>
      </c>
      <c r="L1" s="3207"/>
      <c r="M1" s="3207"/>
      <c r="N1" s="3207"/>
      <c r="O1" s="3207"/>
      <c r="P1" s="3207"/>
      <c r="Q1" s="3161"/>
      <c r="R1" s="3820" t="s">
        <v>456</v>
      </c>
      <c r="S1" s="3821"/>
      <c r="T1" s="3821"/>
      <c r="U1" s="3821"/>
      <c r="V1" s="3821"/>
      <c r="W1" s="3821"/>
      <c r="X1" s="3161"/>
      <c r="Y1" s="3820" t="s">
        <v>457</v>
      </c>
      <c r="Z1" s="3821"/>
      <c r="AA1" s="3821"/>
      <c r="AB1" s="3821"/>
      <c r="AC1" s="3821"/>
      <c r="AD1" s="3821"/>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3383</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5" t="s">
        <v>3382</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3375</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3371</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3367</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3366</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3364</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3363</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3362</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3360</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3351</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2818</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2819</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2820</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2821</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2822</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3381</v>
      </c>
    </row>
    <row r="24" spans="1:30" s="3005" customFormat="1">
      <c r="I24" s="3204" t="s">
        <v>2823</v>
      </c>
    </row>
    <row r="25" spans="1:30" s="3005" customFormat="1"/>
    <row r="26" spans="1:30" s="3205" customFormat="1" ht="12.75">
      <c r="B26" s="3206" t="s">
        <v>3379</v>
      </c>
      <c r="C26" s="3207"/>
      <c r="D26" s="3207"/>
      <c r="E26" s="3207"/>
      <c r="F26" s="3207"/>
      <c r="G26" s="3207"/>
      <c r="H26" s="3207"/>
      <c r="I26" s="3207"/>
      <c r="J26" s="3161"/>
      <c r="K26" s="3207" t="s">
        <v>2824</v>
      </c>
      <c r="L26" s="3207"/>
      <c r="M26" s="3207"/>
      <c r="N26" s="3207"/>
      <c r="O26" s="3207"/>
      <c r="P26" s="3207"/>
      <c r="Q26" s="3161"/>
      <c r="R26" s="3820" t="s">
        <v>2825</v>
      </c>
      <c r="S26" s="3821"/>
      <c r="T26" s="3821"/>
      <c r="U26" s="3821"/>
      <c r="V26" s="3821"/>
      <c r="W26" s="3821"/>
      <c r="X26" s="3161"/>
      <c r="Y26" s="3820" t="s">
        <v>2826</v>
      </c>
      <c r="Z26" s="3821"/>
      <c r="AA26" s="3821"/>
      <c r="AB26" s="3821"/>
      <c r="AC26" s="3821"/>
      <c r="AD26" s="3821"/>
    </row>
    <row r="27" spans="1:30" s="3139" customFormat="1" ht="14.25" thickBot="1">
      <c r="B27" s="3140"/>
      <c r="C27" s="3141"/>
      <c r="D27" s="3142" t="s">
        <v>2827</v>
      </c>
      <c r="E27" s="3143" t="s">
        <v>2828</v>
      </c>
      <c r="F27" s="3143" t="s">
        <v>2829</v>
      </c>
      <c r="G27" s="3143" t="s">
        <v>2830</v>
      </c>
      <c r="H27" s="3143"/>
      <c r="I27" s="3143" t="s">
        <v>2831</v>
      </c>
      <c r="J27" s="3144"/>
      <c r="K27" s="3142" t="s">
        <v>2827</v>
      </c>
      <c r="L27" s="3143" t="s">
        <v>2828</v>
      </c>
      <c r="M27" s="3143" t="s">
        <v>2829</v>
      </c>
      <c r="N27" s="3143" t="s">
        <v>2830</v>
      </c>
      <c r="O27" s="3143"/>
      <c r="P27" s="3143" t="s">
        <v>2831</v>
      </c>
      <c r="Q27" s="3144"/>
      <c r="R27" s="3142" t="s">
        <v>2827</v>
      </c>
      <c r="S27" s="3143" t="s">
        <v>2828</v>
      </c>
      <c r="T27" s="3143" t="s">
        <v>2829</v>
      </c>
      <c r="U27" s="3143" t="s">
        <v>2830</v>
      </c>
      <c r="V27" s="3143"/>
      <c r="W27" s="3143" t="s">
        <v>2831</v>
      </c>
      <c r="X27" s="3144"/>
      <c r="Y27" s="3142" t="s">
        <v>2827</v>
      </c>
      <c r="Z27" s="3143" t="s">
        <v>2828</v>
      </c>
      <c r="AA27" s="3143" t="s">
        <v>2829</v>
      </c>
      <c r="AB27" s="3143" t="s">
        <v>2830</v>
      </c>
      <c r="AC27" s="3143"/>
      <c r="AD27" s="3143" t="s">
        <v>2831</v>
      </c>
    </row>
    <row r="28" spans="1:30" s="3157" customFormat="1" ht="12.75">
      <c r="A28" s="3145" t="s">
        <v>2832</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5" t="s">
        <v>3374</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3376</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5" t="s">
        <v>3369</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3377</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3370</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3368</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3366</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3365</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3363</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3362</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3361</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3351</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2833</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2834</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2835</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2836</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2822</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45586</v>
      </c>
      <c r="D13" s="2818">
        <v>3.1</v>
      </c>
      <c r="E13" s="2818">
        <f>D13</f>
        <v>3.1</v>
      </c>
      <c r="F13" s="2818">
        <f>D13</f>
        <v>3.1</v>
      </c>
      <c r="G13" s="2818">
        <f>D13</f>
        <v>3.1</v>
      </c>
      <c r="H13" s="281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45495</v>
      </c>
      <c r="D14" s="2813">
        <v>3.35</v>
      </c>
      <c r="E14" s="2813">
        <f>D14</f>
        <v>3.35</v>
      </c>
      <c r="F14" s="2813">
        <f>D14</f>
        <v>3.35</v>
      </c>
      <c r="G14" s="2813">
        <f>D14</f>
        <v>3.35</v>
      </c>
      <c r="H14" s="2813">
        <v>3.85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45342</v>
      </c>
      <c r="D15" s="2813">
        <v>3.45</v>
      </c>
      <c r="E15" s="2813">
        <f>D15</f>
        <v>3.45</v>
      </c>
      <c r="F15" s="2813">
        <f>D15</f>
        <v>3.45</v>
      </c>
      <c r="G15" s="2813">
        <f>D15</f>
        <v>3.45</v>
      </c>
      <c r="H15" s="2813">
        <v>3.95</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45159</v>
      </c>
      <c r="D16" s="2813">
        <v>3.45</v>
      </c>
      <c r="E16" s="2813">
        <f>D16</f>
        <v>3.45</v>
      </c>
      <c r="F16" s="2813">
        <f>D16</f>
        <v>3.45</v>
      </c>
      <c r="G16" s="2813">
        <f>D16</f>
        <v>3.45</v>
      </c>
      <c r="H16" s="2813">
        <v>4.2</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45097</v>
      </c>
      <c r="D17" s="2813">
        <v>3.55</v>
      </c>
      <c r="E17" s="2813">
        <f>D17</f>
        <v>3.55</v>
      </c>
      <c r="F17" s="2813">
        <f>D17</f>
        <v>3.55</v>
      </c>
      <c r="G17" s="2813">
        <f>D17</f>
        <v>3.55</v>
      </c>
      <c r="H17" s="2813">
        <v>4.2</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2"/>
      <c r="C19" s="2814">
        <v>44701</v>
      </c>
      <c r="D19" s="2813">
        <v>3.7</v>
      </c>
      <c r="E19" s="2813">
        <f>D19</f>
        <v>3.7</v>
      </c>
      <c r="F19" s="2813">
        <f>D19</f>
        <v>3.7</v>
      </c>
      <c r="G19" s="2813">
        <f>D19</f>
        <v>3.7</v>
      </c>
      <c r="H19" s="2813">
        <v>4.45</v>
      </c>
      <c r="I19" s="2818"/>
      <c r="J19" s="281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4">
        <v>44581</v>
      </c>
      <c r="D20" s="2813">
        <v>3.7</v>
      </c>
      <c r="E20" s="2813">
        <f>D20</f>
        <v>3.7</v>
      </c>
      <c r="F20" s="2813">
        <f>D20</f>
        <v>3.7</v>
      </c>
      <c r="G20" s="2813">
        <f>D20</f>
        <v>3.7</v>
      </c>
      <c r="H20" s="2813">
        <v>4.5999999999999996</v>
      </c>
      <c r="I20" s="2818"/>
      <c r="J20" s="281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44550</v>
      </c>
      <c r="D21" s="2813">
        <v>3.8</v>
      </c>
      <c r="E21" s="2813">
        <f>D21</f>
        <v>3.8</v>
      </c>
      <c r="F21" s="2813">
        <f>D21</f>
        <v>3.8</v>
      </c>
      <c r="G21" s="2813">
        <f>D21</f>
        <v>3.8</v>
      </c>
      <c r="H21" s="2813">
        <v>4.6500000000000004</v>
      </c>
      <c r="I21" s="2813"/>
      <c r="J21" s="281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43941</v>
      </c>
      <c r="D22" s="2813">
        <v>3.85</v>
      </c>
      <c r="E22" s="2813">
        <v>3.85</v>
      </c>
      <c r="F22" s="2813">
        <v>3.85</v>
      </c>
      <c r="G22" s="2813">
        <v>3.85</v>
      </c>
      <c r="H22" s="2813">
        <v>4.6500000000000004</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3"/>
      <c r="C23" s="2814">
        <v>43881</v>
      </c>
      <c r="D23" s="2813">
        <v>4.05</v>
      </c>
      <c r="E23" s="2813">
        <v>4.05</v>
      </c>
      <c r="F23" s="2813">
        <v>4.05</v>
      </c>
      <c r="G23" s="2813">
        <v>4.05</v>
      </c>
      <c r="H23" s="2813">
        <v>4.75</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3"/>
      <c r="C24" s="2814">
        <v>43789</v>
      </c>
      <c r="D24" s="2813">
        <v>4.1500000000000004</v>
      </c>
      <c r="E24" s="2813">
        <v>4.1500000000000004</v>
      </c>
      <c r="F24" s="2813">
        <v>4.1500000000000004</v>
      </c>
      <c r="G24" s="2813">
        <v>4.1500000000000004</v>
      </c>
      <c r="H24" s="2813">
        <v>4.8</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3"/>
      <c r="C25" s="2814">
        <v>43728</v>
      </c>
      <c r="D25" s="2813">
        <v>4.2</v>
      </c>
      <c r="E25" s="2813">
        <v>4.2</v>
      </c>
      <c r="F25" s="2813">
        <v>4.2</v>
      </c>
      <c r="G25" s="2813">
        <v>4.2</v>
      </c>
      <c r="H25" s="2813">
        <v>4.8499999999999996</v>
      </c>
      <c r="I25" s="2813"/>
      <c r="J25" s="281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2" t="s">
        <v>2307</v>
      </c>
      <c r="C26" s="2815">
        <v>43697</v>
      </c>
      <c r="D26" s="2816">
        <v>4.25</v>
      </c>
      <c r="E26" s="2816">
        <v>4.25</v>
      </c>
      <c r="F26" s="2816">
        <v>4.25</v>
      </c>
      <c r="G26" s="2816">
        <v>4.25</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0"/>
      <c r="C27" s="2821">
        <v>42301</v>
      </c>
      <c r="D27" s="2822">
        <v>4.3499999999999996</v>
      </c>
      <c r="E27" s="2822">
        <v>4.3499999999999996</v>
      </c>
      <c r="F27" s="2822">
        <v>4.75</v>
      </c>
      <c r="G27" s="2822">
        <v>4.75</v>
      </c>
      <c r="H27" s="2822">
        <v>4.9000000000000004</v>
      </c>
      <c r="I27" s="2822"/>
      <c r="J27" s="282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504"/>
      <c r="B3" s="3504"/>
      <c r="C3" s="3504"/>
      <c r="D3" s="854" t="s">
        <v>925</v>
      </c>
      <c r="E3" s="854" t="s">
        <v>931</v>
      </c>
      <c r="F3" s="854" t="s">
        <v>925</v>
      </c>
      <c r="G3" s="854" t="s">
        <v>926</v>
      </c>
      <c r="H3" s="854" t="s">
        <v>925</v>
      </c>
      <c r="I3" s="854" t="s">
        <v>926</v>
      </c>
    </row>
    <row r="4" spans="1:9" ht="15">
      <c r="A4" s="1505" t="str">
        <f>项目基本情况!S2</f>
        <v>北京市石景山区五里坨西街11号院1号楼房地产</v>
      </c>
      <c r="B4" s="854">
        <f>项目基本情况!C17</f>
        <v>14258.28</v>
      </c>
      <c r="C4" s="854">
        <f>项目基本情况!C18</f>
        <v>0</v>
      </c>
      <c r="D4" s="854">
        <f ca="1">结果表!D118</f>
        <v>14404</v>
      </c>
      <c r="E4" s="854">
        <f ca="1">结果表!E118</f>
        <v>10103</v>
      </c>
      <c r="F4" s="854">
        <f ca="1">结果表!F118</f>
        <v>6501</v>
      </c>
      <c r="G4" s="854">
        <f ca="1">结果表!G118</f>
        <v>4559</v>
      </c>
      <c r="H4" s="854">
        <f ca="1">结果表!H118</f>
        <v>20905</v>
      </c>
      <c r="I4" s="854">
        <f ca="1">结果表!I118</f>
        <v>14662</v>
      </c>
    </row>
    <row r="5" spans="1:9" ht="30" customHeight="1">
      <c r="A5" s="3504" t="s">
        <v>927</v>
      </c>
      <c r="B5" s="3504"/>
      <c r="C5" s="3504"/>
      <c r="D5" s="3504" t="str">
        <f ca="1">结果表!D119</f>
        <v>壹亿肆仟肆佰零肆万元整</v>
      </c>
      <c r="E5" s="3504"/>
      <c r="F5" s="3504" t="str">
        <f ca="1">结果表!F119</f>
        <v>陆仟伍佰零壹万元整</v>
      </c>
      <c r="G5" s="3504"/>
      <c r="H5" s="3504" t="str">
        <f ca="1">结果表!H119</f>
        <v>贰亿零玖佰零伍万元整</v>
      </c>
      <c r="I5" s="3504"/>
    </row>
    <row r="6" spans="1:9" ht="15.75">
      <c r="A6" s="3505" t="str">
        <f>结果表!A120</f>
        <v>估价师知悉的法定优先受偿款</v>
      </c>
      <c r="B6" s="3505"/>
      <c r="C6" s="3505"/>
      <c r="D6" s="3505">
        <f>结果表!D120</f>
        <v>0</v>
      </c>
      <c r="E6" s="3505"/>
      <c r="F6" s="3505"/>
      <c r="G6" s="3505"/>
      <c r="H6" s="3505"/>
      <c r="I6" s="3505"/>
    </row>
    <row r="7" spans="1:9" ht="15">
      <c r="A7" s="3504" t="s">
        <v>927</v>
      </c>
      <c r="B7" s="3504"/>
      <c r="C7" s="3504"/>
      <c r="D7" s="3506" t="str">
        <f>结果表!D121</f>
        <v>零元整</v>
      </c>
      <c r="E7" s="3507"/>
      <c r="F7" s="3507"/>
      <c r="G7" s="3507"/>
      <c r="H7" s="3507"/>
      <c r="I7" s="3508"/>
    </row>
    <row r="8" spans="1:9" ht="15.75">
      <c r="A8" s="3505" t="str">
        <f>结果表!A122</f>
        <v>房地产抵押价值</v>
      </c>
      <c r="B8" s="3505"/>
      <c r="C8" s="3505"/>
      <c r="D8" s="3505">
        <f ca="1">结果表!D122</f>
        <v>20905</v>
      </c>
      <c r="E8" s="3505"/>
      <c r="F8" s="3505"/>
      <c r="G8" s="3505"/>
      <c r="H8" s="3505"/>
      <c r="I8" s="3505"/>
    </row>
    <row r="9" spans="1:9" ht="15">
      <c r="A9" s="3504" t="s">
        <v>927</v>
      </c>
      <c r="B9" s="3504"/>
      <c r="C9" s="3504"/>
      <c r="D9" s="3504" t="str">
        <f ca="1">结果表!D123</f>
        <v>贰亿零玖佰零伍万元整</v>
      </c>
      <c r="E9" s="3504"/>
      <c r="F9" s="3504"/>
      <c r="G9" s="3504"/>
      <c r="H9" s="3504"/>
      <c r="I9" s="3504"/>
    </row>
    <row r="10" spans="1:9" ht="15.75">
      <c r="A10" s="3505" t="str">
        <f>结果表!A124</f>
        <v/>
      </c>
      <c r="B10" s="3505"/>
      <c r="C10" s="3505"/>
      <c r="D10" s="3505" t="str">
        <f>结果表!D124</f>
        <v>——</v>
      </c>
      <c r="E10" s="3505"/>
      <c r="F10" s="3505"/>
      <c r="G10" s="3505"/>
      <c r="H10" s="3505"/>
      <c r="I10" s="3505"/>
    </row>
    <row r="11" spans="1:9" ht="15">
      <c r="A11" s="3504" t="s">
        <v>927</v>
      </c>
      <c r="B11" s="3504"/>
      <c r="C11" s="3504"/>
      <c r="D11" s="3504" t="e">
        <f>结果表!D125</f>
        <v>#VALUE!</v>
      </c>
      <c r="E11" s="3504"/>
      <c r="F11" s="3504"/>
      <c r="G11" s="3504"/>
      <c r="H11" s="3504"/>
      <c r="I11" s="3504"/>
    </row>
    <row r="12" spans="1:9" ht="15.75">
      <c r="A12" s="3505" t="str">
        <f>结果表!A126</f>
        <v>抵押净值</v>
      </c>
      <c r="B12" s="3505"/>
      <c r="C12" s="3505"/>
      <c r="D12" s="3505">
        <f ca="1">结果表!D126</f>
        <v>18785</v>
      </c>
      <c r="E12" s="3505"/>
      <c r="F12" s="3505"/>
      <c r="G12" s="3505"/>
      <c r="H12" s="3505"/>
      <c r="I12" s="3505"/>
    </row>
    <row r="13" spans="1:9" ht="15.75" thickBot="1">
      <c r="A13" s="3509" t="s">
        <v>927</v>
      </c>
      <c r="B13" s="3509"/>
      <c r="C13" s="3509"/>
      <c r="D13" s="3509" t="str">
        <f ca="1">结果表!D127</f>
        <v>壹亿捌仟柒佰捌拾伍万元整</v>
      </c>
      <c r="E13" s="3509"/>
      <c r="F13" s="3509"/>
      <c r="G13" s="3509"/>
      <c r="H13" s="3509"/>
      <c r="I13" s="3509"/>
    </row>
    <row r="14" spans="1:9" ht="15" thickTop="1">
      <c r="A14" s="3510" t="s">
        <v>932</v>
      </c>
      <c r="B14" s="3510"/>
      <c r="C14" s="3510"/>
      <c r="D14" s="3510"/>
      <c r="E14" s="3510"/>
      <c r="F14" s="3510"/>
      <c r="G14" s="3510"/>
      <c r="H14" s="3510"/>
      <c r="I14" s="351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4" t="str">
        <f>IF(项目基本情况!B8="抵押","4.本次评估估价师所知悉的法定优先受偿款情况说明如下：","——")</f>
        <v>4.本次评估估价师所知悉的法定优先受偿款情况说明如下：</v>
      </c>
      <c r="B14" s="3515"/>
      <c r="C14" s="3515"/>
      <c r="D14" s="3515"/>
    </row>
    <row r="15" spans="1:4" ht="42" customHeight="1">
      <c r="A15" s="35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7" t="s">
        <v>943</v>
      </c>
      <c r="B16" s="3517"/>
      <c r="C16" s="3517"/>
      <c r="D16" s="3517"/>
    </row>
    <row r="17" spans="1:4" ht="144" customHeight="1">
      <c r="A17" s="3517" t="s">
        <v>944</v>
      </c>
      <c r="B17" s="3517"/>
      <c r="C17" s="3517"/>
      <c r="D17" s="3517"/>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6">
        <v>42551</v>
      </c>
      <c r="D31" s="35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5" t="s">
        <v>956</v>
      </c>
      <c r="B15" s="3520" t="s">
        <v>109</v>
      </c>
      <c r="C15" s="3521"/>
    </row>
    <row r="16" spans="1:7" ht="13.5">
      <c r="A16" s="3526"/>
      <c r="B16" s="3520" t="s">
        <v>42</v>
      </c>
      <c r="C16" s="3521"/>
    </row>
    <row r="17" spans="1:3" ht="13.5">
      <c r="A17" s="3526"/>
      <c r="B17" s="3523" t="s">
        <v>957</v>
      </c>
      <c r="C17" s="1532" t="s">
        <v>956</v>
      </c>
    </row>
    <row r="18" spans="1:3" ht="13.5">
      <c r="A18" s="3526"/>
      <c r="B18" s="3523"/>
      <c r="C18" s="1532" t="s">
        <v>958</v>
      </c>
    </row>
    <row r="19" spans="1:3" ht="13.5">
      <c r="A19" s="3526"/>
      <c r="B19" s="3523"/>
      <c r="C19" s="1532" t="s">
        <v>959</v>
      </c>
    </row>
    <row r="20" spans="1:3" ht="13.5">
      <c r="A20" s="3527"/>
      <c r="B20" s="3522" t="s">
        <v>960</v>
      </c>
      <c r="C20" s="3521"/>
    </row>
    <row r="21" spans="1:3" ht="13.5">
      <c r="A21" s="1533" t="s">
        <v>961</v>
      </c>
      <c r="B21" s="1534"/>
      <c r="C21" s="1535"/>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2" t="s">
        <v>967</v>
      </c>
    </row>
    <row r="26" spans="1:3" ht="13.5">
      <c r="A26" s="3524"/>
      <c r="B26" s="3523"/>
      <c r="C26" s="1532" t="s">
        <v>968</v>
      </c>
    </row>
    <row r="27" spans="1:3" ht="13.5">
      <c r="A27" s="3524"/>
      <c r="B27" s="3523"/>
      <c r="C27" s="1532" t="s">
        <v>969</v>
      </c>
    </row>
    <row r="28" spans="1:3" ht="13.5">
      <c r="A28" s="3524"/>
      <c r="B28" s="3523"/>
      <c r="C28" s="1532" t="s">
        <v>970</v>
      </c>
    </row>
    <row r="29" spans="1:3" ht="13.5">
      <c r="A29" s="3524"/>
      <c r="B29" s="3523"/>
      <c r="C29" s="1532" t="s">
        <v>971</v>
      </c>
    </row>
    <row r="30" spans="1:3" ht="13.5">
      <c r="A30" s="3524"/>
      <c r="B30" s="3523"/>
      <c r="C30" s="1532" t="s">
        <v>972</v>
      </c>
    </row>
    <row r="31" spans="1:3" ht="13.5">
      <c r="A31" s="3524"/>
      <c r="B31" s="3523"/>
      <c r="C31" s="1532" t="s">
        <v>973</v>
      </c>
    </row>
    <row r="32" spans="1:3" ht="13.5">
      <c r="A32" s="3524"/>
      <c r="B32" s="3523"/>
      <c r="C32" s="1532" t="s">
        <v>974</v>
      </c>
    </row>
    <row r="33" spans="1:3" ht="13.5">
      <c r="A33" s="3524"/>
      <c r="B33" s="352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8" t="s">
        <v>2160</v>
      </c>
      <c r="B17" s="3528"/>
      <c r="C17" s="3528"/>
      <c r="D17" s="3528"/>
      <c r="E17" s="3528"/>
      <c r="F17" s="3528"/>
      <c r="G17" s="3528"/>
      <c r="H17" s="3528"/>
    </row>
    <row r="18" spans="1:8" ht="24" customHeight="1">
      <c r="A18" s="3529" t="s">
        <v>2161</v>
      </c>
      <c r="B18" s="3529"/>
      <c r="C18" s="3529"/>
      <c r="D18" s="2343"/>
      <c r="E18" s="3530" t="s">
        <v>2162</v>
      </c>
      <c r="F18" s="3529"/>
      <c r="G18" s="352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 (元)</vt:lpstr>
      <vt:lpstr>收益法-酒店模型</vt:lpstr>
      <vt:lpstr>收益法（汇总）</vt:lpstr>
      <vt:lpstr>收益法</vt:lpstr>
      <vt:lpstr>收益法-1</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2024-12-23T03:20:53Z</dcterms:modified>
</cp:coreProperties>
</file>