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L52" i="67"/>
  <c r="J52" i="67"/>
  <c r="Q51" i="67"/>
  <c r="L50" i="67"/>
  <c r="J50" i="67"/>
  <c r="J51" i="67" s="1"/>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E9" i="68"/>
  <c r="D9" i="68"/>
  <c r="C9" i="68" s="1"/>
  <c r="C8" i="68"/>
  <c r="F7" i="68"/>
  <c r="C7" i="68"/>
  <c r="C5"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K26" i="1"/>
  <c r="B24" i="1"/>
  <c r="B23" i="1"/>
  <c r="K22" i="1"/>
  <c r="J22" i="1"/>
  <c r="B22" i="1"/>
  <c r="O21" i="1"/>
  <c r="O20" i="1"/>
  <c r="O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2" i="49"/>
  <c r="F14" i="49" s="1"/>
  <c r="H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D19" i="53"/>
  <c r="D20" i="53" s="1"/>
  <c r="B40"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D2" i="36"/>
  <c r="F37" i="67"/>
  <c r="F35" i="67"/>
  <c r="M27" i="67"/>
  <c r="F26" i="67"/>
  <c r="M23" i="67"/>
  <c r="M21" i="67"/>
  <c r="J15" i="67"/>
  <c r="M9" i="67"/>
  <c r="F6" i="67"/>
  <c r="F37" i="15"/>
  <c r="F35" i="15"/>
  <c r="M27" i="15"/>
  <c r="F26" i="15"/>
  <c r="M23" i="15"/>
  <c r="F6" i="73"/>
  <c r="F4" i="73"/>
  <c r="B12" i="76"/>
  <c r="B10" i="76"/>
  <c r="B8" i="76"/>
  <c r="B6" i="76"/>
  <c r="F20" i="31"/>
  <c r="D2" i="37"/>
  <c r="C76" i="67"/>
  <c r="F42" i="67"/>
  <c r="M28" i="67"/>
  <c r="M22" i="67"/>
  <c r="F9" i="67"/>
  <c r="F7" i="67"/>
  <c r="C76" i="15"/>
  <c r="F42" i="15"/>
  <c r="M28" i="15"/>
  <c r="M22" i="15"/>
  <c r="F9" i="15"/>
  <c r="F7" i="15"/>
  <c r="D6" i="73"/>
  <c r="D4" i="73"/>
  <c r="E13" i="76"/>
  <c r="E11" i="76"/>
  <c r="E9" i="76"/>
  <c r="E7" i="76"/>
  <c r="D2" i="21"/>
  <c r="L48" i="67"/>
  <c r="L47" i="67"/>
  <c r="F38" i="67"/>
  <c r="F36" i="67"/>
  <c r="M29" i="67"/>
  <c r="M26" i="67"/>
  <c r="F16" i="67"/>
  <c r="F13" i="67"/>
  <c r="M8" i="67"/>
  <c r="M6" i="67"/>
  <c r="F7" i="73"/>
  <c r="F5" i="73"/>
  <c r="F3" i="73"/>
  <c r="B13" i="76"/>
  <c r="B11" i="76"/>
  <c r="B9" i="76"/>
  <c r="B7" i="76"/>
  <c r="D2" i="35"/>
  <c r="D2" i="34"/>
  <c r="D2" i="33"/>
  <c r="F43" i="67"/>
  <c r="F40" i="67"/>
  <c r="M24" i="67"/>
  <c r="F8" i="67"/>
  <c r="L48" i="15"/>
  <c r="L47" i="15"/>
  <c r="F43" i="15"/>
  <c r="F40" i="15"/>
  <c r="M24" i="15"/>
  <c r="F36" i="15"/>
  <c r="M21" i="15"/>
  <c r="M8" i="15"/>
  <c r="C36" i="69"/>
  <c r="D9" i="69"/>
  <c r="E2" i="69"/>
  <c r="AO13" i="1"/>
  <c r="AO9" i="1"/>
  <c r="M26" i="15"/>
  <c r="J15" i="15"/>
  <c r="C14" i="15"/>
  <c r="F8" i="15"/>
  <c r="F6" i="15"/>
  <c r="D10" i="69"/>
  <c r="AO10" i="1"/>
  <c r="F41" i="15"/>
  <c r="M29" i="15"/>
  <c r="F13" i="15"/>
  <c r="F27" i="69"/>
  <c r="E2" i="68"/>
  <c r="AO11" i="1"/>
  <c r="AO7" i="1"/>
  <c r="F38" i="15"/>
  <c r="F16" i="15"/>
  <c r="M9" i="15"/>
  <c r="M6" i="15"/>
  <c r="C34" i="69"/>
  <c r="AO12" i="1"/>
  <c r="AO8" i="1"/>
  <c r="B6" i="49" l="1"/>
  <c r="D6" i="49" s="1"/>
  <c r="B10" i="49"/>
  <c r="D10" i="49" s="1"/>
  <c r="B4" i="49"/>
  <c r="D4" i="49" s="1"/>
  <c r="B12" i="49"/>
  <c r="D12" i="49" s="1"/>
  <c r="B8" i="49"/>
  <c r="D8" i="49" s="1"/>
  <c r="C18" i="12"/>
  <c r="B5" i="49"/>
  <c r="D5" i="49" s="1"/>
  <c r="B9" i="49"/>
  <c r="D9" i="49" s="1"/>
  <c r="B13" i="49"/>
  <c r="D13" i="49" s="1"/>
  <c r="C14" i="12"/>
  <c r="B7" i="49"/>
  <c r="D7" i="49" s="1"/>
  <c r="B11" i="49"/>
  <c r="D11" i="49" s="1"/>
  <c r="C47" i="68"/>
  <c r="D45" i="68" s="1"/>
  <c r="R16" i="1"/>
  <c r="D19" i="68"/>
  <c r="B8" i="70"/>
  <c r="B12" i="70"/>
  <c r="C35" i="69"/>
  <c r="C38" i="69"/>
  <c r="F66" i="15"/>
  <c r="B7" i="70"/>
  <c r="B11" i="70"/>
  <c r="F45" i="69"/>
  <c r="C29" i="69"/>
  <c r="D27" i="69" s="1"/>
  <c r="C47" i="69"/>
  <c r="D45" i="69" s="1"/>
  <c r="F69" i="15"/>
  <c r="B10" i="70"/>
  <c r="C10" i="69"/>
  <c r="C6" i="15"/>
  <c r="F31" i="15"/>
  <c r="F51" i="15"/>
  <c r="C18" i="15"/>
  <c r="C15" i="15"/>
  <c r="B9" i="70"/>
  <c r="B13" i="70"/>
  <c r="C9" i="69"/>
  <c r="D19" i="69"/>
  <c r="D37" i="69" s="1"/>
  <c r="C37" i="69" s="1"/>
  <c r="J20" i="15"/>
  <c r="F64" i="15"/>
  <c r="F68" i="15"/>
  <c r="F71" i="15"/>
  <c r="N59" i="15"/>
  <c r="L58" i="15"/>
  <c r="M59" i="15"/>
  <c r="L59" i="15"/>
  <c r="I54" i="15"/>
  <c r="J57" i="15"/>
  <c r="J55" i="15" s="1"/>
  <c r="J58" i="15" s="1"/>
  <c r="Q50" i="15" s="1"/>
  <c r="J53" i="15"/>
  <c r="L56" i="15" s="1"/>
  <c r="F51" i="67"/>
  <c r="F68" i="67"/>
  <c r="F71" i="67"/>
  <c r="M3" i="35"/>
  <c r="F64" i="67"/>
  <c r="F66" i="67"/>
  <c r="N59" i="67"/>
  <c r="L58" i="67"/>
  <c r="M59" i="67"/>
  <c r="L59" i="67"/>
  <c r="I54" i="67"/>
  <c r="L57" i="67"/>
  <c r="L56" i="67"/>
  <c r="J57" i="67"/>
  <c r="J55" i="67" s="1"/>
  <c r="J58" i="67" s="1"/>
  <c r="Q50" i="67" s="1"/>
  <c r="J53" i="67"/>
  <c r="F50" i="15"/>
  <c r="M7" i="15"/>
  <c r="M17" i="15" s="1"/>
  <c r="Q71" i="15"/>
  <c r="M7" i="67"/>
  <c r="M17" i="67" s="1"/>
  <c r="F50" i="67"/>
  <c r="Q71" i="67"/>
  <c r="B20" i="31"/>
  <c r="B21" i="31" s="1"/>
  <c r="B2" i="76"/>
  <c r="I1" i="73"/>
  <c r="B39" i="1" s="1"/>
  <c r="C27" i="15"/>
  <c r="F63" i="15"/>
  <c r="C62" i="15" s="1"/>
  <c r="C34" i="15"/>
  <c r="F65" i="15"/>
  <c r="C6" i="67"/>
  <c r="F31" i="67"/>
  <c r="J20" i="67"/>
  <c r="C27" i="67"/>
  <c r="C34" i="67"/>
  <c r="F63" i="67"/>
  <c r="C62" i="67" s="1"/>
  <c r="F65" i="67"/>
  <c r="E2" i="76"/>
  <c r="K1" i="73"/>
  <c r="D17" i="53"/>
  <c r="B36" i="72" s="1"/>
  <c r="B38" i="72"/>
  <c r="D127" i="9"/>
  <c r="D13" i="52" s="1"/>
  <c r="D12" i="52"/>
  <c r="C19" i="68"/>
  <c r="C20" i="68" s="1"/>
  <c r="D37" i="68"/>
  <c r="C37" i="68" s="1"/>
  <c r="F15" i="49"/>
  <c r="H15" i="49" s="1"/>
  <c r="C29" i="68"/>
  <c r="D27" i="68" s="1"/>
  <c r="C15" i="12"/>
  <c r="D17" i="12"/>
  <c r="C17" i="12" s="1"/>
  <c r="F4" i="49"/>
  <c r="H4" i="49" s="1"/>
  <c r="F5" i="49"/>
  <c r="H5" i="49" s="1"/>
  <c r="F6" i="49"/>
  <c r="H6" i="49" s="1"/>
  <c r="F7" i="49"/>
  <c r="H7" i="49" s="1"/>
  <c r="F8" i="49"/>
  <c r="H8" i="49" s="1"/>
  <c r="F9" i="49"/>
  <c r="H9" i="49" s="1"/>
  <c r="F10" i="49"/>
  <c r="H10" i="49" s="1"/>
  <c r="F11" i="49"/>
  <c r="H11" i="49" s="1"/>
  <c r="F12" i="49"/>
  <c r="H12" i="49" s="1"/>
  <c r="F13" i="49"/>
  <c r="H13" i="49" s="1"/>
  <c r="C34" i="68"/>
  <c r="C12" i="12"/>
  <c r="C10" i="68"/>
  <c r="C14" i="67"/>
  <c r="G1" i="73"/>
  <c r="C16" i="67"/>
  <c r="C16" i="15"/>
  <c r="C17" i="15"/>
  <c r="C17" i="67"/>
  <c r="F59" i="15" l="1"/>
  <c r="C33" i="69"/>
  <c r="C16" i="12"/>
  <c r="C21" i="12" s="1"/>
  <c r="C22" i="12" s="1"/>
  <c r="C30" i="12" s="1"/>
  <c r="C28" i="12" s="1"/>
  <c r="C8" i="69"/>
  <c r="C5" i="69" s="1"/>
  <c r="C20" i="69" s="1"/>
  <c r="C28" i="69" s="1"/>
  <c r="C27" i="69" s="1"/>
  <c r="F59" i="67"/>
  <c r="L60" i="67"/>
  <c r="Q57" i="67" s="1"/>
  <c r="B40" i="1"/>
  <c r="C18" i="67"/>
  <c r="C15" i="67"/>
  <c r="C39" i="69"/>
  <c r="C46" i="69" s="1"/>
  <c r="C45" i="69" s="1"/>
  <c r="C19" i="15"/>
  <c r="C33" i="67"/>
  <c r="C32" i="67"/>
  <c r="C28" i="68"/>
  <c r="C27" i="68" s="1"/>
  <c r="Q52" i="67"/>
  <c r="F1" i="67"/>
  <c r="Q74" i="67"/>
  <c r="Q61" i="67"/>
  <c r="Q74" i="15"/>
  <c r="Q61" i="15"/>
  <c r="C49" i="15"/>
  <c r="J6" i="15"/>
  <c r="M11" i="67"/>
  <c r="J10" i="67" s="1"/>
  <c r="F11" i="67"/>
  <c r="C53" i="67" s="1"/>
  <c r="F11" i="15"/>
  <c r="M11" i="15"/>
  <c r="J10" i="15" s="1"/>
  <c r="Q73" i="67"/>
  <c r="Q60" i="67"/>
  <c r="J6" i="67"/>
  <c r="C49" i="67"/>
  <c r="Q73" i="15"/>
  <c r="Q60" i="15"/>
  <c r="C33" i="15"/>
  <c r="C32" i="15"/>
  <c r="C35" i="68"/>
  <c r="C38" i="68"/>
  <c r="B3" i="76"/>
  <c r="Q52" i="15"/>
  <c r="F1" i="15"/>
  <c r="AE6" i="1"/>
  <c r="F41" i="67" s="1"/>
  <c r="C19" i="67" l="1"/>
  <c r="Q66" i="67"/>
  <c r="C33" i="68"/>
  <c r="C39" i="68" s="1"/>
  <c r="C46" i="68" s="1"/>
  <c r="C45" i="68" s="1"/>
  <c r="F69" i="67"/>
  <c r="C20" i="67"/>
  <c r="C26" i="67" s="1"/>
  <c r="C10" i="67"/>
  <c r="C5" i="67" s="1"/>
  <c r="J18" i="67"/>
  <c r="J5" i="67"/>
  <c r="J19" i="67"/>
  <c r="C53" i="15"/>
  <c r="C48" i="15" s="1"/>
  <c r="C10" i="15"/>
  <c r="C5" i="15" s="1"/>
  <c r="C31" i="15"/>
  <c r="C61" i="67"/>
  <c r="C48" i="67"/>
  <c r="J18" i="15"/>
  <c r="J19" i="15"/>
  <c r="J5" i="15"/>
  <c r="C31" i="67"/>
  <c r="C61" i="15"/>
  <c r="C20" i="15"/>
  <c r="C26" i="15" s="1"/>
  <c r="F24" i="67"/>
  <c r="C24" i="67" s="1"/>
  <c r="F24" i="15"/>
  <c r="C24" i="15" s="1"/>
  <c r="F22" i="11"/>
  <c r="L36" i="43"/>
  <c r="F25" i="12"/>
  <c r="F22" i="68"/>
  <c r="F22" i="69"/>
  <c r="C43" i="69" s="1"/>
  <c r="C42" i="68" l="1"/>
  <c r="J17" i="15"/>
  <c r="O36" i="43"/>
  <c r="N36" i="43"/>
  <c r="Q36" i="43"/>
  <c r="M36" i="43"/>
  <c r="L37" i="43"/>
  <c r="P36" i="43"/>
  <c r="J24" i="15"/>
  <c r="J26" i="15"/>
  <c r="J29" i="15" s="1"/>
  <c r="C38" i="15"/>
  <c r="J17" i="67"/>
  <c r="C23" i="67"/>
  <c r="C29" i="67" s="1"/>
  <c r="J59" i="67" s="1"/>
  <c r="J60" i="67" s="1"/>
  <c r="C23" i="15"/>
  <c r="C29" i="15" s="1"/>
  <c r="C26" i="12"/>
  <c r="D25" i="12" s="1"/>
  <c r="C27" i="12"/>
  <c r="C25" i="12" s="1"/>
  <c r="C26" i="69"/>
  <c r="D22" i="69" s="1"/>
  <c r="C44" i="69"/>
  <c r="D41" i="69" s="1"/>
  <c r="F41" i="69"/>
  <c r="C24" i="69"/>
  <c r="C42" i="69"/>
  <c r="C41" i="69" s="1"/>
  <c r="C23" i="69"/>
  <c r="C42" i="11"/>
  <c r="C24" i="11"/>
  <c r="C23" i="11"/>
  <c r="C44" i="11"/>
  <c r="D41" i="11" s="1"/>
  <c r="C26" i="11"/>
  <c r="D22" i="11" s="1"/>
  <c r="C43" i="11"/>
  <c r="C25" i="11"/>
  <c r="C66" i="15"/>
  <c r="C60" i="15"/>
  <c r="C59" i="15" s="1"/>
  <c r="C25" i="69"/>
  <c r="C38" i="67"/>
  <c r="C26" i="68"/>
  <c r="D22" i="68" s="1"/>
  <c r="C44" i="68"/>
  <c r="D41" i="68" s="1"/>
  <c r="F41" i="68"/>
  <c r="C23" i="68"/>
  <c r="C25" i="68"/>
  <c r="C24" i="68"/>
  <c r="C66" i="67"/>
  <c r="C60" i="67"/>
  <c r="C59" i="67" s="1"/>
  <c r="J24" i="67"/>
  <c r="J26" i="67"/>
  <c r="J29" i="67" s="1"/>
  <c r="C43" i="68"/>
  <c r="C41" i="11" l="1"/>
  <c r="Q48" i="67"/>
  <c r="L46" i="67"/>
  <c r="C41" i="68"/>
  <c r="C49" i="68" s="1"/>
  <c r="C51" i="68" s="1"/>
  <c r="C49" i="11"/>
  <c r="C51" i="11" s="1"/>
  <c r="C22" i="11"/>
  <c r="C31" i="11" s="1"/>
  <c r="C49" i="69"/>
  <c r="C51" i="69" s="1"/>
  <c r="Q49" i="15"/>
  <c r="C57" i="15"/>
  <c r="C64" i="15" s="1"/>
  <c r="C36" i="15"/>
  <c r="J14" i="15"/>
  <c r="C13" i="15"/>
  <c r="J59" i="15"/>
  <c r="J60" i="15" s="1"/>
  <c r="C22" i="68"/>
  <c r="C31" i="68" s="1"/>
  <c r="C57" i="67"/>
  <c r="C64" i="67" s="1"/>
  <c r="Q49" i="67"/>
  <c r="C36" i="67"/>
  <c r="J14" i="67"/>
  <c r="C13" i="67"/>
  <c r="C32" i="12"/>
  <c r="B2" i="12" s="1"/>
  <c r="B3" i="12" s="1"/>
  <c r="O37" i="43"/>
  <c r="N37" i="43"/>
  <c r="Q37" i="43"/>
  <c r="M37" i="43"/>
  <c r="P37" i="43"/>
  <c r="C22" i="69"/>
  <c r="C31" i="69" s="1"/>
  <c r="C52" i="11" l="1"/>
  <c r="B2" i="11" s="1"/>
  <c r="B3" i="11" s="1"/>
  <c r="C52" i="69"/>
  <c r="B2" i="69" s="1"/>
  <c r="C52" i="68"/>
  <c r="B2" i="68" s="1"/>
  <c r="B3" i="68" s="1"/>
  <c r="C37" i="15"/>
  <c r="C30" i="15" s="1"/>
  <c r="C39" i="15" s="1"/>
  <c r="C75" i="15"/>
  <c r="Q70" i="15"/>
  <c r="C56" i="15"/>
  <c r="C65" i="15" s="1"/>
  <c r="C58" i="15" s="1"/>
  <c r="C67" i="15" s="1"/>
  <c r="C68" i="15" s="1"/>
  <c r="J13" i="67"/>
  <c r="J23" i="67" s="1"/>
  <c r="J22" i="67"/>
  <c r="J16" i="67" s="1"/>
  <c r="J25" i="67" s="1"/>
  <c r="J13" i="15"/>
  <c r="J23" i="15" s="1"/>
  <c r="J22" i="15"/>
  <c r="Q48" i="15"/>
  <c r="L46" i="15"/>
  <c r="C37" i="67"/>
  <c r="C30" i="67" s="1"/>
  <c r="C39" i="67" s="1"/>
  <c r="C56" i="67"/>
  <c r="C65" i="67" s="1"/>
  <c r="C58" i="67" s="1"/>
  <c r="C67" i="67" s="1"/>
  <c r="C68" i="67" s="1"/>
  <c r="C75" i="67"/>
  <c r="Q70" i="67"/>
  <c r="C19" i="9"/>
  <c r="B3" i="69"/>
  <c r="C20" i="9" s="1"/>
  <c r="C56" i="11" l="1"/>
  <c r="C57" i="11" s="1"/>
  <c r="C57" i="69"/>
  <c r="C56" i="69" s="1"/>
  <c r="C57" i="68"/>
  <c r="C56" i="68" s="1"/>
  <c r="C21" i="9"/>
  <c r="C102" i="9"/>
  <c r="J16" i="15"/>
  <c r="J25" i="15" s="1"/>
  <c r="C80" i="15"/>
  <c r="C79" i="15" s="1"/>
  <c r="C103" i="9"/>
  <c r="C71" i="15"/>
  <c r="C80" i="67"/>
  <c r="C79" i="67" s="1"/>
  <c r="Q69" i="15"/>
  <c r="Q68" i="15" s="1"/>
  <c r="C40" i="15"/>
  <c r="C46" i="15" s="1"/>
  <c r="C71" i="67"/>
  <c r="Q69" i="67"/>
  <c r="Q68" i="67" s="1"/>
  <c r="C40" i="67"/>
  <c r="L51" i="15"/>
  <c r="L51" i="67"/>
  <c r="Q67" i="67" l="1"/>
  <c r="Q67" i="15"/>
  <c r="L57" i="15"/>
  <c r="L60" i="15" s="1"/>
  <c r="Q56" i="67"/>
  <c r="Q62" i="67" s="1"/>
  <c r="Q47" i="67"/>
  <c r="Q53" i="67" s="1"/>
  <c r="C43" i="67"/>
  <c r="D2" i="67"/>
  <c r="Q65" i="67"/>
  <c r="Q75" i="67" s="1"/>
  <c r="C83" i="67"/>
  <c r="C82" i="67" s="1"/>
  <c r="Q56" i="15"/>
  <c r="C43" i="15"/>
  <c r="Q47" i="15"/>
  <c r="Q53" i="15" s="1"/>
  <c r="Q65" i="15"/>
  <c r="B2" i="15"/>
  <c r="B3" i="15" s="1"/>
  <c r="C83" i="15"/>
  <c r="C82" i="15" s="1"/>
  <c r="C45" i="67"/>
  <c r="C46" i="67" s="1"/>
  <c r="Q57" i="15" l="1"/>
  <c r="Q62" i="15" s="1"/>
  <c r="Q66" i="15"/>
  <c r="Q75" i="15" s="1"/>
  <c r="B3" i="67"/>
  <c r="B2" i="67"/>
  <c r="D19" i="9"/>
  <c r="D34" i="9"/>
  <c r="AO6" i="1"/>
  <c r="D35" i="9"/>
  <c r="D20" i="9"/>
  <c r="D103" i="9" l="1"/>
  <c r="G20" i="9"/>
  <c r="B6" i="70"/>
  <c r="B2" i="70" s="1"/>
  <c r="B3" i="70" s="1"/>
  <c r="D102" i="9"/>
  <c r="D21" i="9"/>
  <c r="D22" i="9"/>
  <c r="G19" i="9"/>
  <c r="G21" i="9" s="1"/>
  <c r="C32" i="9" l="1"/>
  <c r="E14" i="74"/>
  <c r="D14" i="74" s="1"/>
  <c r="I118" i="9" l="1"/>
  <c r="C35" i="9"/>
  <c r="G118" i="9" s="1"/>
  <c r="G14" i="74"/>
  <c r="B6" i="74" s="1"/>
  <c r="F14" i="74"/>
  <c r="B5" i="74"/>
  <c r="D6" i="74" l="1"/>
  <c r="C34" i="9"/>
  <c r="D5" i="74"/>
  <c r="F118" i="9"/>
  <c r="G4" i="52"/>
  <c r="B52" i="72" s="1"/>
  <c r="E118" i="9"/>
  <c r="C105" i="9"/>
  <c r="H118" i="9"/>
  <c r="H102" i="9"/>
  <c r="D7" i="53" s="1"/>
  <c r="B21" i="72" s="1"/>
  <c r="I4" i="52"/>
  <c r="C5" i="74" l="1"/>
  <c r="D118" i="9"/>
  <c r="E4" i="52"/>
  <c r="B48" i="72" s="1"/>
  <c r="H119" i="9"/>
  <c r="H5" i="52" s="1"/>
  <c r="H101" i="9"/>
  <c r="H4" i="52"/>
  <c r="C104" i="9"/>
  <c r="F119" i="9"/>
  <c r="F5" i="52" s="1"/>
  <c r="B53" i="72" s="1"/>
  <c r="F4" i="52"/>
  <c r="B51" i="72" s="1"/>
  <c r="D119" i="9" l="1"/>
  <c r="D5" i="52" s="1"/>
  <c r="B49" i="72" s="1"/>
  <c r="D4" i="52"/>
  <c r="B47" i="72" s="1"/>
  <c r="H107" i="9"/>
  <c r="M48" i="9"/>
  <c r="D45" i="9"/>
  <c r="D5" i="53"/>
  <c r="D122" i="9" l="1"/>
  <c r="H108" i="9"/>
  <c r="M49" i="9"/>
  <c r="D13" i="53"/>
  <c r="C93" i="9"/>
  <c r="C86" i="9" s="1"/>
  <c r="C85" i="9"/>
  <c r="D55" i="9"/>
  <c r="M53" i="9" s="1"/>
  <c r="C72" i="9"/>
  <c r="C64" i="9"/>
  <c r="C63" i="9" s="1"/>
  <c r="C67" i="9" s="1"/>
  <c r="D53" i="9"/>
  <c r="C78" i="9"/>
  <c r="C73" i="9" s="1"/>
  <c r="D52" i="9"/>
  <c r="B20" i="72"/>
  <c r="D6" i="53"/>
  <c r="B22" i="72" s="1"/>
  <c r="C68" i="9" l="1"/>
  <c r="D54" i="9" s="1"/>
  <c r="D59" i="9"/>
  <c r="M55" i="9" s="1"/>
  <c r="C79" i="9"/>
  <c r="B30" i="72"/>
  <c r="D14" i="53"/>
  <c r="B32" i="72" s="1"/>
  <c r="L63" i="9"/>
  <c r="M63" i="9" s="1"/>
  <c r="L66" i="9"/>
  <c r="M66" i="9" s="1"/>
  <c r="L64" i="9"/>
  <c r="M64" i="9" s="1"/>
  <c r="L68" i="9"/>
  <c r="M68" i="9" s="1"/>
  <c r="L67" i="9"/>
  <c r="M67" i="9" s="1"/>
  <c r="L65" i="9"/>
  <c r="M65" i="9" s="1"/>
  <c r="C95" i="9"/>
  <c r="D15" i="53"/>
  <c r="B31" i="72" s="1"/>
  <c r="C6" i="74"/>
  <c r="D123" i="9"/>
  <c r="D9" i="52" s="1"/>
  <c r="D8" i="52"/>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<sst xmlns="http://schemas.openxmlformats.org/spreadsheetml/2006/main" count="7822" uniqueCount="2750">
  <si>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</si>
  <si>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</si>
  <si>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</si>
  <si>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</si>
  <si>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</si>
  <si>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</si>
  <si>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</si>
  <si>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</si>
  <si>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</si>
  <si>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</si>
  <si>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</si>
  <si>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</si>
  <si>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</si>
  <si>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</si>
  <si>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</si>
  <si>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</si>
  <si>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</si>
  <si>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</si>
  <si>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</si>
  <si>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</si>
  <si>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</si>
  <si>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</si>
  <si>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</si>
  <si>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</si>
  <si>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</si>
  <si>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</si>
  <si>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</si>
  <si>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</si>
  <si>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</si>
  <si>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</si>
  <si>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</si>
  <si>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</si>
  <si>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</si>
  <si>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</si>
  <si>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</si>
  <si>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</si>
  <si>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</si>
  <si>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</si>
  <si>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</si>
  <si>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</si>
  <si>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</si>
  <si>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</si>
  <si>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</si>
  <si>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</si>
  <si>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</si>
  <si>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</si>
  <si>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</si>
  <si>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</si>
  <si>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</si>
  <si>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</si>
  <si>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</si>
  <si>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</si>
  <si>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</si>
  <si>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</si>
  <si>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</si>
  <si>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</si>
  <si>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</si>
  <si>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</si>
  <si>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</si>
  <si>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</si>
  <si>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</si>
  <si>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</si>
  <si>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</si>
  <si>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</si>
  <si>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</si>
  <si>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</si>
  <si>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</si>
  <si>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</si>
  <si>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</si>
  <si>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</si>
  <si>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</si>
  <si>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</si>
  <si>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</si>
  <si>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</si>
  <si>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</si>
  <si>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</si>
  <si>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</si>
  <si>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</si>
  <si>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</si>
  <si>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</si>
  <si>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</si>
  <si>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</si>
  <si>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</si>
  <si>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</si>
  <si>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</si>
  <si>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</si>
  <si>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</si>
  <si>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</si>
  <si>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</si>
  <si>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</si>
  <si>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</si>
  <si>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</si>
  <si>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</si>
  <si>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</si>
  <si>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</si>
  <si>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</si>
  <si>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</si>
  <si>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</si>
  <si>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</si>
  <si>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</si>
  <si>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</si>
  <si>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</si>
  <si>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</si>
  <si>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</si>
  <si>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</si>
  <si>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</si>
  <si>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</si>
  <si>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</si>
  <si>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</si>
  <si>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</si>
  <si>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</si>
  <si>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</si>
  <si>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</si>
  <si>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</si>
  <si>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</si>
  <si>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</si>
  <si>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</si>
  <si>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</si>
  <si>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</si>
  <si>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</si>
  <si>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</si>
  <si>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</si>
  <si>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</si>
  <si>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</si>
  <si>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</si>
  <si>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</si>
  <si>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</si>
  <si>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</si>
  <si>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</si>
  <si>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</si>
  <si>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</si>
  <si>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</si>
  <si>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</si>
  <si>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</si>
  <si>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</si>
  <si>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</si>
  <si>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</si>
  <si>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</si>
  <si>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</si>
  <si>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</si>
  <si>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</si>
  <si>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</si>
  <si>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</si>
  <si>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</si>
  <si>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</si>
  <si>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</si>
  <si>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</si>
  <si>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</si>
  <si>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</si>
  <si>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</si>
  <si>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</si>
  <si>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</si>
  <si>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</si>
  <si>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</si>
  <si>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</si>
  <si>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</si>
  <si>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</si>
  <si>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</si>
  <si>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</si>
  <si>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</si>
  <si>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</si>
  <si>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</si>
  <si>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</si>
  <si>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</si>
  <si>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</si>
  <si>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</si>
  <si>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</si>
  <si>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</si>
  <si>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</si>
  <si>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</si>
  <si>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</si>
  <si>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</si>
  <si>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</si>
  <si>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</si>
  <si>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</si>
  <si>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</si>
  <si>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</si>
  <si>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</si>
  <si>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</si>
  <si>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</si>
  <si>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</si>
  <si>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</si>
  <si>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</si>
  <si>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</si>
  <si>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</si>
  <si>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</si>
  <si>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</si>
  <si>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</si>
  <si>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</si>
  <si>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</si>
  <si>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</si>
  <si>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</si>
  <si>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</si>
  <si>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</si>
  <si>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</si>
  <si>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</si>
  <si>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</si>
  <si>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</si>
  <si>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</si>
  <si>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</si>
  <si>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</si>
  <si>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</si>
  <si>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</si>
  <si>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</si>
  <si>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</si>
  <si>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</si>
  <si>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</si>
  <si>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</si>
  <si>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</si>
  <si>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</si>
  <si>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</si>
  <si>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</si>
  <si>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</si>
  <si>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</si>
  <si>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</si>
  <si>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</si>
  <si>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</si>
  <si>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</si>
  <si>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</si>
  <si>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</si>
  <si>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</si>
  <si>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</si>
  <si>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</si>
  <si>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</si>
  <si>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</si>
  <si>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</si>
  <si>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</si>
  <si>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</si>
  <si>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</si>
  <si>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</si>
  <si>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</si>
  <si>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</si>
  <si>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</si>
  <si>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</si>
  <si>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</si>
  <si>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</si>
  <si>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</si>
  <si>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</si>
  <si>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</si>
  <si>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</si>
  <si>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</si>
  <si>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</si>
  <si>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</si>
  <si>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</si>
  <si>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</si>
  <si>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</si>
  <si>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</si>
  <si>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</si>
  <si>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</si>
  <si>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</si>
  <si>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</si>
  <si>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</si>
  <si>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</si>
  <si>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</si>
  <si>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</si>
  <si>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</si>
  <si>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</si>
  <si>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</si>
  <si>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</si>
  <si>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</si>
  <si>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</si>
  <si>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</si>
  <si>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</si>
  <si>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</si>
  <si>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</si>
  <si>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</si>
  <si>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</si>
  <si>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</si>
  <si>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</si>
  <si>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</si>
  <si>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</si>
  <si>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</si>
  <si>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</si>
  <si>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</si>
  <si>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</si>
  <si>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</si>
  <si>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</si>
  <si>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</si>
  <si>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</si>
  <si>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</si>
  <si>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</si>
  <si>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</si>
  <si>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</si>
  <si>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</si>
  <si>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</si>
  <si>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</si>
  <si>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</si>
  <si>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</si>
  <si>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</si>
  <si>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</si>
  <si>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</si>
  <si>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</si>
  <si>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</si>
  <si>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</si>
  <si>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</si>
  <si>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</si>
  <si>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</si>
  <si>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</si>
  <si>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</si>
  <si>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</si>
  <si>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</si>
  <si>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</si>
  <si>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</si>
  <si>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</si>
  <si>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</si>
  <si>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</si>
  <si>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</si>
  <si>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</si>
  <si>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</si>
  <si>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</si>
  <si>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</si>
  <si>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</si>
  <si>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</si>
  <si>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</si>
  <si>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</si>
  <si>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</si>
  <si>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</si>
  <si>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</si>
  <si>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</si>
  <si>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</si>
  <si>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</si>
  <si>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</si>
  <si>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</si>
  <si>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</si>
  <si>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</si>
  <si>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</si>
  <si>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</si>
  <si>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</si>
  <si>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</si>
  <si>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</si>
  <si>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</si>
  <si>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</si>
  <si>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</si>
  <si>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</si>
  <si>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</si>
  <si>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</si>
  <si>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</si>
  <si>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</si>
  <si>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</si>
  <si>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</si>
  <si>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</si>
  <si>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</si>
  <si>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</si>
  <si>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</si>
  <si>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</si>
  <si>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</si>
  <si>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</si>
  <si>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</si>
  <si>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</si>
  <si>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</si>
  <si>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</si>
  <si>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</si>
  <si>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</si>
  <si>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</si>
  <si>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</si>
  <si>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</si>
  <si>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</si>
  <si>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</si>
  <si>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</si>
  <si>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</si>
  <si>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</si>
  <si>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</si>
  <si>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</si>
  <si>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</si>
  <si>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</si>
  <si>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</si>
  <si>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</si>
  <si>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</si>
  <si>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</si>
  <si>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</si>
  <si>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</si>
  <si>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</si>
  <si>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</si>
  <si>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</si>
  <si>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</si>
  <si>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</si>
  <si>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</si>
  <si>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</si>
  <si>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</si>
  <si>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</si>
  <si>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</si>
  <si>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</si>
  <si>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</si>
  <si>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</si>
  <si>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</si>
  <si>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</si>
  <si>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</si>
  <si>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</si>
  <si>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</si>
  <si>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</si>
  <si>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</si>
  <si>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</si>
  <si>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</si>
  <si>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</si>
  <si>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</si>
  <si>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</si>
  <si>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</si>
  <si>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</si>
  <si>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</si>
  <si>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</si>
  <si>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</si>
  <si>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</si>
  <si>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</si>
  <si>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</si>
  <si>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</si>
  <si>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</si>
  <si>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</si>
  <si>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</si>
  <si>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</si>
  <si>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</si>
  <si>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</si>
  <si>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</si>
  <si>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</si>
  <si>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</si>
  <si>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</si>
  <si>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</si>
  <si>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</si>
  <si>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</si>
  <si>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</si>
  <si>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</si>
  <si>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</si>
  <si>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</si>
  <si>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</si>
  <si>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</si>
  <si>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</si>
  <si>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</si>
  <si>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</si>
  <si>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</si>
  <si>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</si>
  <si>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</si>
  <si>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</si>
  <si>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</si>
  <si>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</si>
  <si>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</si>
  <si>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</si>
  <si>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</si>
  <si>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</si>
  <si>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</si>
  <si>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</si>
  <si>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</si>
  <si>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</si>
  <si>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</si>
  <si>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</si>
  <si>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</si>
  <si>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</si>
  <si>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</si>
  <si>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</si>
  <si>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</si>
  <si>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</si>
  <si>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</si>
  <si>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</si>
  <si>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</si>
  <si>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</si>
  <si>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</si>
  <si>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</si>
  <si>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</si>
  <si>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</si>
  <si>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</si>
  <si>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</si>
  <si>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</si>
  <si>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</si>
  <si>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</si>
  <si>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</si>
  <si>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</si>
  <si>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</si>
  <si>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</si>
  <si>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</si>
  <si>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</si>
  <si>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</si>
  <si>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</si>
  <si>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</si>
  <si>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</si>
  <si>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</si>
  <si>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</si>
  <si>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</si>
  <si>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</si>
  <si>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</si>
  <si>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</si>
  <si>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</si>
  <si>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</si>
  <si>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</si>
  <si>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</si>
  <si>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</si>
  <si>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</si>
  <si>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</si>
  <si>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</si>
  <si>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</si>
  <si>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</si>
  <si>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</si>
  <si>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</si>
  <si>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</si>
  <si>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</si>
  <si>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</si>
  <si>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</si>
  <si>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</si>
  <si>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</si>
  <si>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</si>
  <si>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</si>
  <si>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</si>
  <si>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</si>
  <si>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</si>
  <si>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</si>
  <si>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</si>
  <si>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</si>
  <si>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</si>
  <si>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</si>
  <si>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</si>
  <si>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</si>
  <si>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</si>
  <si>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</si>
  <si>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</si>
  <si>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</si>
  <si>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</si>
  <si>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</si>
  <si>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</si>
  <si>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</si>
  <si>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</si>
  <si>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</si>
  <si>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</si>
  <si>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</si>
  <si>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</si>
  <si>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</si>
  <si>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</si>
  <si>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</si>
  <si>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</si>
  <si>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</si>
  <si>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</si>
  <si>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</si>
  <si>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</si>
  <si>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</si>
  <si>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</si>
  <si>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</si>
  <si>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</si>
  <si>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</si>
  <si>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</si>
  <si>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</si>
  <si>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</si>
  <si>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</si>
  <si>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</si>
  <si>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</si>
  <si>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</si>
  <si>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</si>
  <si>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</si>
  <si>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</si>
  <si>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</si>
  <si>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</si>
  <si>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</si>
  <si>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</si>
  <si>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</si>
  <si>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</si>
  <si>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</si>
  <si>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</si>
  <si>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</si>
  <si>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</si>
  <si>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</si>
  <si>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10</t>
    </r>
    <r>
      <rPr>
        <sz val="10"/>
        <color rgb="FF000000"/>
        <rFont val="宋体"/>
        <family val="3"/>
        <charset val="134"/>
      </rPr>
      <t>号楼</t>
    </r>
  </si>
  <si>
    <t>是</t>
  </si>
  <si>
    <r>
      <rPr>
        <sz val="10"/>
        <color rgb="FF000000"/>
        <rFont val="Arial"/>
        <family val="2"/>
      </rPr>
      <t>21</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</si>
  <si>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</si>
  <si>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</si>
  <si>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</si>
  <si>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</si>
  <si>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</si>
  <si>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</si>
  <si>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</si>
  <si>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</si>
  <si>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</si>
  <si>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</si>
  <si>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</si>
  <si>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</si>
  <si>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</si>
  <si>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</si>
  <si>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</si>
  <si>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</si>
  <si>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</si>
  <si>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</si>
  <si>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</si>
  <si>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</si>
  <si>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</si>
  <si>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</si>
  <si>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</si>
  <si>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</si>
  <si>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</si>
  <si>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</si>
  <si>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</si>
  <si>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</si>
  <si>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</si>
  <si>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</si>
  <si>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</si>
  <si>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</si>
  <si>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</si>
  <si>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</si>
  <si>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</si>
  <si>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</si>
  <si>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</si>
  <si>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</si>
  <si>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</si>
  <si>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</si>
  <si>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</si>
  <si>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</si>
  <si>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</si>
  <si>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拱辰大街51号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</si>
  <si>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</si>
  <si>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</si>
  <si>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</si>
  <si>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</si>
  <si>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</si>
  <si>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</si>
  <si>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</si>
  <si>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</si>
  <si>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</si>
  <si>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</si>
  <si>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</si>
  <si>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</si>
  <si>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</si>
  <si>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</si>
  <si>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</si>
  <si>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</si>
  <si>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</si>
  <si>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</si>
  <si>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</si>
  <si>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</si>
  <si>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</si>
  <si>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</si>
  <si>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</si>
  <si>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</si>
  <si>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</si>
  <si>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</si>
  <si>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</si>
  <si>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</si>
  <si>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</si>
  <si>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</si>
  <si>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</si>
  <si>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</si>
  <si>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</si>
  <si>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</si>
  <si>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</si>
  <si>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</si>
  <si>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</si>
  <si>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</si>
  <si>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</si>
  <si>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</si>
  <si>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</si>
  <si>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</si>
  <si>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</si>
  <si>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</si>
  <si>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</si>
  <si>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</si>
  <si>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</si>
  <si>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</si>
  <si>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</si>
  <si>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</si>
  <si>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</si>
  <si>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</si>
  <si>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</si>
  <si>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color rgb="FF000000"/>
        <rFont val="Arial"/>
        <family val="2"/>
      </rPr>
      <t>10</t>
    </r>
    <r>
      <rPr>
        <sz val="11"/>
        <color rgb="FF000000"/>
        <rFont val="宋体"/>
        <family val="3"/>
        <charset val="134"/>
      </rPr>
      <t>号楼</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</si>
  <si>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</si>
  <si>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</si>
  <si>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rgb="FF000000"/>
        <rFont val="Arial"/>
        <family val="2"/>
      </rPr>
      <t>10</t>
    </r>
    <r>
      <rPr>
        <sz val="11"/>
        <color rgb="FF000000"/>
        <rFont val="宋体"/>
        <family val="3"/>
        <charset val="134"/>
      </rPr>
      <t>号楼地下室</t>
    </r>
  </si>
  <si>
    <r>
      <rPr>
        <sz val="11"/>
        <color indexed="8"/>
        <rFont val="宋体"/>
        <family val="3"/>
        <charset val="134"/>
      </rPr>
      <t>已建工期</t>
    </r>
  </si>
  <si>
    <r>
      <rPr>
        <sz val="11"/>
        <color rgb="FF000000"/>
        <rFont val="Arial"/>
        <family val="2"/>
      </rPr>
      <t>21</t>
    </r>
    <r>
      <rPr>
        <sz val="11"/>
        <color rgb="FF000000"/>
        <rFont val="宋体"/>
        <family val="3"/>
        <charset val="134"/>
      </rPr>
      <t>号楼</t>
    </r>
  </si>
  <si>
    <r>
      <rPr>
        <sz val="11"/>
        <rFont val="宋体"/>
        <family val="3"/>
        <charset val="134"/>
      </rPr>
      <t>项目开发期</t>
    </r>
  </si>
  <si>
    <r>
      <rPr>
        <sz val="11"/>
        <color indexed="8"/>
        <rFont val="宋体"/>
        <family val="3"/>
        <charset val="134"/>
      </rPr>
      <t>项目已运行</t>
    </r>
  </si>
  <si>
    <t>装修</t>
  </si>
  <si>
    <r>
      <rPr>
        <sz val="11"/>
        <rFont val="宋体"/>
        <family val="3"/>
        <charset val="134"/>
      </rPr>
      <t>续建工期</t>
    </r>
  </si>
  <si>
    <t>设备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</si>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</sst>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rgb="FF000000"/>
      <name val="Arial"/>
      <family val="2"/>
    </font>
    <font>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b/>
      <sz val="9"/>
      <name val="宋体"/>
      <family val="3"/>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77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99" fillId="7" borderId="0" xfId="0" applyFont="1" applyFill="1" applyAlignment="1" applyProtection="1">
      <alignment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估价对象为北京市房地产，为所有。根据《国有土地使用证》[]，估价对象（分摊）出让国有建设用地使用权面积为2068.02平方米，建筑面积为2541.18平方米。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估价对象为北京市房地产,属开发建设的，该项目尚在开发建设中。根据《国有土地使用证》[]，估价对象（分摊）出让国有建设用地使用权面积为2068.02平方米，规划建筑面积为2541.18平方米。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2024年5月10日</v>
      </c>
    </row>
    <row r="13" spans="1:2" s="3417" customFormat="1">
      <c r="A13" s="3425" t="s">
        <v>13</v>
      </c>
      <c r="B13" s="3426"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1664</v>
      </c>
    </row>
    <row r="21" spans="1:2" s="3417" customFormat="1">
      <c r="A21" s="3425" t="s">
        <v>21</v>
      </c>
      <c r="B21" s="3426">
        <f ca="1">'预评函-2'!D7</f>
        <v>6549</v>
      </c>
    </row>
    <row r="22" spans="1:2" s="3417" customFormat="1">
      <c r="A22" s="3425" t="s">
        <v>22</v>
      </c>
      <c r="B22" s="3426" t="str">
        <f ca="1">'预评函-2'!D6</f>
        <v>壹仟陆佰陆拾肆万元整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1664</v>
      </c>
    </row>
    <row r="31" spans="1:2" s="3417" customFormat="1">
      <c r="A31" s="3425" t="s">
        <v>31</v>
      </c>
      <c r="B31" s="3426">
        <f ca="1">'预评函-2'!D15</f>
        <v>6549</v>
      </c>
    </row>
    <row r="32" spans="1:2" s="3417" customFormat="1">
      <c r="A32" s="3425" t="s">
        <v>32</v>
      </c>
      <c r="B32" s="3426" t="str">
        <f ca="1">'预评函-2'!D14</f>
        <v>壹仟陆佰陆拾肆万元整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2541.1799999999998</v>
      </c>
    </row>
    <row r="44" spans="1:2" s="3417" customFormat="1">
      <c r="A44" s="3425" t="s">
        <v>44</v>
      </c>
      <c r="B44" s="3426" t="str">
        <f>'预评函-3'!C2</f>
        <v>(分摊)土地面积</v>
      </c>
    </row>
    <row r="45" spans="1:2" s="3417" customFormat="1">
      <c r="A45" s="3425" t="s">
        <v>45</v>
      </c>
      <c r="B45" s="3426">
        <f>'预评函-3'!C4</f>
        <v>2068.02</v>
      </c>
    </row>
    <row r="46" spans="1:2" s="3417" customFormat="1">
      <c r="A46" s="3425" t="s">
        <v>46</v>
      </c>
      <c r="B46" s="3426" t="str">
        <f>'预评函-3'!D2</f>
        <v>出让国有建设用地使用权价值</v>
      </c>
    </row>
    <row r="47" spans="1:2" s="3417" customFormat="1">
      <c r="A47" s="3425" t="s">
        <v>47</v>
      </c>
      <c r="B47" s="3426">
        <f ca="1">'预评函-3'!D4</f>
        <v>1020</v>
      </c>
    </row>
    <row r="48" spans="1:2" s="3417" customFormat="1">
      <c r="A48" s="3425" t="s">
        <v>48</v>
      </c>
      <c r="B48" s="3426">
        <f ca="1">'预评函-3'!E4</f>
        <v>4015</v>
      </c>
    </row>
    <row r="49" spans="1:2" s="3417" customFormat="1">
      <c r="A49" s="3425" t="s">
        <v>49</v>
      </c>
      <c r="B49" s="3426" t="str">
        <f ca="1">'预评函-3'!D5</f>
        <v>壹仟零贰拾万元整</v>
      </c>
    </row>
    <row r="50" spans="1:2" s="3417" customFormat="1">
      <c r="A50" s="3425" t="s">
        <v>50</v>
      </c>
      <c r="B50" s="3426" t="str">
        <f>'预评函-3'!F2</f>
        <v>在建建筑物价值</v>
      </c>
    </row>
    <row r="51" spans="1:2" s="3417" customFormat="1">
      <c r="A51" s="3425" t="s">
        <v>51</v>
      </c>
      <c r="B51" s="3426">
        <f ca="1">'预评函-3'!F4</f>
        <v>644</v>
      </c>
    </row>
    <row r="52" spans="1:2" s="3417" customFormat="1">
      <c r="A52" s="3425" t="s">
        <v>52</v>
      </c>
      <c r="B52" s="3426">
        <f ca="1">'预评函-3'!G4</f>
        <v>2534</v>
      </c>
    </row>
    <row r="53" spans="1:2" s="3417" customFormat="1">
      <c r="A53" s="3425" t="s">
        <v>53</v>
      </c>
      <c r="B53" s="3426" t="str">
        <f ca="1">'预评函-3'!F5</f>
        <v>陆佰肆拾肆万元整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6"/>
      <c r="K1" s="336"/>
      <c r="L1" s="336"/>
      <c r="M1" s="336"/>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4" t="s">
        <v>341</v>
      </c>
      <c r="B3" s="3250">
        <f>项目基本情况!D3</f>
        <v>45422</v>
      </c>
      <c r="C3" s="485"/>
      <c r="D3" s="485"/>
      <c r="E3" s="485"/>
      <c r="F3" s="3249"/>
      <c r="I3" s="3289"/>
      <c r="J3" s="3289" t="s">
        <v>342</v>
      </c>
      <c r="K3" s="3289" t="s">
        <v>343</v>
      </c>
      <c r="L3" s="3289" t="s">
        <v>344</v>
      </c>
      <c r="M3" s="3289" t="s">
        <v>345</v>
      </c>
      <c r="N3" s="3290" t="s">
        <v>346</v>
      </c>
      <c r="O3" s="3290" t="s">
        <v>347</v>
      </c>
      <c r="P3" s="3290" t="s">
        <v>348</v>
      </c>
      <c r="Q3" s="3290" t="s">
        <v>349</v>
      </c>
      <c r="R3" s="3290" t="s">
        <v>350</v>
      </c>
    </row>
    <row r="4" spans="1:18">
      <c r="A4" s="484" t="s">
        <v>351</v>
      </c>
      <c r="B4" s="485" t="s">
        <v>352</v>
      </c>
      <c r="C4" s="485" t="s">
        <v>353</v>
      </c>
      <c r="D4" s="485" t="s">
        <v>354</v>
      </c>
      <c r="E4" s="485" t="s">
        <v>355</v>
      </c>
      <c r="F4" s="3249"/>
      <c r="I4" s="3289" t="s">
        <v>356</v>
      </c>
      <c r="J4" s="3289">
        <v>80</v>
      </c>
      <c r="K4" s="3289">
        <v>70</v>
      </c>
      <c r="L4" s="3289">
        <v>20</v>
      </c>
      <c r="M4" s="3289">
        <v>30</v>
      </c>
      <c r="N4" s="485">
        <v>45</v>
      </c>
      <c r="O4" s="485">
        <v>60</v>
      </c>
      <c r="P4" s="485">
        <v>50</v>
      </c>
      <c r="Q4" s="485">
        <v>20</v>
      </c>
      <c r="R4" s="485">
        <v>375</v>
      </c>
    </row>
    <row r="5" spans="1:18">
      <c r="A5" s="3251">
        <v>40</v>
      </c>
      <c r="B5" s="3250">
        <v>46375</v>
      </c>
      <c r="C5" s="485">
        <f>ROUNDDOWN(MIN((B5-B3)/365,A5),2)</f>
        <v>2.61</v>
      </c>
      <c r="D5" s="3252">
        <f>IF(ISERROR(ROUND(POWER(1+E5,A5-C5)*(POWER(1+E5,C5)-1)/(POWER(1+E5,A5)-1),3)),0,ROUND(POWER(1+E5,A5-C5)*(POWER(1+E5,C5)-1)/(POWER(1+E5,A5)-1),4))</f>
        <v>0.1229</v>
      </c>
      <c r="E5" s="3253">
        <v>0.04</v>
      </c>
      <c r="F5" s="3249"/>
      <c r="I5" s="3289" t="s">
        <v>357</v>
      </c>
      <c r="J5" s="3289">
        <v>70</v>
      </c>
      <c r="K5" s="3289">
        <v>60</v>
      </c>
      <c r="L5" s="3289">
        <v>15</v>
      </c>
      <c r="M5" s="3289">
        <v>25</v>
      </c>
      <c r="N5" s="485">
        <v>40</v>
      </c>
      <c r="O5" s="485">
        <v>50</v>
      </c>
      <c r="P5" s="485">
        <v>40</v>
      </c>
      <c r="Q5" s="485">
        <v>15</v>
      </c>
      <c r="R5" s="485">
        <v>315</v>
      </c>
    </row>
    <row r="6" spans="1:18">
      <c r="A6" s="3251">
        <v>50</v>
      </c>
      <c r="B6" s="3250">
        <v>50028</v>
      </c>
      <c r="C6" s="485">
        <f>ROUNDDOWN(MIN((B6-B3)/365,A6),2)</f>
        <v>12.61</v>
      </c>
      <c r="D6" s="3252">
        <f>IF(ISERROR(ROUND(POWER(1+E6,A6-C6)*(POWER(1+E6,C6)-1)/(POWER(1+E6,A6)-1),3)),0,ROUND(POWER(1+E6,A6-C6)*(POWER(1+E6,C6)-1)/(POWER(1+E6,A6)-1),4))</f>
        <v>0.4541</v>
      </c>
      <c r="E6" s="3253">
        <v>0.04</v>
      </c>
      <c r="F6" s="3249"/>
      <c r="I6" s="3289" t="s">
        <v>358</v>
      </c>
      <c r="J6" s="3289">
        <v>60</v>
      </c>
      <c r="K6" s="3289">
        <v>50</v>
      </c>
      <c r="L6" s="3289">
        <v>10</v>
      </c>
      <c r="M6" s="3289">
        <v>20</v>
      </c>
      <c r="N6" s="485">
        <v>35</v>
      </c>
      <c r="O6" s="485">
        <v>40</v>
      </c>
      <c r="P6" s="485">
        <v>30</v>
      </c>
      <c r="Q6" s="485">
        <v>10</v>
      </c>
      <c r="R6" s="485">
        <v>255</v>
      </c>
    </row>
    <row r="7" spans="1:18">
      <c r="A7" s="3251">
        <v>70</v>
      </c>
      <c r="B7" s="3250">
        <v>57333</v>
      </c>
      <c r="C7" s="485">
        <f>ROUNDDOWN(MIN((B7-B3)/365,A7),2)</f>
        <v>32.630000000000003</v>
      </c>
      <c r="D7" s="3252">
        <f>IF(ISERROR(ROUND(POWER(1+E7,A7-C7)*(POWER(1+E7,C7)-1)/(POWER(1+E7,A7)-1),3)),0,ROUND(POWER(1+E7,A7-C7)*(POWER(1+E7,C7)-1)/(POWER(1+E7,A7)-1),4))</f>
        <v>0.77139999999999997</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3">
      <c r="A17" s="484" t="s">
        <v>369</v>
      </c>
      <c r="B17" s="3255">
        <v>4810</v>
      </c>
      <c r="C17" s="3257"/>
      <c r="D17" s="3248"/>
      <c r="E17" s="3248"/>
      <c r="F17" s="3249"/>
    </row>
    <row r="18" spans="1:13">
      <c r="A18" s="3258" t="s">
        <v>368</v>
      </c>
      <c r="B18" s="530">
        <f>ROUND(B17*F11/F12,2)</f>
        <v>5541.87</v>
      </c>
      <c r="C18" s="530">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15" sqref="H15"/>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10" customWidth="1"/>
    <col min="12" max="13" width="10" style="3111" customWidth="1"/>
    <col min="14" max="14" width="10" style="2924" customWidth="1"/>
    <col min="15" max="15" width="10" style="944" customWidth="1"/>
    <col min="16" max="17" width="10" style="2924"/>
    <col min="18" max="18" width="10" style="2924" customWidth="1"/>
    <col min="19" max="30" width="10" style="2924"/>
    <col min="31" max="16384" width="10" style="2726"/>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6"/>
      <c r="K1" s="3209"/>
      <c r="L1" s="3210"/>
      <c r="M1" s="3210"/>
      <c r="N1" s="3154"/>
      <c r="O1" s="3019"/>
      <c r="P1" s="3154"/>
      <c r="Q1" s="3154"/>
      <c r="R1" s="3154"/>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3" t="s">
        <v>426</v>
      </c>
      <c r="B2" s="3114"/>
      <c r="C2" s="3115"/>
      <c r="D2" s="3116"/>
      <c r="E2" s="3117"/>
      <c r="F2" s="3117"/>
      <c r="G2" s="3118"/>
      <c r="H2" s="3118"/>
      <c r="I2" s="3118"/>
      <c r="J2" s="2676"/>
      <c r="K2" s="3209"/>
      <c r="L2" s="3210"/>
      <c r="M2" s="3210"/>
      <c r="N2" s="3154"/>
      <c r="O2" s="3019"/>
      <c r="P2" s="3154"/>
      <c r="Q2" s="3154"/>
      <c r="R2" s="3154"/>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19"/>
      <c r="C3" s="3120" t="s">
        <v>428</v>
      </c>
      <c r="D3" s="3119">
        <v>45422</v>
      </c>
      <c r="E3" s="3118"/>
      <c r="F3" s="3118"/>
      <c r="G3" s="3118"/>
      <c r="H3" s="3118"/>
      <c r="I3" s="3118"/>
      <c r="J3" s="2676"/>
      <c r="K3" s="3209"/>
      <c r="L3" s="3210"/>
      <c r="M3" s="3210"/>
      <c r="N3" s="3154"/>
      <c r="O3" s="3019"/>
      <c r="P3" s="3154"/>
      <c r="Q3" s="3154"/>
      <c r="R3" s="3154"/>
      <c r="S3" s="2727"/>
      <c r="T3" s="2726"/>
      <c r="U3" s="2726"/>
      <c r="V3" s="2726"/>
      <c r="W3" s="2726"/>
      <c r="X3" s="2726"/>
      <c r="Y3" s="2726"/>
      <c r="Z3" s="2726"/>
      <c r="AA3" s="2726"/>
      <c r="AB3" s="2726"/>
    </row>
    <row r="4" spans="1:30">
      <c r="A4" s="2005"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0"/>
      <c r="K4" s="3211" t="str">
        <f>CONCATENATE(B4,"（注册号：",C4,")、",D4,"（注册号：",E4,")")</f>
        <v>（注册号：0)、（注册号：0)</v>
      </c>
      <c r="L4" s="3210"/>
      <c r="M4" s="3210"/>
      <c r="N4" s="3154"/>
      <c r="O4" s="3019"/>
      <c r="P4" s="3154"/>
      <c r="Q4" s="3154"/>
      <c r="R4" s="3154"/>
      <c r="S4" s="2727"/>
      <c r="T4" s="2726"/>
      <c r="U4" s="2726"/>
      <c r="V4" s="2726"/>
      <c r="W4" s="2726"/>
      <c r="X4" s="2726"/>
      <c r="Y4" s="2726"/>
      <c r="Z4" s="2726"/>
      <c r="AA4" s="2726"/>
      <c r="AB4" s="2726"/>
    </row>
    <row r="5" spans="1:30">
      <c r="A5" s="3124" t="s">
        <v>430</v>
      </c>
      <c r="B5" s="3125"/>
      <c r="C5" s="3126"/>
      <c r="D5" s="3127"/>
      <c r="E5" s="2831"/>
      <c r="F5" s="2831"/>
      <c r="G5" s="2831"/>
      <c r="H5" s="2831"/>
      <c r="I5" s="2831"/>
      <c r="J5" s="2710"/>
      <c r="K5" s="3211" t="str">
        <f>IF(F4="——","",IF(H4="——",F4&amp;"（注册号："&amp;G4&amp;")",CONCATENATE(F4,"（注册号：",G4,")、",H4,"（注册号：",I4,")")))</f>
        <v>（注册号：0)、（注册号：0)</v>
      </c>
      <c r="L5" s="3210"/>
      <c r="M5" s="3210"/>
      <c r="N5" s="3154"/>
      <c r="O5" s="3019"/>
      <c r="P5" s="3154"/>
      <c r="Q5" s="3154"/>
      <c r="R5" s="3154"/>
      <c r="S5" s="2726"/>
      <c r="T5" s="2726"/>
      <c r="U5" s="2726"/>
      <c r="V5" s="2726"/>
      <c r="W5" s="2726"/>
      <c r="X5" s="2726"/>
      <c r="Y5" s="2726"/>
      <c r="Z5" s="2726"/>
      <c r="AA5" s="2726"/>
      <c r="AB5" s="2726"/>
    </row>
    <row r="6" spans="1:30">
      <c r="A6" s="3128" t="s">
        <v>431</v>
      </c>
      <c r="B6" s="3129"/>
      <c r="C6" s="3130"/>
      <c r="D6" s="3131"/>
      <c r="E6" s="3117"/>
      <c r="F6" s="2831"/>
      <c r="G6" s="2831"/>
      <c r="H6" s="2831"/>
      <c r="I6" s="2831"/>
      <c r="J6" s="2710"/>
      <c r="K6" s="3212" t="str">
        <f>IF(COUNTIF(B6,"*上海银行*"),"上海银行","")</f>
        <v/>
      </c>
      <c r="L6" s="3213"/>
      <c r="M6" s="3213"/>
      <c r="N6" s="2710"/>
      <c r="O6" s="3214"/>
      <c r="P6" s="2710"/>
      <c r="Q6" s="2710"/>
      <c r="R6" s="2710"/>
    </row>
    <row r="7" spans="1:30">
      <c r="A7" s="3128" t="s">
        <v>432</v>
      </c>
      <c r="B7" s="3132"/>
      <c r="C7" s="3130"/>
      <c r="D7" s="3131"/>
      <c r="E7" s="3117"/>
      <c r="F7" s="2831"/>
      <c r="G7" s="2831"/>
      <c r="H7" s="2831"/>
      <c r="I7" s="2831"/>
      <c r="J7" s="2710"/>
      <c r="K7" s="3215"/>
      <c r="L7" s="3213"/>
      <c r="M7" s="3213"/>
      <c r="N7" s="2710"/>
      <c r="O7" s="3214"/>
      <c r="P7" s="2710"/>
      <c r="Q7" s="2710"/>
      <c r="R7" s="2710"/>
    </row>
    <row r="8" spans="1:30">
      <c r="A8" s="3133" t="s">
        <v>433</v>
      </c>
      <c r="B8" s="3134" t="s">
        <v>325</v>
      </c>
      <c r="C8" s="3135"/>
      <c r="D8" s="3501" t="s">
        <v>434</v>
      </c>
      <c r="E8" s="3136" t="s">
        <v>330</v>
      </c>
      <c r="F8" s="3137"/>
      <c r="G8" s="3118"/>
      <c r="H8" s="3118"/>
      <c r="I8" s="3118"/>
      <c r="J8" s="2710"/>
      <c r="K8" s="3216"/>
      <c r="L8" s="3213"/>
      <c r="M8" s="3213"/>
      <c r="N8" s="2710"/>
      <c r="O8" s="3214"/>
      <c r="P8" s="2710"/>
      <c r="Q8" s="2710"/>
      <c r="R8" s="2710"/>
    </row>
    <row r="9" spans="1:30">
      <c r="A9" s="3138" t="s">
        <v>435</v>
      </c>
      <c r="B9" s="3139" t="s">
        <v>330</v>
      </c>
      <c r="C9" s="3140"/>
      <c r="D9" s="3502"/>
      <c r="E9" s="3139"/>
      <c r="F9" s="3141"/>
      <c r="G9" s="3142"/>
      <c r="H9" s="3142"/>
      <c r="I9" s="3142"/>
      <c r="J9" s="2710"/>
      <c r="K9" s="3215"/>
      <c r="L9" s="3213"/>
      <c r="M9" s="3213"/>
      <c r="N9" s="2710"/>
      <c r="O9" s="3214"/>
      <c r="P9" s="2710"/>
      <c r="Q9" s="2710"/>
      <c r="R9" s="2710"/>
    </row>
    <row r="10" spans="1:30">
      <c r="A10" s="3143" t="s">
        <v>436</v>
      </c>
      <c r="B10" s="3144" t="s">
        <v>437</v>
      </c>
      <c r="C10" s="3145"/>
      <c r="D10" s="3127"/>
      <c r="E10" s="3146" t="s">
        <v>438</v>
      </c>
      <c r="F10" s="3147"/>
      <c r="G10" s="3148"/>
      <c r="H10" s="3149"/>
      <c r="I10" s="3217"/>
      <c r="J10" s="2710"/>
      <c r="K10" s="3215"/>
      <c r="L10" s="3213"/>
      <c r="M10" s="3213"/>
      <c r="N10" s="2710"/>
      <c r="O10" s="3214"/>
      <c r="P10" s="2710"/>
      <c r="Q10" s="2710"/>
      <c r="R10" s="2710"/>
    </row>
    <row r="11" spans="1:30">
      <c r="A11" s="3150" t="s">
        <v>439</v>
      </c>
      <c r="B11" s="3151"/>
      <c r="C11" s="3152"/>
      <c r="D11" s="3153"/>
      <c r="E11" s="3154"/>
      <c r="F11" s="3154"/>
      <c r="G11" s="3154"/>
      <c r="H11" s="3154"/>
      <c r="I11" s="3154"/>
      <c r="J11" s="3218"/>
      <c r="K11" s="3219"/>
      <c r="L11" s="3213"/>
      <c r="M11" s="3213"/>
      <c r="N11" s="2710"/>
      <c r="O11" s="3214"/>
      <c r="P11" s="2710"/>
      <c r="Q11" s="2710"/>
      <c r="R11" s="2710"/>
    </row>
    <row r="12" spans="1:30">
      <c r="A12" s="3155" t="s">
        <v>440</v>
      </c>
      <c r="B12" s="2024" t="s">
        <v>441</v>
      </c>
      <c r="C12" s="3156" t="s">
        <v>442</v>
      </c>
      <c r="D12" s="3156" t="s">
        <v>443</v>
      </c>
      <c r="E12" s="3156" t="s">
        <v>444</v>
      </c>
      <c r="F12" s="3156" t="s">
        <v>445</v>
      </c>
      <c r="G12" s="3156" t="s">
        <v>446</v>
      </c>
      <c r="H12" s="3156" t="s">
        <v>447</v>
      </c>
      <c r="I12" s="3220" t="s">
        <v>280</v>
      </c>
      <c r="J12" s="3221"/>
      <c r="K12" s="3213"/>
      <c r="L12" s="3213"/>
      <c r="M12" s="2710"/>
      <c r="N12" s="3214"/>
      <c r="O12" s="2710"/>
      <c r="P12" s="2710"/>
      <c r="Q12" s="2710"/>
      <c r="AD12" s="2726"/>
    </row>
    <row r="13" spans="1:30">
      <c r="A13" s="3157" t="s">
        <v>448</v>
      </c>
      <c r="B13" s="3158" t="s">
        <v>449</v>
      </c>
      <c r="C13" s="3159"/>
      <c r="D13" s="3159"/>
      <c r="E13" s="3159"/>
      <c r="F13" s="3159"/>
      <c r="G13" s="3159"/>
      <c r="H13" s="3159">
        <v>57583</v>
      </c>
      <c r="I13" s="3159"/>
      <c r="J13" s="3221"/>
      <c r="K13" s="3213"/>
      <c r="L13" s="3213"/>
      <c r="M13" s="2710"/>
      <c r="N13" s="3214"/>
      <c r="O13" s="2710"/>
      <c r="P13" s="2710"/>
      <c r="Q13" s="2710"/>
      <c r="AD13" s="2726"/>
    </row>
    <row r="14" spans="1:30">
      <c r="A14" s="2010"/>
      <c r="B14" s="3158" t="s">
        <v>450</v>
      </c>
      <c r="C14" s="3160"/>
      <c r="D14" s="3160"/>
      <c r="E14" s="3160"/>
      <c r="F14" s="3160"/>
      <c r="G14" s="3160"/>
      <c r="H14" s="3160">
        <v>50</v>
      </c>
      <c r="I14" s="3160"/>
      <c r="J14" s="3222"/>
      <c r="K14" s="3213"/>
      <c r="L14" s="3213"/>
      <c r="M14" s="2710"/>
      <c r="N14" s="3214"/>
      <c r="O14" s="2710"/>
      <c r="P14" s="2710"/>
      <c r="Q14" s="2710"/>
      <c r="AD14" s="2726"/>
    </row>
    <row r="15" spans="1:30">
      <c r="A15" s="2017"/>
      <c r="B15" s="3161" t="s">
        <v>451</v>
      </c>
      <c r="C15" s="3162" t="str">
        <f>IF(A13="出让",IF(C13="","",ROUNDDOWN(MIN((C13-$D$3)/365,C14),2)),C14)</f>
        <v/>
      </c>
      <c r="D15" s="3162" t="str">
        <f>IF(A13="出让",IF(D13="","",ROUNDDOWN(MIN((D13-$D$3)/365,D14),2)),D14)</f>
        <v/>
      </c>
      <c r="E15" s="3162" t="str">
        <f>IF(A13="出让",IF(E13="","",ROUNDDOWN(MIN((E13-$D$3)/365,E14),2)),E14)</f>
        <v/>
      </c>
      <c r="F15" s="3162" t="str">
        <f>IF(A13="出让",IF(F13="","",ROUNDDOWN(MIN((F13-$D$3)/365,F14),2)),F14)</f>
        <v/>
      </c>
      <c r="G15" s="3162" t="str">
        <f>IF(A13="出让",IF(G13="","",ROUNDDOWN(MIN((G13-$D$3)/365,G14),2)),G14)</f>
        <v/>
      </c>
      <c r="H15" s="3162">
        <f>IF(A13="出让",IF(H13="","",ROUNDDOWN(MIN((H13-$D$3)/365,H14),2)),H14)</f>
        <v>33.31</v>
      </c>
      <c r="I15" s="3162" t="str">
        <f>IF(A13="出让",IF(I13="","",ROUNDDOWN(MIN((I13-$D$3)/365,I14),2)),I14)</f>
        <v/>
      </c>
      <c r="J15" s="3223"/>
      <c r="K15" s="3224"/>
      <c r="L15" s="3224"/>
      <c r="M15" s="2711"/>
      <c r="N15" s="3224"/>
      <c r="O15" s="2711"/>
      <c r="P15" s="2710"/>
      <c r="Q15" s="2710"/>
      <c r="AD15" s="2726"/>
    </row>
    <row r="16" spans="1:30">
      <c r="A16" s="3146" t="s">
        <v>452</v>
      </c>
      <c r="B16" s="3478"/>
      <c r="C16" s="3479"/>
      <c r="D16" s="3480"/>
      <c r="E16" s="3163" t="s">
        <v>453</v>
      </c>
      <c r="F16" s="3481"/>
      <c r="G16" s="3482"/>
      <c r="H16" s="3482"/>
      <c r="I16" s="3483"/>
      <c r="J16" s="2710"/>
      <c r="K16" s="3225"/>
      <c r="L16" s="3224"/>
      <c r="M16" s="3224"/>
      <c r="N16" s="2711"/>
      <c r="O16" s="3224"/>
      <c r="P16" s="2711"/>
      <c r="Q16" s="2710"/>
      <c r="R16" s="2710"/>
    </row>
    <row r="17" spans="1:28">
      <c r="A17" s="1994" t="s">
        <v>454</v>
      </c>
      <c r="B17" s="1983" t="s">
        <v>455</v>
      </c>
      <c r="C17" s="1005">
        <f>'数据-汇总表'!E3</f>
        <v>2541.1799999999998</v>
      </c>
      <c r="D17" s="2037" t="s">
        <v>456</v>
      </c>
      <c r="E17" s="3484" t="s">
        <v>457</v>
      </c>
      <c r="F17" s="3485"/>
      <c r="G17" s="3485"/>
      <c r="H17" s="3485"/>
      <c r="I17" s="3486"/>
      <c r="J17" s="2710"/>
      <c r="K17" s="3226"/>
      <c r="L17" s="3224"/>
      <c r="M17" s="3224"/>
      <c r="N17" s="2711"/>
      <c r="O17" s="3224"/>
      <c r="P17" s="2711"/>
      <c r="Q17" s="2710"/>
      <c r="R17" s="2710"/>
      <c r="S17" s="2710"/>
      <c r="T17" s="2710"/>
      <c r="U17" s="2710"/>
      <c r="V17" s="2710"/>
    </row>
    <row r="18" spans="1:28" ht="24">
      <c r="A18" s="3164" t="s">
        <v>458</v>
      </c>
      <c r="B18" s="2005" t="s">
        <v>459</v>
      </c>
      <c r="C18" s="3165">
        <f>'数据-汇总表'!D3</f>
        <v>2068.02</v>
      </c>
      <c r="D18" s="2030" t="s">
        <v>456</v>
      </c>
      <c r="E18" s="3487" t="s">
        <v>460</v>
      </c>
      <c r="F18" s="3488"/>
      <c r="G18" s="3488"/>
      <c r="H18" s="3488"/>
      <c r="I18" s="3489"/>
      <c r="J18" s="2710"/>
      <c r="K18" s="3226"/>
      <c r="L18" s="3224"/>
      <c r="M18" s="3224"/>
      <c r="N18" s="2711"/>
      <c r="O18" s="3224"/>
      <c r="P18" s="2711"/>
      <c r="Q18" s="2710"/>
      <c r="R18" s="2710"/>
      <c r="S18" s="2710"/>
      <c r="T18" s="2710"/>
      <c r="U18" s="2710"/>
      <c r="V18" s="2710"/>
    </row>
    <row r="19" spans="1:28" ht="36">
      <c r="A19" s="2047" t="s">
        <v>461</v>
      </c>
      <c r="B19" s="1987" t="s">
        <v>462</v>
      </c>
      <c r="C19" s="3166"/>
      <c r="D19" s="3167" t="s">
        <v>463</v>
      </c>
      <c r="E19" s="3168"/>
      <c r="F19" s="3169" t="str">
        <f>IF(AND(C19="是",E19="否"),"是否提供他项权证或相关说明","")</f>
        <v/>
      </c>
      <c r="G19" s="3170"/>
      <c r="H19" s="2831"/>
      <c r="I19" s="2831"/>
      <c r="J19" s="2710"/>
      <c r="K19" s="3215"/>
      <c r="L19" s="3213"/>
      <c r="M19" s="3213"/>
      <c r="N19" s="2711"/>
      <c r="O19" s="3224"/>
      <c r="P19" s="2711"/>
      <c r="Q19" s="2710"/>
      <c r="R19" s="2710"/>
      <c r="S19" s="2710"/>
      <c r="T19" s="2710"/>
      <c r="U19" s="2710"/>
      <c r="V19" s="2710"/>
    </row>
    <row r="20" spans="1:28">
      <c r="A20" s="3171" t="s">
        <v>464</v>
      </c>
      <c r="B20" s="3490" t="s">
        <v>465</v>
      </c>
      <c r="C20" s="3491"/>
      <c r="D20" s="3492" t="s">
        <v>466</v>
      </c>
      <c r="E20" s="3493"/>
      <c r="F20" s="3172" t="s">
        <v>467</v>
      </c>
      <c r="G20" s="2831"/>
      <c r="H20" s="2831"/>
      <c r="I20" s="2831"/>
      <c r="J20" s="2710"/>
      <c r="K20" s="3503" t="s">
        <v>468</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6"/>
      <c r="X20" s="2726"/>
      <c r="Y20" s="2726"/>
      <c r="Z20" s="2726"/>
      <c r="AA20" s="2726"/>
      <c r="AB20" s="2726"/>
    </row>
    <row r="21" spans="1:28" ht="24">
      <c r="A21" s="3171"/>
      <c r="B21" s="3173" t="s">
        <v>469</v>
      </c>
      <c r="C21" s="3174" t="s">
        <v>470</v>
      </c>
      <c r="D21" s="3175" t="s">
        <v>471</v>
      </c>
      <c r="E21" s="3176" t="s">
        <v>470</v>
      </c>
      <c r="F21" s="3177"/>
      <c r="G21" s="2831"/>
      <c r="H21" s="2831"/>
      <c r="I21" s="2831"/>
      <c r="J21" s="2710"/>
      <c r="K21" s="3503"/>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6"/>
      <c r="X21" s="2726"/>
      <c r="Y21" s="2726"/>
      <c r="Z21" s="2726"/>
      <c r="AA21" s="2726"/>
      <c r="AB21" s="2726"/>
    </row>
    <row r="22" spans="1:28" ht="24">
      <c r="A22" s="3171"/>
      <c r="B22" s="3178" t="s">
        <v>472</v>
      </c>
      <c r="C22" s="3174" t="s">
        <v>473</v>
      </c>
      <c r="D22" s="3118"/>
      <c r="E22" s="3118"/>
      <c r="F22" s="3118"/>
      <c r="G22" s="2831"/>
      <c r="H22" s="2831"/>
      <c r="I22" s="2831"/>
      <c r="J22" s="2710"/>
      <c r="K22" s="3503"/>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6"/>
      <c r="X22" s="2726"/>
      <c r="Y22" s="2726"/>
      <c r="Z22" s="2726"/>
      <c r="AA22" s="2726"/>
      <c r="AB22" s="2726"/>
    </row>
    <row r="23" spans="1:28">
      <c r="A23" s="3179" t="s">
        <v>474</v>
      </c>
      <c r="B23" s="2701" t="s">
        <v>475</v>
      </c>
      <c r="C23" s="3180"/>
      <c r="D23" s="3181" t="s">
        <v>475</v>
      </c>
      <c r="E23" s="3182"/>
      <c r="F23" s="3118"/>
      <c r="G23" s="2831"/>
      <c r="H23" s="2831"/>
      <c r="I23" s="2831"/>
      <c r="J23" s="2710"/>
      <c r="K23" s="3229"/>
      <c r="L23" s="2146"/>
      <c r="M23" s="3213"/>
      <c r="N23" s="2711"/>
      <c r="O23" s="3224"/>
      <c r="P23" s="2711"/>
      <c r="Q23" s="2710"/>
      <c r="R23" s="2710"/>
      <c r="S23" s="2710"/>
      <c r="T23" s="2710"/>
      <c r="U23" s="2710"/>
      <c r="V23" s="2710"/>
    </row>
    <row r="24" spans="1:28">
      <c r="A24" s="3179"/>
      <c r="B24" s="2701" t="s">
        <v>476</v>
      </c>
      <c r="C24" s="3183"/>
      <c r="D24" s="3179" t="s">
        <v>476</v>
      </c>
      <c r="E24" s="3184"/>
      <c r="F24" s="3118"/>
      <c r="G24" s="2831"/>
      <c r="H24" s="2831"/>
      <c r="I24" s="2831"/>
      <c r="J24" s="2710"/>
      <c r="K24" s="3229"/>
      <c r="L24" s="2146"/>
      <c r="M24" s="3213"/>
      <c r="N24" s="2711"/>
      <c r="O24" s="3224"/>
      <c r="P24" s="2711"/>
      <c r="Q24" s="2710"/>
      <c r="R24" s="2710"/>
      <c r="S24" s="2710"/>
      <c r="T24" s="2710"/>
      <c r="U24" s="2710"/>
      <c r="V24" s="2710"/>
    </row>
    <row r="25" spans="1:28">
      <c r="A25" s="3179"/>
      <c r="B25" s="2701" t="s">
        <v>477</v>
      </c>
      <c r="C25" s="3183"/>
      <c r="D25" s="3179" t="s">
        <v>477</v>
      </c>
      <c r="E25" s="3184"/>
      <c r="F25" s="3118"/>
      <c r="G25" s="2831"/>
      <c r="H25" s="2831"/>
      <c r="I25" s="2831"/>
      <c r="J25" s="2710"/>
      <c r="K25" s="3215"/>
      <c r="L25" s="3213"/>
      <c r="M25" s="3213"/>
      <c r="N25" s="2711"/>
      <c r="O25" s="3224"/>
      <c r="P25" s="2711"/>
      <c r="Q25" s="2710"/>
      <c r="R25" s="2710"/>
      <c r="S25" s="2710"/>
      <c r="T25" s="2710"/>
      <c r="U25" s="2710"/>
      <c r="V25" s="2710"/>
    </row>
    <row r="26" spans="1:28">
      <c r="A26" s="3185"/>
      <c r="B26" s="3186" t="s">
        <v>478</v>
      </c>
      <c r="C26" s="3187"/>
      <c r="D26" s="3185" t="s">
        <v>478</v>
      </c>
      <c r="E26" s="3188"/>
      <c r="F26" s="3142"/>
      <c r="G26" s="3142"/>
      <c r="H26" s="3142"/>
      <c r="I26" s="3142"/>
      <c r="J26" s="2710"/>
      <c r="K26" s="3215"/>
      <c r="L26" s="3213"/>
      <c r="M26" s="3213"/>
      <c r="N26" s="2711"/>
      <c r="O26" s="3224"/>
      <c r="P26" s="2711"/>
      <c r="Q26" s="2710"/>
      <c r="R26" s="2710"/>
      <c r="S26" s="2710"/>
      <c r="T26" s="2710"/>
      <c r="U26" s="2710"/>
      <c r="V26" s="2710"/>
    </row>
    <row r="27" spans="1:28">
      <c r="A27" s="3497" t="s">
        <v>479</v>
      </c>
      <c r="B27" s="2017" t="s">
        <v>480</v>
      </c>
      <c r="C27" s="3189"/>
      <c r="D27" s="3190"/>
      <c r="E27" s="2831"/>
      <c r="F27" s="2831"/>
      <c r="G27" s="2831"/>
      <c r="H27" s="2831"/>
      <c r="I27" s="2831"/>
      <c r="J27" s="2710"/>
      <c r="K27" s="3225"/>
      <c r="L27" s="3224"/>
      <c r="M27" s="3224"/>
      <c r="N27" s="2711"/>
      <c r="O27" s="3224"/>
      <c r="P27" s="2711"/>
      <c r="Q27" s="2710"/>
      <c r="R27" s="2710"/>
      <c r="S27" s="2710"/>
      <c r="T27" s="2710"/>
      <c r="U27" s="2710"/>
      <c r="V27" s="2710"/>
    </row>
    <row r="28" spans="1:28">
      <c r="A28" s="3497"/>
      <c r="B28" s="1983" t="s">
        <v>481</v>
      </c>
      <c r="C28" s="3191"/>
      <c r="D28" s="3192"/>
      <c r="E28" s="2831"/>
      <c r="F28" s="2831"/>
      <c r="G28" s="2831"/>
      <c r="H28" s="2831"/>
      <c r="I28" s="2831"/>
      <c r="J28" s="2710"/>
      <c r="K28" s="3215"/>
      <c r="L28" s="3213"/>
      <c r="M28" s="3213"/>
      <c r="N28" s="2710"/>
      <c r="O28" s="3214"/>
      <c r="P28" s="2710"/>
      <c r="Q28" s="2710"/>
      <c r="R28" s="2710"/>
      <c r="S28" s="2710"/>
      <c r="T28" s="2710"/>
      <c r="U28" s="2710"/>
      <c r="V28" s="2710"/>
    </row>
    <row r="29" spans="1:28">
      <c r="A29" s="3497"/>
      <c r="B29" s="1983" t="s">
        <v>482</v>
      </c>
      <c r="C29" s="3193"/>
      <c r="D29" s="3194"/>
      <c r="E29" s="2831"/>
      <c r="F29" s="2831"/>
      <c r="G29" s="2831"/>
      <c r="H29" s="2831"/>
      <c r="I29" s="2831"/>
      <c r="J29" s="2710"/>
      <c r="K29" s="3215"/>
      <c r="L29" s="3213"/>
      <c r="M29" s="3213"/>
      <c r="N29" s="2710"/>
      <c r="O29" s="3214"/>
      <c r="P29" s="2710"/>
      <c r="Q29" s="2710"/>
      <c r="R29" s="2710"/>
      <c r="S29" s="2710"/>
      <c r="T29" s="2710"/>
      <c r="U29" s="2710"/>
      <c r="V29" s="2710"/>
    </row>
    <row r="30" spans="1:28">
      <c r="A30" s="3498"/>
      <c r="B30" s="1983" t="s">
        <v>483</v>
      </c>
      <c r="C30" s="3494"/>
      <c r="D30" s="3495"/>
      <c r="E30" s="2831"/>
      <c r="F30" s="2831"/>
      <c r="G30" s="2831"/>
      <c r="H30" s="2831"/>
      <c r="I30" s="2831"/>
      <c r="J30" s="2710"/>
      <c r="K30" s="3215"/>
      <c r="L30" s="3213"/>
      <c r="M30" s="3213"/>
      <c r="N30" s="2710"/>
      <c r="O30" s="3214"/>
      <c r="P30" s="2710"/>
      <c r="Q30" s="2710"/>
      <c r="R30" s="2710"/>
      <c r="S30" s="2710"/>
      <c r="T30" s="2710"/>
      <c r="U30" s="2710"/>
      <c r="V30" s="2710"/>
    </row>
    <row r="31" spans="1:28">
      <c r="A31" s="3499" t="s">
        <v>484</v>
      </c>
      <c r="B31" s="3195"/>
      <c r="C31" s="2137" t="str">
        <f>IF(B31="现房","成新及维护状况正常否",IF(B31="在建","工程状态是否正常",IF(B31="土地","是否闲置","-")))</f>
        <v>-</v>
      </c>
      <c r="D31" s="2237"/>
      <c r="E31" s="3196"/>
      <c r="F31" s="2831"/>
      <c r="G31" s="2831"/>
      <c r="H31" s="2831"/>
      <c r="I31" s="2831"/>
      <c r="J31" s="2710"/>
      <c r="K31" s="3212"/>
      <c r="L31" s="3213"/>
      <c r="M31" s="3213"/>
      <c r="N31" s="2710"/>
      <c r="O31" s="3214"/>
      <c r="P31" s="2710"/>
      <c r="Q31" s="2710"/>
      <c r="R31" s="2710"/>
      <c r="S31" s="2710"/>
      <c r="T31" s="2710"/>
      <c r="U31" s="2710"/>
      <c r="V31" s="2710"/>
    </row>
    <row r="32" spans="1:28">
      <c r="A32" s="3500"/>
      <c r="B32" s="3195"/>
      <c r="C32" s="2137" t="str">
        <f>IF(B32="现房","成新及维护状况是否正常",IF(B32="在建","工程状态是否正常",IF(B32="土地","是否闲置","-")))</f>
        <v>-</v>
      </c>
      <c r="D32" s="2237"/>
      <c r="E32" s="3196"/>
      <c r="F32" s="2831"/>
      <c r="G32" s="2831"/>
      <c r="H32" s="2831"/>
      <c r="I32" s="2831"/>
      <c r="J32" s="2710"/>
      <c r="K32" s="3215"/>
      <c r="L32" s="3213"/>
      <c r="M32" s="3213"/>
      <c r="N32" s="2710"/>
      <c r="O32" s="3214"/>
      <c r="P32" s="2710"/>
      <c r="Q32" s="2710"/>
      <c r="R32" s="2710"/>
      <c r="S32" s="2710"/>
      <c r="T32" s="2710"/>
      <c r="U32" s="2710"/>
      <c r="V32" s="2710"/>
    </row>
    <row r="33" spans="1:30">
      <c r="A33" s="3500"/>
      <c r="B33" s="3197"/>
      <c r="C33" s="2462" t="str">
        <f>IF(B33="现房","成新及维护状况是否正常",IF(B33="在建","工程状态是否正常",IF(B33="土地","是否闲置","-")))</f>
        <v>-</v>
      </c>
      <c r="D33" s="1992"/>
      <c r="E33" s="3198"/>
      <c r="F33" s="2831"/>
      <c r="G33" s="2831"/>
      <c r="H33" s="2831"/>
      <c r="I33" s="2831"/>
      <c r="J33" s="2710"/>
      <c r="K33" s="3215"/>
      <c r="L33" s="3213"/>
      <c r="M33" s="3213"/>
      <c r="N33" s="2710"/>
      <c r="O33" s="3214"/>
      <c r="P33" s="2710"/>
      <c r="Q33" s="2710"/>
      <c r="R33" s="2710"/>
      <c r="S33" s="2710"/>
      <c r="T33" s="2710"/>
      <c r="U33" s="2710"/>
      <c r="V33" s="2710"/>
    </row>
    <row r="34" spans="1:30">
      <c r="A34" s="1983" t="s">
        <v>485</v>
      </c>
      <c r="B34" s="575"/>
      <c r="C34" s="575"/>
      <c r="D34" s="575"/>
      <c r="E34" s="575"/>
      <c r="F34" s="575"/>
      <c r="G34" s="575"/>
      <c r="H34" s="575"/>
      <c r="I34" s="2831"/>
      <c r="J34" s="2710"/>
      <c r="K34" s="1005">
        <f>COUNTIF(B34:H34,"——")</f>
        <v>0</v>
      </c>
      <c r="L34" s="2024" t="s">
        <v>486</v>
      </c>
      <c r="M34" s="2024" t="s">
        <v>487</v>
      </c>
      <c r="N34" s="2024" t="s">
        <v>488</v>
      </c>
      <c r="O34" s="2024" t="s">
        <v>489</v>
      </c>
      <c r="P34" s="2024" t="s">
        <v>490</v>
      </c>
      <c r="Q34" s="2024" t="s">
        <v>491</v>
      </c>
      <c r="R34" s="2024" t="s">
        <v>492</v>
      </c>
      <c r="S34" s="3504" t="s">
        <v>493</v>
      </c>
      <c r="T34" s="2024" t="str">
        <f>NUMBERSTRING(7-K34,1)&amp;"通"</f>
        <v>七通</v>
      </c>
      <c r="U34" s="2710"/>
      <c r="V34" s="2710"/>
    </row>
    <row r="35" spans="1:30">
      <c r="A35" s="3199"/>
      <c r="B35" s="3496" t="s">
        <v>494</v>
      </c>
      <c r="C35" s="3496"/>
      <c r="D35" s="3496"/>
      <c r="E35" s="3496"/>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04"/>
      <c r="T35" s="2026" t="str">
        <f>IF(T34="一通",L35,IF(T34="二通",M35,IF(T34="三通",N35,IF(T34="四通",O35,IF(T34="五通",P35,IF(T34="六通",Q35,R35))))))</f>
        <v>、、、、、、</v>
      </c>
      <c r="U35" s="2710"/>
      <c r="V35" s="2710"/>
    </row>
    <row r="36" spans="1:30">
      <c r="A36" s="3200"/>
      <c r="B36" s="1062" t="s">
        <v>443</v>
      </c>
      <c r="C36" s="1062" t="s">
        <v>444</v>
      </c>
      <c r="D36" s="1062" t="s">
        <v>442</v>
      </c>
      <c r="E36" s="1062" t="s">
        <v>447</v>
      </c>
      <c r="F36" s="3201" t="s">
        <v>280</v>
      </c>
      <c r="G36" s="2831"/>
      <c r="H36" s="2831"/>
      <c r="I36" s="2831"/>
      <c r="J36" s="2710"/>
      <c r="K36" s="3215"/>
      <c r="L36" s="3213"/>
      <c r="M36" s="3213"/>
      <c r="N36" s="2710"/>
      <c r="O36" s="3214"/>
      <c r="P36" s="2710"/>
      <c r="Q36" s="2710"/>
      <c r="R36" s="2710"/>
      <c r="S36" s="2710"/>
      <c r="T36" s="2710"/>
      <c r="U36" s="2710"/>
      <c r="V36" s="2710"/>
    </row>
    <row r="37" spans="1:30">
      <c r="A37" s="3202" t="s">
        <v>495</v>
      </c>
      <c r="B37" s="3203"/>
      <c r="C37" s="3203"/>
      <c r="D37" s="3203"/>
      <c r="E37" s="3203" t="s">
        <v>278</v>
      </c>
      <c r="F37" s="3203"/>
      <c r="G37" s="2831"/>
      <c r="H37" s="2831"/>
      <c r="I37" s="2831"/>
      <c r="J37" s="2710"/>
      <c r="K37" s="3215"/>
      <c r="L37" s="3213"/>
      <c r="M37" s="3213"/>
      <c r="N37" s="2710"/>
      <c r="O37" s="3214"/>
      <c r="P37" s="2710"/>
      <c r="Q37" s="2710"/>
      <c r="R37" s="2710"/>
      <c r="S37" s="2710"/>
      <c r="T37" s="2710"/>
      <c r="U37" s="2710"/>
      <c r="V37" s="2710"/>
    </row>
    <row r="38" spans="1:30">
      <c r="A38" s="3204" t="s">
        <v>496</v>
      </c>
      <c r="B38" s="3205"/>
      <c r="C38" s="3205"/>
      <c r="D38" s="3205"/>
      <c r="E38" s="3205" t="s">
        <v>497</v>
      </c>
      <c r="F38" s="3205"/>
      <c r="G38" s="3142"/>
      <c r="H38" s="3142"/>
      <c r="I38" s="3142"/>
      <c r="J38" s="2710"/>
      <c r="K38" s="3215"/>
      <c r="L38" s="3213"/>
      <c r="M38" s="3213"/>
      <c r="N38" s="2710"/>
      <c r="O38" s="3214"/>
      <c r="P38" s="2710"/>
      <c r="Q38" s="2710"/>
      <c r="R38" s="2710"/>
      <c r="S38" s="2710"/>
      <c r="T38" s="2710"/>
      <c r="U38" s="2710"/>
      <c r="V38" s="2710"/>
    </row>
    <row r="39" spans="1:30" s="3109" customFormat="1">
      <c r="A39" s="3206" t="s">
        <v>498</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2"/>
      <c r="J40" s="2711"/>
      <c r="K40" s="3212"/>
      <c r="L40" s="3224"/>
      <c r="M40" s="3224"/>
      <c r="N40" s="2711"/>
      <c r="O40" s="3224"/>
      <c r="P40" s="2710"/>
      <c r="Q40" s="2710"/>
      <c r="R40" s="2710"/>
      <c r="S40" s="2710"/>
      <c r="T40" s="2710"/>
      <c r="U40" s="2710"/>
      <c r="V40" s="2710"/>
    </row>
    <row r="41" spans="1:30">
      <c r="A41" s="3208" t="s">
        <v>499</v>
      </c>
      <c r="B41" s="2368"/>
      <c r="C41" s="2237"/>
      <c r="D41" s="3154"/>
      <c r="E41" s="3154"/>
      <c r="F41" s="3154"/>
      <c r="G41" s="3154"/>
      <c r="H41" s="3154"/>
      <c r="I41" s="3019"/>
      <c r="J41" s="2710"/>
      <c r="K41" s="3215"/>
      <c r="L41" s="3213"/>
      <c r="M41" s="3213"/>
      <c r="N41" s="2710"/>
      <c r="O41" s="3214"/>
      <c r="P41" s="2710"/>
      <c r="Q41" s="2710"/>
      <c r="R41" s="2710"/>
      <c r="S41" s="2710"/>
      <c r="T41" s="2710"/>
      <c r="U41" s="2710"/>
      <c r="V41" s="2710"/>
    </row>
    <row r="42" spans="1:30" ht="25.5">
      <c r="A42" s="2024" t="s">
        <v>500</v>
      </c>
      <c r="B42" s="1005" t="s">
        <v>501</v>
      </c>
      <c r="C42" s="1005" t="s">
        <v>502</v>
      </c>
      <c r="D42" s="1005" t="s">
        <v>503</v>
      </c>
      <c r="E42" s="1005" t="s">
        <v>504</v>
      </c>
      <c r="F42" s="1005" t="s">
        <v>505</v>
      </c>
      <c r="G42" s="1005" t="s">
        <v>506</v>
      </c>
      <c r="H42" s="1005" t="s">
        <v>507</v>
      </c>
      <c r="I42" s="1005" t="s">
        <v>508</v>
      </c>
      <c r="J42" s="3233" t="s">
        <v>509</v>
      </c>
      <c r="K42" s="3234" t="s">
        <v>510</v>
      </c>
      <c r="L42" s="3234" t="s">
        <v>511</v>
      </c>
      <c r="M42" s="3234" t="s">
        <v>512</v>
      </c>
      <c r="N42" s="3235" t="s">
        <v>513</v>
      </c>
      <c r="O42" s="3235" t="s">
        <v>514</v>
      </c>
      <c r="P42" s="3235" t="s">
        <v>515</v>
      </c>
      <c r="Q42" s="3240" t="s">
        <v>516</v>
      </c>
      <c r="R42" s="3240" t="s">
        <v>517</v>
      </c>
      <c r="S42" s="2710"/>
      <c r="T42" s="2710"/>
      <c r="U42" s="2710"/>
      <c r="V42" s="2710"/>
    </row>
    <row r="43" spans="1:30" s="2924" customFormat="1">
      <c r="A43" s="3046"/>
      <c r="B43" s="3040"/>
      <c r="C43" s="3040"/>
      <c r="D43" s="3040"/>
      <c r="E43" s="3040"/>
      <c r="F43" s="3040"/>
      <c r="G43" s="3040"/>
      <c r="H43" s="3040"/>
      <c r="I43" s="3040"/>
      <c r="J43" s="3236"/>
      <c r="K43" s="3237"/>
      <c r="L43" s="3237"/>
      <c r="M43" s="3040"/>
      <c r="N43" s="3040"/>
      <c r="O43" s="3040"/>
      <c r="P43" s="3040"/>
      <c r="Q43" s="3040"/>
      <c r="R43" s="3040"/>
      <c r="S43" s="2710"/>
      <c r="T43" s="2710"/>
      <c r="U43" s="2710"/>
      <c r="V43" s="2710"/>
    </row>
    <row r="44" spans="1:30" s="2924" customFormat="1">
      <c r="A44" s="3046"/>
      <c r="B44" s="3046"/>
      <c r="C44" s="3040"/>
      <c r="D44" s="3040"/>
      <c r="E44" s="3040"/>
      <c r="F44" s="3040"/>
      <c r="G44" s="3040"/>
      <c r="H44" s="3040"/>
      <c r="I44" s="3040"/>
      <c r="J44" s="3236"/>
      <c r="K44" s="3237"/>
      <c r="L44" s="3237"/>
      <c r="M44" s="3040"/>
      <c r="N44" s="3040"/>
      <c r="O44" s="3040"/>
      <c r="P44" s="3040"/>
      <c r="Q44" s="3040"/>
      <c r="R44" s="3040"/>
      <c r="S44" s="2710"/>
      <c r="T44" s="2710"/>
      <c r="U44" s="2710"/>
      <c r="V44" s="2710"/>
    </row>
    <row r="45" spans="1:30" s="2924" customFormat="1">
      <c r="A45" s="3046"/>
      <c r="B45" s="3046"/>
      <c r="C45" s="3040"/>
      <c r="D45" s="3040"/>
      <c r="E45" s="3040"/>
      <c r="F45" s="3040"/>
      <c r="G45" s="3040"/>
      <c r="H45" s="3040"/>
      <c r="I45" s="3040"/>
      <c r="J45" s="3236"/>
      <c r="K45" s="3237"/>
      <c r="L45" s="3237"/>
      <c r="M45" s="3040"/>
      <c r="N45" s="3040"/>
      <c r="O45" s="3040"/>
      <c r="P45" s="3040"/>
      <c r="Q45" s="3040"/>
      <c r="R45" s="3040"/>
      <c r="S45" s="2710"/>
      <c r="T45" s="2710"/>
      <c r="U45" s="2710"/>
      <c r="V45" s="2710"/>
    </row>
    <row r="46" spans="1:30" s="2924" customFormat="1">
      <c r="A46" s="3046"/>
      <c r="B46" s="3046"/>
      <c r="C46" s="3040"/>
      <c r="D46" s="3040"/>
      <c r="E46" s="3040"/>
      <c r="F46" s="3040"/>
      <c r="G46" s="3040"/>
      <c r="H46" s="3040"/>
      <c r="I46" s="3040"/>
      <c r="J46" s="3236"/>
      <c r="K46" s="3237"/>
      <c r="L46" s="3237"/>
      <c r="M46" s="3040"/>
      <c r="N46" s="3040"/>
      <c r="O46" s="3040"/>
      <c r="P46" s="3040"/>
      <c r="Q46" s="3040"/>
      <c r="R46" s="3040"/>
      <c r="S46" s="2710"/>
      <c r="T46" s="2710"/>
      <c r="U46" s="2710"/>
      <c r="V46" s="2710"/>
    </row>
    <row r="47" spans="1:30" s="2924" customFormat="1">
      <c r="A47" s="3046"/>
      <c r="B47" s="3046"/>
      <c r="C47" s="3040"/>
      <c r="D47" s="3040"/>
      <c r="E47" s="3040"/>
      <c r="F47" s="3040"/>
      <c r="G47" s="3040"/>
      <c r="H47" s="3040"/>
      <c r="I47" s="3040"/>
      <c r="J47" s="3236"/>
      <c r="K47" s="3237"/>
      <c r="L47" s="3237"/>
      <c r="M47" s="3040"/>
      <c r="N47" s="3040"/>
      <c r="O47" s="3040"/>
      <c r="P47" s="3040"/>
      <c r="Q47" s="3040"/>
      <c r="R47" s="3040"/>
      <c r="S47" s="2710"/>
      <c r="T47" s="2710"/>
      <c r="U47" s="2710"/>
      <c r="V47" s="2710"/>
    </row>
    <row r="48" spans="1:30" s="2924" customFormat="1">
      <c r="A48" s="3046"/>
      <c r="B48" s="3046"/>
      <c r="C48" s="3040"/>
      <c r="D48" s="3040"/>
      <c r="E48" s="3040"/>
      <c r="F48" s="3040"/>
      <c r="G48" s="3040"/>
      <c r="H48" s="3040"/>
      <c r="I48" s="3040"/>
      <c r="J48" s="3236"/>
      <c r="K48" s="3237"/>
      <c r="L48" s="3237"/>
      <c r="M48" s="3040"/>
      <c r="N48" s="3040"/>
      <c r="O48" s="3040"/>
      <c r="P48" s="3040"/>
      <c r="Q48" s="3040"/>
      <c r="R48" s="3040"/>
      <c r="S48" s="2710"/>
      <c r="T48" s="2710"/>
      <c r="U48" s="2710"/>
      <c r="V48" s="2710"/>
    </row>
    <row r="49" spans="1:22" s="2924" customFormat="1">
      <c r="A49" s="3046"/>
      <c r="B49" s="3046"/>
      <c r="C49" s="3040"/>
      <c r="D49" s="3040"/>
      <c r="E49" s="3040"/>
      <c r="F49" s="3040"/>
      <c r="G49" s="3040"/>
      <c r="H49" s="3040"/>
      <c r="I49" s="3040"/>
      <c r="J49" s="3236"/>
      <c r="K49" s="3237"/>
      <c r="L49" s="3237"/>
      <c r="M49" s="3040"/>
      <c r="N49" s="3040"/>
      <c r="O49" s="3040"/>
      <c r="P49" s="3040"/>
      <c r="Q49" s="3040"/>
      <c r="R49" s="3040"/>
      <c r="S49" s="2710"/>
      <c r="T49" s="2710"/>
      <c r="U49" s="2710"/>
      <c r="V49" s="2710"/>
    </row>
    <row r="50" spans="1:22" s="2924" customFormat="1">
      <c r="A50" s="3046"/>
      <c r="B50" s="3046"/>
      <c r="C50" s="3040"/>
      <c r="D50" s="3040"/>
      <c r="E50" s="3040"/>
      <c r="F50" s="3040"/>
      <c r="G50" s="3040"/>
      <c r="H50" s="3040"/>
      <c r="I50" s="3040"/>
      <c r="J50" s="3236"/>
      <c r="K50" s="3237"/>
      <c r="L50" s="3237"/>
      <c r="M50" s="3040"/>
      <c r="N50" s="3040"/>
      <c r="O50" s="3040"/>
      <c r="P50" s="3040"/>
      <c r="Q50" s="3040"/>
      <c r="R50" s="3040"/>
      <c r="S50" s="2710"/>
      <c r="T50" s="2710"/>
      <c r="U50" s="2710"/>
      <c r="V50" s="2710"/>
    </row>
    <row r="51" spans="1:22" s="2924" customFormat="1">
      <c r="A51" s="3046"/>
      <c r="B51" s="3046"/>
      <c r="C51" s="3040"/>
      <c r="D51" s="3040"/>
      <c r="E51" s="3040"/>
      <c r="F51" s="3040"/>
      <c r="G51" s="3040"/>
      <c r="H51" s="3040"/>
      <c r="I51" s="3040"/>
      <c r="J51" s="3236"/>
      <c r="K51" s="3237"/>
      <c r="L51" s="3237"/>
      <c r="M51" s="3040"/>
      <c r="N51" s="3040"/>
      <c r="O51" s="3040"/>
      <c r="P51" s="3040"/>
      <c r="Q51" s="3040"/>
      <c r="R51" s="3040"/>
    </row>
    <row r="52" spans="1:22" s="2924" customFormat="1">
      <c r="A52" s="3046"/>
      <c r="B52" s="3046"/>
      <c r="C52" s="3046"/>
      <c r="D52" s="3046"/>
      <c r="E52" s="3046"/>
      <c r="F52" s="3040"/>
      <c r="G52" s="3046"/>
      <c r="H52" s="3046"/>
      <c r="I52" s="3046"/>
      <c r="J52" s="3238"/>
      <c r="K52" s="3237"/>
      <c r="L52" s="3237"/>
      <c r="M52" s="3237"/>
      <c r="N52" s="3046"/>
      <c r="O52" s="3046"/>
      <c r="P52" s="3046"/>
      <c r="Q52" s="3046"/>
      <c r="R52" s="3046"/>
    </row>
    <row r="53" spans="1:22" s="2924" customFormat="1">
      <c r="A53" s="3046"/>
      <c r="B53" s="3046"/>
      <c r="C53" s="3046"/>
      <c r="D53" s="3046"/>
      <c r="E53" s="3046"/>
      <c r="F53" s="3040"/>
      <c r="G53" s="3046"/>
      <c r="H53" s="3046"/>
      <c r="I53" s="3046"/>
      <c r="J53" s="3238"/>
      <c r="K53" s="3237"/>
      <c r="L53" s="3237"/>
      <c r="M53" s="3237"/>
      <c r="N53" s="3046"/>
      <c r="O53" s="3046"/>
      <c r="P53" s="3046"/>
      <c r="Q53" s="3046"/>
      <c r="R53" s="3046"/>
    </row>
    <row r="54" spans="1:22" s="2924" customFormat="1">
      <c r="A54" s="3046"/>
      <c r="B54" s="3046"/>
      <c r="C54" s="3046"/>
      <c r="D54" s="3046"/>
      <c r="E54" s="3046"/>
      <c r="F54" s="3040"/>
      <c r="G54" s="3046"/>
      <c r="H54" s="3046"/>
      <c r="I54" s="3046"/>
      <c r="J54" s="3238"/>
      <c r="K54" s="3237"/>
      <c r="L54" s="3237"/>
      <c r="M54" s="3237"/>
      <c r="N54" s="3046"/>
      <c r="O54" s="3046"/>
      <c r="P54" s="3046"/>
      <c r="Q54" s="3046"/>
      <c r="R54" s="3046"/>
    </row>
    <row r="55" spans="1:22" s="2924" customFormat="1">
      <c r="A55" s="3046"/>
      <c r="B55" s="3046"/>
      <c r="C55" s="3046"/>
      <c r="D55" s="3046"/>
      <c r="E55" s="3046"/>
      <c r="F55" s="3040"/>
      <c r="G55" s="3046"/>
      <c r="H55" s="3046"/>
      <c r="I55" s="3046"/>
      <c r="J55" s="3238"/>
      <c r="K55" s="3237"/>
      <c r="L55" s="3237"/>
      <c r="M55" s="3237"/>
      <c r="N55" s="3046"/>
      <c r="O55" s="3046"/>
      <c r="P55" s="3046"/>
      <c r="Q55" s="3046"/>
      <c r="R55" s="3046"/>
    </row>
    <row r="56" spans="1:22" s="2924" customFormat="1">
      <c r="A56" s="3046"/>
      <c r="B56" s="3046"/>
      <c r="C56" s="3046"/>
      <c r="D56" s="3046"/>
      <c r="E56" s="3046"/>
      <c r="F56" s="3040"/>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518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2" t="s">
        <v>519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5" t="s">
        <v>459</v>
      </c>
      <c r="B2" s="1005" t="s">
        <v>455</v>
      </c>
      <c r="C2" s="1005" t="s">
        <v>520</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2" t="s">
        <v>521</v>
      </c>
      <c r="AZ2" s="3083" t="s">
        <v>522</v>
      </c>
      <c r="BA2" s="1005" t="s">
        <v>523</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2068.02</v>
      </c>
      <c r="B3" s="3021">
        <f>IF(C3="否",G5-AT5,G5)</f>
        <v>2541.1799999999998</v>
      </c>
      <c r="C3" s="3022" t="s">
        <v>524</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4"/>
      <c r="AZ3" s="3040"/>
      <c r="BA3" s="3085"/>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6"/>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525</v>
      </c>
      <c r="B5" s="2365"/>
      <c r="C5" s="2365"/>
      <c r="D5" s="2493"/>
      <c r="E5" s="3026" t="s">
        <v>124</v>
      </c>
      <c r="F5" s="3026">
        <f>SUM(F13:F587)</f>
        <v>0</v>
      </c>
      <c r="G5" s="3026">
        <f>SUM(G13:G587)</f>
        <v>2541.1799999999998</v>
      </c>
      <c r="H5" s="3026">
        <f t="shared" ref="H5:AT5" si="0">SUM(H13:H656)</f>
        <v>2541.1799999999998</v>
      </c>
      <c r="I5" s="3026">
        <f t="shared" si="0"/>
        <v>2162.2800000000002</v>
      </c>
      <c r="J5" s="3026">
        <f t="shared" si="0"/>
        <v>0</v>
      </c>
      <c r="K5" s="3026">
        <f t="shared" si="0"/>
        <v>378.9</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525</v>
      </c>
      <c r="AW5" s="2365"/>
      <c r="AX5" s="2365"/>
      <c r="AY5" s="3087" t="s">
        <v>124</v>
      </c>
      <c r="AZ5" s="3088">
        <f t="shared" ref="AZ5:BT5" si="1">SUM(AZ13:AZ656)</f>
        <v>2541.1799999999998</v>
      </c>
      <c r="BA5" s="3088">
        <f t="shared" si="1"/>
        <v>2541.1799999999998</v>
      </c>
      <c r="BB5" s="3088">
        <f t="shared" si="1"/>
        <v>2162.2800000000002</v>
      </c>
      <c r="BC5" s="3088">
        <f t="shared" si="1"/>
        <v>378.9</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3" customFormat="1" ht="12.75">
      <c r="A6" s="2137" t="s">
        <v>526</v>
      </c>
      <c r="B6" s="3027"/>
      <c r="C6" s="3027"/>
      <c r="D6" s="3028"/>
      <c r="E6" s="3026">
        <f>H6+AC6+AT6</f>
        <v>2068.02</v>
      </c>
      <c r="F6" s="3026" t="s">
        <v>124</v>
      </c>
      <c r="G6" s="3026" t="s">
        <v>124</v>
      </c>
      <c r="H6" s="3029">
        <f>SUMIF(I$12:AB$12,"总值",I6:AB6)</f>
        <v>2068.02</v>
      </c>
      <c r="I6" s="3026">
        <f t="shared" ref="I6:AB6" si="2">ROUND($A$3*I5/$B$3,2)</f>
        <v>1759.67</v>
      </c>
      <c r="J6" s="3026">
        <f t="shared" si="2"/>
        <v>0</v>
      </c>
      <c r="K6" s="3026">
        <f t="shared" si="2"/>
        <v>308.35000000000002</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3"/>
      <c r="AV6" s="2137" t="s">
        <v>526</v>
      </c>
      <c r="AW6" s="3027"/>
      <c r="AX6" s="3027"/>
      <c r="AY6" s="3089">
        <f>IF(AY3&gt;0,AY3,ROUND($A$3*AZ5/$B$3,2))</f>
        <v>2068.02</v>
      </c>
      <c r="AZ6" s="3026" t="s">
        <v>124</v>
      </c>
      <c r="BA6" s="3026">
        <f>ROUND($AY$6*BA5/$AZ$5,2)</f>
        <v>2068.02</v>
      </c>
      <c r="BB6" s="3026">
        <f>ROUND($AY$6*BB5/$AZ$5,2)</f>
        <v>1759.67</v>
      </c>
      <c r="BC6" s="3026">
        <f t="shared" ref="BC6:BH6" si="4">ROUND($AY$6*BC5/$AZ$5,2)</f>
        <v>308.35000000000002</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8">
        <f t="shared" si="5"/>
        <v>0</v>
      </c>
    </row>
    <row r="7" spans="1:72" s="3011" customFormat="1" ht="24.75">
      <c r="A7" s="3030" t="s">
        <v>527</v>
      </c>
      <c r="B7" s="3030" t="s">
        <v>528</v>
      </c>
      <c r="C7" s="3030" t="s">
        <v>501</v>
      </c>
      <c r="D7" s="3030" t="s">
        <v>529</v>
      </c>
      <c r="E7" s="3030" t="s">
        <v>526</v>
      </c>
      <c r="F7" s="3030" t="s">
        <v>530</v>
      </c>
      <c r="G7" s="2462" t="s">
        <v>531</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532</v>
      </c>
      <c r="AV7" s="3074" t="s">
        <v>527</v>
      </c>
      <c r="AW7" s="2482" t="s">
        <v>528</v>
      </c>
      <c r="AX7" s="3074" t="s">
        <v>501</v>
      </c>
      <c r="AY7" s="2365" t="s">
        <v>533</v>
      </c>
      <c r="AZ7" s="3065"/>
      <c r="BA7" s="3031"/>
      <c r="BB7" s="3031"/>
      <c r="BC7" s="3031"/>
      <c r="BD7" s="3031"/>
      <c r="BE7" s="3031"/>
      <c r="BF7" s="3031"/>
      <c r="BG7" s="3031"/>
      <c r="BH7" s="3031"/>
      <c r="BI7" s="3031"/>
      <c r="BJ7" s="3031"/>
      <c r="BK7" s="3031"/>
      <c r="BL7" s="3031"/>
      <c r="BM7" s="3031"/>
      <c r="BN7" s="3031"/>
      <c r="BO7" s="3031"/>
      <c r="BP7" s="3031"/>
      <c r="BQ7" s="3031"/>
      <c r="BR7" s="3031"/>
      <c r="BS7" s="3031"/>
      <c r="BT7" s="3099"/>
    </row>
    <row r="8" spans="1:72" s="2729" customFormat="1" ht="24">
      <c r="A8" s="3032"/>
      <c r="B8" s="3032"/>
      <c r="C8" s="3032"/>
      <c r="D8" s="3032"/>
      <c r="E8" s="3032"/>
      <c r="F8" s="3032"/>
      <c r="G8" s="3033" t="s">
        <v>534</v>
      </c>
      <c r="H8" s="3034" t="s">
        <v>535</v>
      </c>
      <c r="I8" s="3054"/>
      <c r="J8" s="1004"/>
      <c r="K8" s="1004"/>
      <c r="L8" s="1004"/>
      <c r="M8" s="1004"/>
      <c r="N8" s="1004"/>
      <c r="O8" s="1004"/>
      <c r="P8" s="1004"/>
      <c r="Q8" s="1004"/>
      <c r="R8" s="1004"/>
      <c r="S8" s="1004"/>
      <c r="T8" s="1004"/>
      <c r="U8" s="1004"/>
      <c r="V8" s="3061"/>
      <c r="W8" s="1004"/>
      <c r="X8" s="1004"/>
      <c r="Y8" s="1004"/>
      <c r="Z8" s="1004"/>
      <c r="AA8" s="3061"/>
      <c r="AB8" s="3063"/>
      <c r="AC8" s="2286" t="s">
        <v>536</v>
      </c>
      <c r="AD8" s="3064"/>
      <c r="AE8" s="3065"/>
      <c r="AF8" s="1004"/>
      <c r="AG8" s="1004"/>
      <c r="AH8" s="1004"/>
      <c r="AI8" s="1004"/>
      <c r="AJ8" s="1004"/>
      <c r="AK8" s="1004"/>
      <c r="AL8" s="1004"/>
      <c r="AM8" s="1004"/>
      <c r="AN8" s="1004"/>
      <c r="AO8" s="1004"/>
      <c r="AP8" s="1004"/>
      <c r="AQ8" s="1004"/>
      <c r="AR8" s="1004"/>
      <c r="AS8" s="1004"/>
      <c r="AT8" s="1976" t="s">
        <v>537</v>
      </c>
      <c r="AU8" s="3032" t="s">
        <v>538</v>
      </c>
      <c r="AV8" s="1976"/>
      <c r="AW8" s="2442"/>
      <c r="AX8" s="1976"/>
      <c r="AY8" s="2482" t="s">
        <v>526</v>
      </c>
      <c r="AZ8" s="1003" t="s">
        <v>455</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32"/>
      <c r="B9" s="3032"/>
      <c r="C9" s="3032"/>
      <c r="D9" s="3032"/>
      <c r="E9" s="3032"/>
      <c r="F9" s="3032"/>
      <c r="G9" s="1976"/>
      <c r="H9" s="3035" t="s">
        <v>539</v>
      </c>
      <c r="I9" s="3055" t="s">
        <v>540</v>
      </c>
      <c r="J9" s="2286"/>
      <c r="K9" s="3055" t="s">
        <v>541</v>
      </c>
      <c r="L9" s="2286"/>
      <c r="M9" s="3055"/>
      <c r="N9" s="2286"/>
      <c r="O9" s="3055"/>
      <c r="P9" s="2286"/>
      <c r="Q9" s="3055"/>
      <c r="R9" s="2286"/>
      <c r="S9" s="3055"/>
      <c r="T9" s="2286"/>
      <c r="U9" s="3055"/>
      <c r="V9" s="2286"/>
      <c r="W9" s="3055"/>
      <c r="X9" s="3062"/>
      <c r="Y9" s="3055"/>
      <c r="Z9" s="2286"/>
      <c r="AA9" s="3055"/>
      <c r="AB9" s="2286"/>
      <c r="AC9" s="3033" t="s">
        <v>539</v>
      </c>
      <c r="AD9" s="2137" t="s">
        <v>542</v>
      </c>
      <c r="AE9" s="1988"/>
      <c r="AF9" s="2137" t="s">
        <v>543</v>
      </c>
      <c r="AG9" s="1988"/>
      <c r="AH9" s="2137" t="s">
        <v>542</v>
      </c>
      <c r="AI9" s="1988"/>
      <c r="AJ9" s="2137" t="s">
        <v>543</v>
      </c>
      <c r="AK9" s="1988"/>
      <c r="AL9" s="2137" t="s">
        <v>542</v>
      </c>
      <c r="AM9" s="1988"/>
      <c r="AN9" s="2137" t="s">
        <v>543</v>
      </c>
      <c r="AO9" s="1988"/>
      <c r="AP9" s="2137" t="s">
        <v>542</v>
      </c>
      <c r="AQ9" s="1988"/>
      <c r="AR9" s="2137" t="s">
        <v>543</v>
      </c>
      <c r="AS9" s="3075"/>
      <c r="AT9" s="3032"/>
      <c r="AU9" s="3032" t="s">
        <v>544</v>
      </c>
      <c r="AV9" s="1976"/>
      <c r="AW9" s="2442"/>
      <c r="AX9" s="1976"/>
      <c r="AY9" s="3036"/>
      <c r="AZ9" s="3036" t="s">
        <v>534</v>
      </c>
      <c r="BA9" s="3090" t="s">
        <v>545</v>
      </c>
      <c r="BB9" s="3091"/>
      <c r="BC9" s="2034"/>
      <c r="BD9" s="2034"/>
      <c r="BE9" s="2034"/>
      <c r="BF9" s="2034"/>
      <c r="BG9" s="2034"/>
      <c r="BH9" s="2034"/>
      <c r="BI9" s="2034"/>
      <c r="BJ9" s="2034"/>
      <c r="BK9" s="3096"/>
      <c r="BL9" s="2137" t="s">
        <v>546</v>
      </c>
      <c r="BM9" s="1004"/>
      <c r="BN9" s="3054"/>
      <c r="BO9" s="1004"/>
      <c r="BP9" s="1004"/>
      <c r="BQ9" s="1004"/>
      <c r="BR9" s="1004"/>
      <c r="BS9" s="1004"/>
      <c r="BT9" s="2022"/>
    </row>
    <row r="10" spans="1:72" s="2729" customFormat="1" ht="12.75">
      <c r="A10" s="3032"/>
      <c r="B10" s="3032"/>
      <c r="C10" s="3032"/>
      <c r="D10" s="3032"/>
      <c r="E10" s="3032"/>
      <c r="F10" s="3032"/>
      <c r="G10" s="1976"/>
      <c r="H10" s="3036"/>
      <c r="I10" s="3055" t="s">
        <v>408</v>
      </c>
      <c r="J10" s="2286"/>
      <c r="K10" s="3056" t="s">
        <v>408</v>
      </c>
      <c r="L10" s="2286"/>
      <c r="M10" s="3056"/>
      <c r="N10" s="2286"/>
      <c r="O10" s="3056"/>
      <c r="P10" s="2286"/>
      <c r="Q10" s="3056"/>
      <c r="R10" s="2286"/>
      <c r="S10" s="3056"/>
      <c r="T10" s="2286"/>
      <c r="U10" s="3056"/>
      <c r="V10" s="2286"/>
      <c r="W10" s="3056"/>
      <c r="X10" s="2286"/>
      <c r="Y10" s="3056"/>
      <c r="Z10" s="2286"/>
      <c r="AA10" s="3056"/>
      <c r="AB10" s="2286"/>
      <c r="AC10" s="1976"/>
      <c r="AD10" s="2137" t="s">
        <v>547</v>
      </c>
      <c r="AE10" s="3066"/>
      <c r="AF10" s="2137" t="s">
        <v>547</v>
      </c>
      <c r="AG10" s="3066"/>
      <c r="AH10" s="2137" t="s">
        <v>548</v>
      </c>
      <c r="AI10" s="3066"/>
      <c r="AJ10" s="2137" t="s">
        <v>548</v>
      </c>
      <c r="AK10" s="3066"/>
      <c r="AL10" s="2137" t="s">
        <v>549</v>
      </c>
      <c r="AM10" s="1988"/>
      <c r="AN10" s="2137" t="s">
        <v>549</v>
      </c>
      <c r="AO10" s="1988"/>
      <c r="AP10" s="2137" t="s">
        <v>550</v>
      </c>
      <c r="AQ10" s="1988"/>
      <c r="AR10" s="2137" t="s">
        <v>550</v>
      </c>
      <c r="AS10" s="1988"/>
      <c r="AT10" s="3032"/>
      <c r="AU10" s="3032"/>
      <c r="AV10" s="1976"/>
      <c r="AW10" s="2442"/>
      <c r="AX10" s="1976"/>
      <c r="AY10" s="3036"/>
      <c r="AZ10" s="3036"/>
      <c r="BA10" s="3037" t="s">
        <v>539</v>
      </c>
      <c r="BB10" s="3092" t="str">
        <f>I9</f>
        <v>地上</v>
      </c>
      <c r="BC10" s="2046" t="str">
        <f>K9</f>
        <v>地下</v>
      </c>
      <c r="BD10" s="2046">
        <f>M9</f>
        <v>0</v>
      </c>
      <c r="BE10" s="2046">
        <f>O9</f>
        <v>0</v>
      </c>
      <c r="BF10" s="2046">
        <f>Q9</f>
        <v>0</v>
      </c>
      <c r="BG10" s="2046">
        <f>S9</f>
        <v>0</v>
      </c>
      <c r="BH10" s="2046">
        <f>U9</f>
        <v>0</v>
      </c>
      <c r="BI10" s="2046">
        <f>W9</f>
        <v>0</v>
      </c>
      <c r="BJ10" s="2046">
        <f>Y9</f>
        <v>0</v>
      </c>
      <c r="BK10" s="2046">
        <f>AA9</f>
        <v>0</v>
      </c>
      <c r="BL10" s="2042" t="s">
        <v>539</v>
      </c>
      <c r="BM10" s="1003" t="str">
        <f>AD9</f>
        <v>地上</v>
      </c>
      <c r="BN10" s="2046" t="str">
        <f>AF9</f>
        <v>地下</v>
      </c>
      <c r="BO10" s="1003" t="str">
        <f>AH9</f>
        <v>地上</v>
      </c>
      <c r="BP10" s="2046" t="str">
        <f>AJ9</f>
        <v>地下</v>
      </c>
      <c r="BQ10" s="1003" t="str">
        <f>AL9</f>
        <v>地上</v>
      </c>
      <c r="BR10" s="2046" t="str">
        <f>AN9</f>
        <v>地下</v>
      </c>
      <c r="BS10" s="1003" t="str">
        <f>AP9</f>
        <v>地上</v>
      </c>
      <c r="BT10" s="3100" t="str">
        <f>AR9</f>
        <v>地下</v>
      </c>
    </row>
    <row r="11" spans="1:72" s="2729" customFormat="1" ht="12.75">
      <c r="A11" s="3032"/>
      <c r="B11" s="3032"/>
      <c r="C11" s="3032"/>
      <c r="D11" s="3032"/>
      <c r="E11" s="3032"/>
      <c r="F11" s="3032"/>
      <c r="G11" s="1976"/>
      <c r="H11" s="3037"/>
      <c r="I11" s="3057"/>
      <c r="J11" s="3058"/>
      <c r="K11" s="3057"/>
      <c r="L11" s="3058"/>
      <c r="M11" s="3057"/>
      <c r="N11" s="3058"/>
      <c r="O11" s="3057"/>
      <c r="P11" s="3058"/>
      <c r="Q11" s="3057"/>
      <c r="R11" s="3058"/>
      <c r="S11" s="3057"/>
      <c r="T11" s="3058"/>
      <c r="U11" s="3057"/>
      <c r="V11" s="3058"/>
      <c r="W11" s="3057"/>
      <c r="X11" s="3058"/>
      <c r="Y11" s="3057"/>
      <c r="Z11" s="3058"/>
      <c r="AA11" s="3057"/>
      <c r="AB11" s="3058"/>
      <c r="AC11" s="1976"/>
      <c r="AD11" s="3067" t="s">
        <v>551</v>
      </c>
      <c r="AE11" s="1060"/>
      <c r="AF11" s="3067" t="s">
        <v>551</v>
      </c>
      <c r="AG11" s="1060"/>
      <c r="AH11" s="3067" t="s">
        <v>552</v>
      </c>
      <c r="AI11" s="3071"/>
      <c r="AJ11" s="3067" t="s">
        <v>552</v>
      </c>
      <c r="AK11" s="1060"/>
      <c r="AL11" s="1003"/>
      <c r="AM11" s="1060"/>
      <c r="AN11" s="1003"/>
      <c r="AO11" s="1060"/>
      <c r="AP11" s="1003"/>
      <c r="AQ11" s="1060"/>
      <c r="AR11" s="1003"/>
      <c r="AS11" s="1060"/>
      <c r="AT11" s="2442"/>
      <c r="AU11" s="3032"/>
      <c r="AV11" s="1976"/>
      <c r="AW11" s="2442"/>
      <c r="AX11" s="1976"/>
      <c r="AY11" s="3036"/>
      <c r="AZ11" s="3036"/>
      <c r="BA11" s="3036"/>
      <c r="BB11" s="3063" t="str">
        <f>I10</f>
        <v>工业</v>
      </c>
      <c r="BC11" s="3063" t="str">
        <f>K10</f>
        <v>工业</v>
      </c>
      <c r="BD11" s="3063">
        <f>M10</f>
        <v>0</v>
      </c>
      <c r="BE11" s="3063">
        <f>O10</f>
        <v>0</v>
      </c>
      <c r="BF11" s="3063">
        <f>Q10</f>
        <v>0</v>
      </c>
      <c r="BG11" s="3063">
        <f>S10</f>
        <v>0</v>
      </c>
      <c r="BH11" s="3063">
        <f>U10</f>
        <v>0</v>
      </c>
      <c r="BI11" s="3063">
        <f>W10</f>
        <v>0</v>
      </c>
      <c r="BJ11" s="3063">
        <f>Y10</f>
        <v>0</v>
      </c>
      <c r="BK11" s="3063">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101" t="str">
        <f>AR10</f>
        <v>未注明</v>
      </c>
    </row>
    <row r="12" spans="1:72" s="3011" customFormat="1" ht="12.75">
      <c r="A12" s="3038"/>
      <c r="B12" s="3038"/>
      <c r="C12" s="3038"/>
      <c r="D12" s="3038"/>
      <c r="E12" s="3038"/>
      <c r="F12" s="3038"/>
      <c r="G12" s="601"/>
      <c r="H12" s="3039"/>
      <c r="I12" s="2493"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64" t="s">
        <v>554</v>
      </c>
      <c r="W12" s="1005" t="s">
        <v>553</v>
      </c>
      <c r="X12" s="1005" t="s">
        <v>554</v>
      </c>
      <c r="Y12" s="1005" t="s">
        <v>553</v>
      </c>
      <c r="Z12" s="1005" t="s">
        <v>554</v>
      </c>
      <c r="AA12" s="1005" t="s">
        <v>553</v>
      </c>
      <c r="AB12" s="1005" t="s">
        <v>554</v>
      </c>
      <c r="AC12" s="3068"/>
      <c r="AD12" s="2493"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38" t="s">
        <v>554</v>
      </c>
      <c r="AT12" s="3076"/>
      <c r="AU12" s="3038"/>
      <c r="AV12" s="3077"/>
      <c r="AW12" s="2482"/>
      <c r="AX12" s="3077"/>
      <c r="AY12" s="3093"/>
      <c r="AZ12" s="3036"/>
      <c r="BA12" s="3037"/>
      <c r="BB12" s="1002">
        <f>I11</f>
        <v>0</v>
      </c>
      <c r="BC12" s="3094">
        <f>K11</f>
        <v>0</v>
      </c>
      <c r="BD12" s="3094">
        <f>M11</f>
        <v>0</v>
      </c>
      <c r="BE12" s="3063">
        <f>O11</f>
        <v>0</v>
      </c>
      <c r="BF12" s="3063">
        <f>Q11</f>
        <v>0</v>
      </c>
      <c r="BG12" s="3063">
        <f>S11</f>
        <v>0</v>
      </c>
      <c r="BH12" s="3063">
        <f>U11</f>
        <v>0</v>
      </c>
      <c r="BI12" s="3063">
        <f>W11</f>
        <v>0</v>
      </c>
      <c r="BJ12" s="3063">
        <f>Y11</f>
        <v>0</v>
      </c>
      <c r="BK12" s="3063">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101">
        <f>AR11</f>
        <v>0</v>
      </c>
    </row>
    <row r="13" spans="1:72" s="3011" customFormat="1" ht="12.75">
      <c r="A13" s="3040"/>
      <c r="B13" s="3040"/>
      <c r="C13" s="3041" t="s">
        <v>555</v>
      </c>
      <c r="D13" s="3042" t="s">
        <v>556</v>
      </c>
      <c r="E13" s="3026">
        <f>IF($C$3="是",ROUND($A$3*G13/$B$3,2),ROUND($A$3*(G13-AT13)/$B$3,2))</f>
        <v>1233.4000000000001</v>
      </c>
      <c r="F13" s="3043"/>
      <c r="G13" s="3044">
        <f>H13+AC13+AT13</f>
        <v>1515.6</v>
      </c>
      <c r="H13" s="3029">
        <f>SUMIF(I$12:AB$12,"总值",I13:AB13)</f>
        <v>1515.6</v>
      </c>
      <c r="I13" s="3059">
        <v>1136.7</v>
      </c>
      <c r="J13" s="3059"/>
      <c r="K13" s="3059">
        <v>378.9</v>
      </c>
      <c r="L13" s="3059"/>
      <c r="M13" s="3059"/>
      <c r="N13" s="3059"/>
      <c r="O13" s="3059"/>
      <c r="P13" s="3059"/>
      <c r="Q13" s="3059"/>
      <c r="R13" s="3059"/>
      <c r="S13" s="3059"/>
      <c r="T13" s="3059"/>
      <c r="U13" s="3059"/>
      <c r="V13" s="3059"/>
      <c r="W13" s="3059"/>
      <c r="X13" s="3059"/>
      <c r="Y13" s="3059"/>
      <c r="Z13" s="3059"/>
      <c r="AA13" s="3059"/>
      <c r="AB13" s="3059"/>
      <c r="AC13" s="3026">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5">
        <f t="shared" ref="AV13:AX17" si="6">A13</f>
        <v>0</v>
      </c>
      <c r="AW13" s="1005">
        <f t="shared" si="6"/>
        <v>0</v>
      </c>
      <c r="AX13" s="1005" t="str">
        <f t="shared" si="6"/>
        <v>10号楼</v>
      </c>
      <c r="AY13" s="2493">
        <f>ROUND($AY$6*AZ13/$AZ$5,2)</f>
        <v>1233.4000000000001</v>
      </c>
      <c r="AZ13" s="3026">
        <f>BA13+BL13</f>
        <v>1515.6</v>
      </c>
      <c r="BA13" s="3026">
        <f>SUM(BB13:BK13)</f>
        <v>1515.6</v>
      </c>
      <c r="BB13" s="3026">
        <f>IF($D13="是",I13-J13,0)</f>
        <v>1136.7</v>
      </c>
      <c r="BC13" s="3026">
        <f>IF($D13="是",K13-L13,0)</f>
        <v>378.9</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8">
        <f>IF($D13="是",AR13-AS13,0)</f>
        <v>0</v>
      </c>
    </row>
    <row r="14" spans="1:72" s="3011" customFormat="1" ht="12.75">
      <c r="A14" s="3040"/>
      <c r="B14" s="3040"/>
      <c r="C14" s="3045" t="s">
        <v>557</v>
      </c>
      <c r="D14" s="3042" t="s">
        <v>556</v>
      </c>
      <c r="E14" s="3026">
        <f>IF($C$3="是",ROUND($A$3*G14/$B$3,2),ROUND($A$3*(G14-AT14)/$B$3,2))</f>
        <v>834.62</v>
      </c>
      <c r="F14" s="3043"/>
      <c r="G14" s="3044">
        <f>H14+AC14+AT14</f>
        <v>1025.58</v>
      </c>
      <c r="H14" s="3029">
        <f>SUMIF(I$12:AB$12,"总值",I14:AB14)</f>
        <v>1025.58</v>
      </c>
      <c r="I14" s="3059">
        <v>1025.58</v>
      </c>
      <c r="J14" s="3059"/>
      <c r="K14" s="3059"/>
      <c r="L14" s="3059"/>
      <c r="M14" s="3059"/>
      <c r="N14" s="3059"/>
      <c r="O14" s="3059"/>
      <c r="P14" s="3059"/>
      <c r="Q14" s="3059"/>
      <c r="R14" s="3059"/>
      <c r="S14" s="3059"/>
      <c r="T14" s="3059"/>
      <c r="U14" s="3059"/>
      <c r="V14" s="3059"/>
      <c r="W14" s="3059"/>
      <c r="X14" s="3059"/>
      <c r="Y14" s="3059"/>
      <c r="Z14" s="3059"/>
      <c r="AA14" s="3059"/>
      <c r="AB14" s="3059"/>
      <c r="AC14" s="3026">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5">
        <f t="shared" si="6"/>
        <v>0</v>
      </c>
      <c r="AW14" s="1005">
        <f t="shared" si="6"/>
        <v>0</v>
      </c>
      <c r="AX14" s="1005" t="str">
        <f t="shared" si="6"/>
        <v>21号楼</v>
      </c>
      <c r="AY14" s="2493">
        <f>ROUND($AY$6*AZ14/$AZ$5,2)</f>
        <v>834.62</v>
      </c>
      <c r="AZ14" s="3026">
        <f>BA14+BL14</f>
        <v>1025.58</v>
      </c>
      <c r="BA14" s="3026">
        <f>SUM(BB14:BK14)</f>
        <v>1025.58</v>
      </c>
      <c r="BB14" s="3026">
        <f>IF($D14="是",I14-J14,0)</f>
        <v>1025.58</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8">
        <f>IF($D14="是",AR14-AS14,0)</f>
        <v>0</v>
      </c>
    </row>
    <row r="15" spans="1:72" s="3011" customFormat="1" ht="12.75">
      <c r="A15" s="3040"/>
      <c r="B15" s="3040"/>
      <c r="C15" s="3046"/>
      <c r="D15" s="3042"/>
      <c r="E15" s="3026">
        <f>IF($C$3="是",ROUND($A$3*G15/$B$3,2),ROUND($A$3*(G15-AT15)/$B$3,2))</f>
        <v>0</v>
      </c>
      <c r="F15" s="3043"/>
      <c r="G15" s="3044">
        <f>H15+AC15+AT15</f>
        <v>0</v>
      </c>
      <c r="H15" s="3029">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6">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5">
        <f t="shared" si="6"/>
        <v>0</v>
      </c>
      <c r="AW15" s="1005">
        <f t="shared" si="6"/>
        <v>0</v>
      </c>
      <c r="AX15" s="1005">
        <f t="shared" si="6"/>
        <v>0</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8">
        <f>IF($D15="是",AR15-AS15,0)</f>
        <v>0</v>
      </c>
    </row>
    <row r="16" spans="1:72" s="3011" customFormat="1" ht="12.75">
      <c r="A16" s="3040"/>
      <c r="B16" s="3040"/>
      <c r="C16" s="3046"/>
      <c r="D16" s="3042"/>
      <c r="E16" s="3026">
        <f>IF($C$3="是",ROUND($A$3*G16/$B$3,2),ROUND($A$3*(G16-AT16)/$B$3,2))</f>
        <v>0</v>
      </c>
      <c r="F16" s="3043"/>
      <c r="G16" s="3044">
        <f>H16+AC16+AT16</f>
        <v>0</v>
      </c>
      <c r="H16" s="3029">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6">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5">
        <f t="shared" si="6"/>
        <v>0</v>
      </c>
      <c r="AW16" s="1005">
        <f t="shared" si="6"/>
        <v>0</v>
      </c>
      <c r="AX16" s="1005">
        <f t="shared" si="6"/>
        <v>0</v>
      </c>
      <c r="AY16" s="2493">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8">
        <f>IF($D16="是",AR16-AS16,0)</f>
        <v>0</v>
      </c>
    </row>
    <row r="17" spans="1:72" s="3011" customFormat="1" ht="12.75">
      <c r="A17" s="3040"/>
      <c r="B17" s="3040"/>
      <c r="C17" s="3046"/>
      <c r="D17" s="3042"/>
      <c r="E17" s="3026">
        <f>IF($C$3="是",ROUND($A$3*G17/$B$3,2),ROUND($A$3*(G17-AT17)/$B$3,2))</f>
        <v>0</v>
      </c>
      <c r="F17" s="3043"/>
      <c r="G17" s="3044">
        <f>H17+AC17+AT17</f>
        <v>0</v>
      </c>
      <c r="H17" s="3029">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6">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5">
        <f t="shared" si="6"/>
        <v>0</v>
      </c>
      <c r="AW17" s="1005">
        <f t="shared" si="6"/>
        <v>0</v>
      </c>
      <c r="AX17" s="1005">
        <f t="shared" si="6"/>
        <v>0</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3">
        <f t="shared" ref="AV18:AV112" si="11">A18</f>
        <v>0</v>
      </c>
      <c r="AW18" s="1283">
        <f t="shared" ref="AW18:AW112" si="12">B18</f>
        <v>0</v>
      </c>
      <c r="AX18" s="1283">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3">
        <f t="shared" si="11"/>
        <v>0</v>
      </c>
      <c r="AW19" s="1283">
        <f t="shared" si="12"/>
        <v>0</v>
      </c>
      <c r="AX19" s="1283">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3">
        <f t="shared" si="11"/>
        <v>0</v>
      </c>
      <c r="AW20" s="1283">
        <f t="shared" si="12"/>
        <v>0</v>
      </c>
      <c r="AX20" s="1283">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3">
        <f t="shared" si="11"/>
        <v>0</v>
      </c>
      <c r="AW21" s="1283">
        <f t="shared" si="12"/>
        <v>0</v>
      </c>
      <c r="AX21" s="1283">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3">
        <f t="shared" si="11"/>
        <v>0</v>
      </c>
      <c r="AW22" s="1283">
        <f t="shared" si="12"/>
        <v>0</v>
      </c>
      <c r="AX22" s="1283">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3">
        <f t="shared" si="11"/>
        <v>0</v>
      </c>
      <c r="AW23" s="1283">
        <f t="shared" si="12"/>
        <v>0</v>
      </c>
      <c r="AX23" s="1283">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3">
        <f t="shared" si="11"/>
        <v>0</v>
      </c>
      <c r="AW24" s="1283">
        <f t="shared" si="12"/>
        <v>0</v>
      </c>
      <c r="AX24" s="1283">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3">
        <f t="shared" si="11"/>
        <v>0</v>
      </c>
      <c r="AW25" s="1283">
        <f t="shared" si="12"/>
        <v>0</v>
      </c>
      <c r="AX25" s="1283">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3">
        <f t="shared" si="11"/>
        <v>0</v>
      </c>
      <c r="AW26" s="1283">
        <f t="shared" si="12"/>
        <v>0</v>
      </c>
      <c r="AX26" s="1283">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3">
        <f t="shared" si="11"/>
        <v>0</v>
      </c>
      <c r="AW27" s="1283">
        <f t="shared" si="12"/>
        <v>0</v>
      </c>
      <c r="AX27" s="1283">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3">
        <f t="shared" si="11"/>
        <v>0</v>
      </c>
      <c r="AW28" s="1283">
        <f t="shared" si="12"/>
        <v>0</v>
      </c>
      <c r="AX28" s="1283">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3">
        <f t="shared" si="11"/>
        <v>0</v>
      </c>
      <c r="AW29" s="1283">
        <f t="shared" si="12"/>
        <v>0</v>
      </c>
      <c r="AX29" s="1283">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3">
        <f t="shared" si="11"/>
        <v>0</v>
      </c>
      <c r="AW30" s="1283">
        <f t="shared" si="12"/>
        <v>0</v>
      </c>
      <c r="AX30" s="1283">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3">
        <f t="shared" si="11"/>
        <v>0</v>
      </c>
      <c r="AW31" s="1283">
        <f t="shared" si="12"/>
        <v>0</v>
      </c>
      <c r="AX31" s="1283">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3">
        <f t="shared" si="11"/>
        <v>0</v>
      </c>
      <c r="AW32" s="1283">
        <f t="shared" si="12"/>
        <v>0</v>
      </c>
      <c r="AX32" s="1283">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3">
        <f t="shared" si="11"/>
        <v>0</v>
      </c>
      <c r="AW33" s="1283">
        <f t="shared" si="12"/>
        <v>0</v>
      </c>
      <c r="AX33" s="1283">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3">
        <f t="shared" si="11"/>
        <v>0</v>
      </c>
      <c r="AW34" s="1283">
        <f t="shared" si="12"/>
        <v>0</v>
      </c>
      <c r="AX34" s="1283">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3">
        <f t="shared" si="11"/>
        <v>0</v>
      </c>
      <c r="AW35" s="1283">
        <f t="shared" si="12"/>
        <v>0</v>
      </c>
      <c r="AX35" s="1283">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3">
        <f t="shared" si="11"/>
        <v>0</v>
      </c>
      <c r="AW36" s="1283">
        <f t="shared" si="12"/>
        <v>0</v>
      </c>
      <c r="AX36" s="1283">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3">
        <f t="shared" si="11"/>
        <v>0</v>
      </c>
      <c r="AW37" s="1283">
        <f t="shared" si="12"/>
        <v>0</v>
      </c>
      <c r="AX37" s="1283">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3">
        <f t="shared" si="11"/>
        <v>0</v>
      </c>
      <c r="AW38" s="1283">
        <f t="shared" si="12"/>
        <v>0</v>
      </c>
      <c r="AX38" s="1283">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3">
        <f t="shared" si="11"/>
        <v>0</v>
      </c>
      <c r="AW39" s="1283">
        <f t="shared" si="12"/>
        <v>0</v>
      </c>
      <c r="AX39" s="1283">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3">
        <f t="shared" si="11"/>
        <v>0</v>
      </c>
      <c r="AW40" s="1283">
        <f t="shared" si="12"/>
        <v>0</v>
      </c>
      <c r="AX40" s="1283">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3">
        <f t="shared" si="11"/>
        <v>0</v>
      </c>
      <c r="AW41" s="1283">
        <f t="shared" si="12"/>
        <v>0</v>
      </c>
      <c r="AX41" s="1283">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3">
        <f t="shared" si="11"/>
        <v>0</v>
      </c>
      <c r="AW42" s="1283">
        <f t="shared" si="12"/>
        <v>0</v>
      </c>
      <c r="AX42" s="1283">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3">
        <f t="shared" si="11"/>
        <v>0</v>
      </c>
      <c r="AW43" s="1283">
        <f t="shared" si="12"/>
        <v>0</v>
      </c>
      <c r="AX43" s="1283">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3">
        <f t="shared" si="11"/>
        <v>0</v>
      </c>
      <c r="AW44" s="1283">
        <f t="shared" si="12"/>
        <v>0</v>
      </c>
      <c r="AX44" s="1283">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3">
        <f t="shared" si="11"/>
        <v>0</v>
      </c>
      <c r="AW45" s="1283">
        <f t="shared" si="12"/>
        <v>0</v>
      </c>
      <c r="AX45" s="1283">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3">
        <f t="shared" si="11"/>
        <v>0</v>
      </c>
      <c r="AW46" s="1283">
        <f t="shared" si="12"/>
        <v>0</v>
      </c>
      <c r="AX46" s="1283">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3">
        <f t="shared" si="11"/>
        <v>0</v>
      </c>
      <c r="AW47" s="1283">
        <f t="shared" si="12"/>
        <v>0</v>
      </c>
      <c r="AX47" s="1283">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3">
        <f t="shared" si="11"/>
        <v>0</v>
      </c>
      <c r="AW48" s="1283">
        <f t="shared" si="12"/>
        <v>0</v>
      </c>
      <c r="AX48" s="1283">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3">
        <f t="shared" si="11"/>
        <v>0</v>
      </c>
      <c r="AW49" s="1283">
        <f t="shared" si="12"/>
        <v>0</v>
      </c>
      <c r="AX49" s="1283">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3">
        <f t="shared" si="11"/>
        <v>0</v>
      </c>
      <c r="AW50" s="1283">
        <f t="shared" si="12"/>
        <v>0</v>
      </c>
      <c r="AX50" s="1283">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3">
        <f t="shared" si="11"/>
        <v>0</v>
      </c>
      <c r="AW51" s="1283">
        <f t="shared" si="12"/>
        <v>0</v>
      </c>
      <c r="AX51" s="1283">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3">
        <f t="shared" si="11"/>
        <v>0</v>
      </c>
      <c r="AW52" s="1283">
        <f t="shared" si="12"/>
        <v>0</v>
      </c>
      <c r="AX52" s="1283">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3">
        <f t="shared" si="11"/>
        <v>0</v>
      </c>
      <c r="AW53" s="1283">
        <f t="shared" si="12"/>
        <v>0</v>
      </c>
      <c r="AX53" s="1283">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3">
        <f t="shared" si="11"/>
        <v>0</v>
      </c>
      <c r="AW54" s="1283">
        <f t="shared" si="12"/>
        <v>0</v>
      </c>
      <c r="AX54" s="1283">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3">
        <f t="shared" si="11"/>
        <v>0</v>
      </c>
      <c r="AW55" s="1283">
        <f t="shared" si="12"/>
        <v>0</v>
      </c>
      <c r="AX55" s="1283">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3">
        <f t="shared" si="11"/>
        <v>0</v>
      </c>
      <c r="AW56" s="1283">
        <f t="shared" si="12"/>
        <v>0</v>
      </c>
      <c r="AX56" s="1283">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3">
        <f t="shared" si="11"/>
        <v>0</v>
      </c>
      <c r="AW57" s="1283">
        <f t="shared" si="12"/>
        <v>0</v>
      </c>
      <c r="AX57" s="1283">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3">
        <f t="shared" si="11"/>
        <v>0</v>
      </c>
      <c r="AW58" s="1283">
        <f t="shared" si="12"/>
        <v>0</v>
      </c>
      <c r="AX58" s="1283">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3">
        <f t="shared" si="11"/>
        <v>0</v>
      </c>
      <c r="AW59" s="1283">
        <f t="shared" si="12"/>
        <v>0</v>
      </c>
      <c r="AX59" s="1283">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3">
        <f t="shared" si="11"/>
        <v>0</v>
      </c>
      <c r="AW60" s="1283">
        <f t="shared" si="12"/>
        <v>0</v>
      </c>
      <c r="AX60" s="1283">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3">
        <f t="shared" si="11"/>
        <v>0</v>
      </c>
      <c r="AW61" s="1283">
        <f t="shared" si="12"/>
        <v>0</v>
      </c>
      <c r="AX61" s="1283">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3">
        <f t="shared" si="11"/>
        <v>0</v>
      </c>
      <c r="AW62" s="1283">
        <f t="shared" si="12"/>
        <v>0</v>
      </c>
      <c r="AX62" s="1283">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3">
        <f t="shared" si="11"/>
        <v>0</v>
      </c>
      <c r="AW63" s="1283">
        <f t="shared" si="12"/>
        <v>0</v>
      </c>
      <c r="AX63" s="1283">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3">
        <f t="shared" si="11"/>
        <v>0</v>
      </c>
      <c r="AW64" s="1283">
        <f t="shared" si="12"/>
        <v>0</v>
      </c>
      <c r="AX64" s="1283">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3">
        <f t="shared" si="11"/>
        <v>0</v>
      </c>
      <c r="AW65" s="1283">
        <f t="shared" si="12"/>
        <v>0</v>
      </c>
      <c r="AX65" s="1283">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3">
        <f t="shared" si="11"/>
        <v>0</v>
      </c>
      <c r="AW66" s="1283">
        <f t="shared" si="12"/>
        <v>0</v>
      </c>
      <c r="AX66" s="1283">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3">
        <f t="shared" si="11"/>
        <v>0</v>
      </c>
      <c r="AW67" s="1283">
        <f t="shared" si="12"/>
        <v>0</v>
      </c>
      <c r="AX67" s="1283">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3">
        <f t="shared" si="11"/>
        <v>0</v>
      </c>
      <c r="AW68" s="1283">
        <f t="shared" si="12"/>
        <v>0</v>
      </c>
      <c r="AX68" s="1283">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3">
        <f t="shared" si="11"/>
        <v>0</v>
      </c>
      <c r="AW69" s="1283">
        <f t="shared" si="12"/>
        <v>0</v>
      </c>
      <c r="AX69" s="1283">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3">
        <f t="shared" si="11"/>
        <v>0</v>
      </c>
      <c r="AW70" s="1283">
        <f t="shared" si="12"/>
        <v>0</v>
      </c>
      <c r="AX70" s="1283">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3">
        <f t="shared" si="11"/>
        <v>0</v>
      </c>
      <c r="AW71" s="1283">
        <f t="shared" si="12"/>
        <v>0</v>
      </c>
      <c r="AX71" s="1283">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3">
        <f t="shared" si="11"/>
        <v>0</v>
      </c>
      <c r="AW72" s="1283">
        <f t="shared" si="12"/>
        <v>0</v>
      </c>
      <c r="AX72" s="1283">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3">
        <f t="shared" si="11"/>
        <v>0</v>
      </c>
      <c r="AW73" s="1283">
        <f t="shared" si="12"/>
        <v>0</v>
      </c>
      <c r="AX73" s="1283">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3">
        <f t="shared" si="11"/>
        <v>0</v>
      </c>
      <c r="AW74" s="1283">
        <f t="shared" si="12"/>
        <v>0</v>
      </c>
      <c r="AX74" s="1283">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3">
        <f t="shared" si="11"/>
        <v>0</v>
      </c>
      <c r="AW75" s="1283">
        <f t="shared" si="12"/>
        <v>0</v>
      </c>
      <c r="AX75" s="1283">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3">
        <f t="shared" si="11"/>
        <v>0</v>
      </c>
      <c r="AW76" s="1283">
        <f t="shared" si="12"/>
        <v>0</v>
      </c>
      <c r="AX76" s="1283">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3">
        <f t="shared" si="11"/>
        <v>0</v>
      </c>
      <c r="AW77" s="1283">
        <f t="shared" si="12"/>
        <v>0</v>
      </c>
      <c r="AX77" s="1283">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3">
        <f t="shared" si="11"/>
        <v>0</v>
      </c>
      <c r="AW78" s="1283">
        <f t="shared" si="12"/>
        <v>0</v>
      </c>
      <c r="AX78" s="1283">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3">
        <f t="shared" si="11"/>
        <v>0</v>
      </c>
      <c r="AW79" s="1283">
        <f t="shared" si="12"/>
        <v>0</v>
      </c>
      <c r="AX79" s="1283">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3">
        <f t="shared" si="11"/>
        <v>0</v>
      </c>
      <c r="AW80" s="1283">
        <f t="shared" si="12"/>
        <v>0</v>
      </c>
      <c r="AX80" s="1283">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3">
        <f t="shared" si="11"/>
        <v>0</v>
      </c>
      <c r="AW81" s="1283">
        <f t="shared" si="12"/>
        <v>0</v>
      </c>
      <c r="AX81" s="1283">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3">
        <f t="shared" si="11"/>
        <v>0</v>
      </c>
      <c r="AW82" s="1283">
        <f t="shared" si="12"/>
        <v>0</v>
      </c>
      <c r="AX82" s="1283">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3">
        <f t="shared" si="11"/>
        <v>0</v>
      </c>
      <c r="AW83" s="1283">
        <f t="shared" si="12"/>
        <v>0</v>
      </c>
      <c r="AX83" s="1283">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3">
        <f t="shared" si="11"/>
        <v>0</v>
      </c>
      <c r="AW84" s="1283">
        <f t="shared" si="12"/>
        <v>0</v>
      </c>
      <c r="AX84" s="1283">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3">
        <f t="shared" si="11"/>
        <v>0</v>
      </c>
      <c r="AW85" s="1283">
        <f t="shared" si="12"/>
        <v>0</v>
      </c>
      <c r="AX85" s="1283">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3">
        <f t="shared" si="11"/>
        <v>0</v>
      </c>
      <c r="AW86" s="1283">
        <f t="shared" si="12"/>
        <v>0</v>
      </c>
      <c r="AX86" s="1283">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3">
        <f t="shared" si="11"/>
        <v>0</v>
      </c>
      <c r="AW87" s="1283">
        <f t="shared" si="12"/>
        <v>0</v>
      </c>
      <c r="AX87" s="1283">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3">
        <f t="shared" si="11"/>
        <v>0</v>
      </c>
      <c r="AW88" s="1283">
        <f t="shared" si="12"/>
        <v>0</v>
      </c>
      <c r="AX88" s="1283">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3">
        <f t="shared" si="11"/>
        <v>0</v>
      </c>
      <c r="AW89" s="1283">
        <f t="shared" si="12"/>
        <v>0</v>
      </c>
      <c r="AX89" s="1283">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3">
        <f t="shared" si="11"/>
        <v>0</v>
      </c>
      <c r="AW90" s="1283">
        <f t="shared" si="12"/>
        <v>0</v>
      </c>
      <c r="AX90" s="1283">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3">
        <f t="shared" si="11"/>
        <v>0</v>
      </c>
      <c r="AW91" s="1283">
        <f t="shared" si="12"/>
        <v>0</v>
      </c>
      <c r="AX91" s="1283">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3">
        <f t="shared" si="11"/>
        <v>0</v>
      </c>
      <c r="AW92" s="1283">
        <f t="shared" si="12"/>
        <v>0</v>
      </c>
      <c r="AX92" s="1283">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3">
        <f t="shared" si="11"/>
        <v>0</v>
      </c>
      <c r="AW93" s="1283">
        <f t="shared" si="12"/>
        <v>0</v>
      </c>
      <c r="AX93" s="1283">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3">
        <f t="shared" si="11"/>
        <v>0</v>
      </c>
      <c r="AW94" s="1283">
        <f t="shared" si="12"/>
        <v>0</v>
      </c>
      <c r="AX94" s="1283">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3">
        <f t="shared" si="11"/>
        <v>0</v>
      </c>
      <c r="AW95" s="1283">
        <f t="shared" si="12"/>
        <v>0</v>
      </c>
      <c r="AX95" s="1283">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3">
        <f t="shared" si="11"/>
        <v>0</v>
      </c>
      <c r="AW96" s="1283">
        <f t="shared" si="12"/>
        <v>0</v>
      </c>
      <c r="AX96" s="1283">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3">
        <f t="shared" si="11"/>
        <v>0</v>
      </c>
      <c r="AW97" s="1283">
        <f t="shared" si="12"/>
        <v>0</v>
      </c>
      <c r="AX97" s="1283">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3">
        <f t="shared" si="11"/>
        <v>0</v>
      </c>
      <c r="AW98" s="1283">
        <f t="shared" si="12"/>
        <v>0</v>
      </c>
      <c r="AX98" s="1283">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3">
        <f t="shared" si="11"/>
        <v>0</v>
      </c>
      <c r="AW99" s="1283">
        <f t="shared" si="12"/>
        <v>0</v>
      </c>
      <c r="AX99" s="1283">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3">
        <f t="shared" si="11"/>
        <v>0</v>
      </c>
      <c r="AW100" s="1283">
        <f t="shared" si="12"/>
        <v>0</v>
      </c>
      <c r="AX100" s="1283">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3">
        <f t="shared" si="11"/>
        <v>0</v>
      </c>
      <c r="AW101" s="1283">
        <f t="shared" si="12"/>
        <v>0</v>
      </c>
      <c r="AX101" s="1283">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3">
        <f t="shared" si="11"/>
        <v>0</v>
      </c>
      <c r="AW102" s="1283">
        <f t="shared" si="12"/>
        <v>0</v>
      </c>
      <c r="AX102" s="1283">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3">
        <f t="shared" si="11"/>
        <v>0</v>
      </c>
      <c r="AW103" s="1283">
        <f t="shared" si="12"/>
        <v>0</v>
      </c>
      <c r="AX103" s="1283">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3">
        <f t="shared" si="11"/>
        <v>0</v>
      </c>
      <c r="AW104" s="1283">
        <f t="shared" si="12"/>
        <v>0</v>
      </c>
      <c r="AX104" s="1283">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3">
        <f t="shared" si="11"/>
        <v>0</v>
      </c>
      <c r="AW105" s="1283">
        <f t="shared" si="12"/>
        <v>0</v>
      </c>
      <c r="AX105" s="1283">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3">
        <f t="shared" si="11"/>
        <v>0</v>
      </c>
      <c r="AW106" s="1283">
        <f t="shared" si="12"/>
        <v>0</v>
      </c>
      <c r="AX106" s="1283">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3">
        <f t="shared" si="11"/>
        <v>0</v>
      </c>
      <c r="AW107" s="1283">
        <f t="shared" si="12"/>
        <v>0</v>
      </c>
      <c r="AX107" s="1283">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3">
        <f t="shared" si="11"/>
        <v>0</v>
      </c>
      <c r="AW108" s="1283">
        <f t="shared" si="12"/>
        <v>0</v>
      </c>
      <c r="AX108" s="1283">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3">
        <f t="shared" si="11"/>
        <v>0</v>
      </c>
      <c r="AW109" s="1283">
        <f t="shared" si="12"/>
        <v>0</v>
      </c>
      <c r="AX109" s="1283">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3">
        <f t="shared" si="11"/>
        <v>0</v>
      </c>
      <c r="AW110" s="1283">
        <f t="shared" si="12"/>
        <v>0</v>
      </c>
      <c r="AX110" s="1283">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3">
        <f t="shared" si="11"/>
        <v>0</v>
      </c>
      <c r="AW111" s="1283">
        <f t="shared" si="12"/>
        <v>0</v>
      </c>
      <c r="AX111" s="1283">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3">
        <f t="shared" si="11"/>
        <v>0</v>
      </c>
      <c r="AW112" s="1283">
        <f t="shared" si="12"/>
        <v>0</v>
      </c>
      <c r="AX112" s="1283">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3">
        <f t="shared" ref="AV113:AV144" si="62">A113</f>
        <v>0</v>
      </c>
      <c r="AW113" s="1283">
        <f t="shared" ref="AW113:AW144" si="63">B113</f>
        <v>0</v>
      </c>
      <c r="AX113" s="1283">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3">
        <f t="shared" si="62"/>
        <v>0</v>
      </c>
      <c r="AW114" s="1283">
        <f t="shared" si="63"/>
        <v>0</v>
      </c>
      <c r="AX114" s="1283">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3">
        <f t="shared" si="62"/>
        <v>0</v>
      </c>
      <c r="AW115" s="1283">
        <f t="shared" si="63"/>
        <v>0</v>
      </c>
      <c r="AX115" s="1283">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3">
        <f t="shared" si="62"/>
        <v>0</v>
      </c>
      <c r="AW116" s="1283">
        <f t="shared" si="63"/>
        <v>0</v>
      </c>
      <c r="AX116" s="1283">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3">
        <f t="shared" si="62"/>
        <v>0</v>
      </c>
      <c r="AW117" s="1283">
        <f t="shared" si="63"/>
        <v>0</v>
      </c>
      <c r="AX117" s="1283">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3">
        <f t="shared" si="62"/>
        <v>0</v>
      </c>
      <c r="AW118" s="1283">
        <f t="shared" si="63"/>
        <v>0</v>
      </c>
      <c r="AX118" s="1283">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3">
        <f t="shared" si="62"/>
        <v>0</v>
      </c>
      <c r="AW119" s="1283">
        <f t="shared" si="63"/>
        <v>0</v>
      </c>
      <c r="AX119" s="1283">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3">
        <f t="shared" si="62"/>
        <v>0</v>
      </c>
      <c r="AW120" s="1283">
        <f t="shared" si="63"/>
        <v>0</v>
      </c>
      <c r="AX120" s="1283">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3">
        <f t="shared" si="62"/>
        <v>0</v>
      </c>
      <c r="AW121" s="1283">
        <f t="shared" si="63"/>
        <v>0</v>
      </c>
      <c r="AX121" s="1283">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3">
        <f t="shared" si="62"/>
        <v>0</v>
      </c>
      <c r="AW122" s="1283">
        <f t="shared" si="63"/>
        <v>0</v>
      </c>
      <c r="AX122" s="1283">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3">
        <f t="shared" si="62"/>
        <v>0</v>
      </c>
      <c r="AW123" s="1283">
        <f t="shared" si="63"/>
        <v>0</v>
      </c>
      <c r="AX123" s="1283">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3">
        <f t="shared" si="62"/>
        <v>0</v>
      </c>
      <c r="AW124" s="1283">
        <f t="shared" si="63"/>
        <v>0</v>
      </c>
      <c r="AX124" s="1283">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3">
        <f t="shared" si="62"/>
        <v>0</v>
      </c>
      <c r="AW125" s="1283">
        <f t="shared" si="63"/>
        <v>0</v>
      </c>
      <c r="AX125" s="1283">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3">
        <f t="shared" si="62"/>
        <v>0</v>
      </c>
      <c r="AW126" s="1283">
        <f t="shared" si="63"/>
        <v>0</v>
      </c>
      <c r="AX126" s="1283">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3">
        <f t="shared" si="62"/>
        <v>0</v>
      </c>
      <c r="AW127" s="1283">
        <f t="shared" si="63"/>
        <v>0</v>
      </c>
      <c r="AX127" s="1283">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3">
        <f t="shared" si="62"/>
        <v>0</v>
      </c>
      <c r="AW128" s="1283">
        <f t="shared" si="63"/>
        <v>0</v>
      </c>
      <c r="AX128" s="1283">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3">
        <f t="shared" si="62"/>
        <v>0</v>
      </c>
      <c r="AW129" s="1283">
        <f t="shared" si="63"/>
        <v>0</v>
      </c>
      <c r="AX129" s="1283">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3">
        <f t="shared" si="62"/>
        <v>0</v>
      </c>
      <c r="AW130" s="1283">
        <f t="shared" si="63"/>
        <v>0</v>
      </c>
      <c r="AX130" s="1283">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3">
        <f t="shared" si="62"/>
        <v>0</v>
      </c>
      <c r="AW131" s="1283">
        <f t="shared" si="63"/>
        <v>0</v>
      </c>
      <c r="AX131" s="1283">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3">
        <f t="shared" si="62"/>
        <v>0</v>
      </c>
      <c r="AW132" s="1283">
        <f t="shared" si="63"/>
        <v>0</v>
      </c>
      <c r="AX132" s="1283">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3">
        <f t="shared" si="62"/>
        <v>0</v>
      </c>
      <c r="AW133" s="1283">
        <f t="shared" si="63"/>
        <v>0</v>
      </c>
      <c r="AX133" s="1283">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3">
        <f t="shared" si="62"/>
        <v>0</v>
      </c>
      <c r="AW134" s="1283">
        <f t="shared" si="63"/>
        <v>0</v>
      </c>
      <c r="AX134" s="1283">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3">
        <f t="shared" si="62"/>
        <v>0</v>
      </c>
      <c r="AW135" s="1283">
        <f t="shared" si="63"/>
        <v>0</v>
      </c>
      <c r="AX135" s="1283">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3">
        <f t="shared" si="62"/>
        <v>0</v>
      </c>
      <c r="AW136" s="1283">
        <f t="shared" si="63"/>
        <v>0</v>
      </c>
      <c r="AX136" s="1283">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3">
        <f t="shared" si="62"/>
        <v>0</v>
      </c>
      <c r="AW137" s="1283">
        <f t="shared" si="63"/>
        <v>0</v>
      </c>
      <c r="AX137" s="1283">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3">
        <f t="shared" si="62"/>
        <v>0</v>
      </c>
      <c r="AW138" s="1283">
        <f t="shared" si="63"/>
        <v>0</v>
      </c>
      <c r="AX138" s="1283">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3">
        <f t="shared" si="62"/>
        <v>0</v>
      </c>
      <c r="AW139" s="1283">
        <f t="shared" si="63"/>
        <v>0</v>
      </c>
      <c r="AX139" s="1283">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3">
        <f t="shared" si="62"/>
        <v>0</v>
      </c>
      <c r="AW140" s="1283">
        <f t="shared" si="63"/>
        <v>0</v>
      </c>
      <c r="AX140" s="1283">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3">
        <f t="shared" si="62"/>
        <v>0</v>
      </c>
      <c r="AW141" s="1283">
        <f t="shared" si="63"/>
        <v>0</v>
      </c>
      <c r="AX141" s="1283">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3">
        <f t="shared" si="62"/>
        <v>0</v>
      </c>
      <c r="AW142" s="1283">
        <f t="shared" si="63"/>
        <v>0</v>
      </c>
      <c r="AX142" s="1283">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3">
        <f t="shared" si="62"/>
        <v>0</v>
      </c>
      <c r="AW143" s="1283">
        <f t="shared" si="63"/>
        <v>0</v>
      </c>
      <c r="AX143" s="1283">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3">
        <f t="shared" si="62"/>
        <v>0</v>
      </c>
      <c r="AW144" s="1283">
        <f t="shared" si="63"/>
        <v>0</v>
      </c>
      <c r="AX144" s="1283">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3">
        <f t="shared" ref="AV145:AV176" si="91">A145</f>
        <v>0</v>
      </c>
      <c r="AW145" s="1283">
        <f t="shared" ref="AW145:AW176" si="92">B145</f>
        <v>0</v>
      </c>
      <c r="AX145" s="1283">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3">
        <f t="shared" si="91"/>
        <v>0</v>
      </c>
      <c r="AW146" s="1283">
        <f t="shared" si="92"/>
        <v>0</v>
      </c>
      <c r="AX146" s="1283">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3">
        <f t="shared" si="91"/>
        <v>0</v>
      </c>
      <c r="AW147" s="1283">
        <f t="shared" si="92"/>
        <v>0</v>
      </c>
      <c r="AX147" s="1283">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3">
        <f t="shared" si="91"/>
        <v>0</v>
      </c>
      <c r="AW148" s="1283">
        <f t="shared" si="92"/>
        <v>0</v>
      </c>
      <c r="AX148" s="1283">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3">
        <f t="shared" si="91"/>
        <v>0</v>
      </c>
      <c r="AW149" s="1283">
        <f t="shared" si="92"/>
        <v>0</v>
      </c>
      <c r="AX149" s="1283">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3">
        <f t="shared" si="91"/>
        <v>0</v>
      </c>
      <c r="AW150" s="1283">
        <f t="shared" si="92"/>
        <v>0</v>
      </c>
      <c r="AX150" s="1283">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3">
        <f t="shared" si="91"/>
        <v>0</v>
      </c>
      <c r="AW151" s="1283">
        <f t="shared" si="92"/>
        <v>0</v>
      </c>
      <c r="AX151" s="1283">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3">
        <f t="shared" si="91"/>
        <v>0</v>
      </c>
      <c r="AW152" s="1283">
        <f t="shared" si="92"/>
        <v>0</v>
      </c>
      <c r="AX152" s="1283">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3">
        <f t="shared" si="91"/>
        <v>0</v>
      </c>
      <c r="AW153" s="1283">
        <f t="shared" si="92"/>
        <v>0</v>
      </c>
      <c r="AX153" s="1283">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3">
        <f t="shared" si="91"/>
        <v>0</v>
      </c>
      <c r="AW154" s="1283">
        <f t="shared" si="92"/>
        <v>0</v>
      </c>
      <c r="AX154" s="1283">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3">
        <f t="shared" si="91"/>
        <v>0</v>
      </c>
      <c r="AW155" s="1283">
        <f t="shared" si="92"/>
        <v>0</v>
      </c>
      <c r="AX155" s="1283">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3">
        <f t="shared" si="91"/>
        <v>0</v>
      </c>
      <c r="AW156" s="1283">
        <f t="shared" si="92"/>
        <v>0</v>
      </c>
      <c r="AX156" s="1283">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3">
        <f t="shared" si="91"/>
        <v>0</v>
      </c>
      <c r="AW157" s="1283">
        <f t="shared" si="92"/>
        <v>0</v>
      </c>
      <c r="AX157" s="1283">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3">
        <f t="shared" si="91"/>
        <v>0</v>
      </c>
      <c r="AW158" s="1283">
        <f t="shared" si="92"/>
        <v>0</v>
      </c>
      <c r="AX158" s="1283">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3">
        <f t="shared" si="91"/>
        <v>0</v>
      </c>
      <c r="AW159" s="1283">
        <f t="shared" si="92"/>
        <v>0</v>
      </c>
      <c r="AX159" s="1283">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3">
        <f t="shared" si="91"/>
        <v>0</v>
      </c>
      <c r="AW160" s="1283">
        <f t="shared" si="92"/>
        <v>0</v>
      </c>
      <c r="AX160" s="1283">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3">
        <f t="shared" si="91"/>
        <v>0</v>
      </c>
      <c r="AW161" s="1283">
        <f t="shared" si="92"/>
        <v>0</v>
      </c>
      <c r="AX161" s="1283">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3">
        <f t="shared" si="91"/>
        <v>0</v>
      </c>
      <c r="AW162" s="1283">
        <f t="shared" si="92"/>
        <v>0</v>
      </c>
      <c r="AX162" s="1283">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3">
        <f t="shared" si="91"/>
        <v>0</v>
      </c>
      <c r="AW163" s="1283">
        <f t="shared" si="92"/>
        <v>0</v>
      </c>
      <c r="AX163" s="1283">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3">
        <f t="shared" si="91"/>
        <v>0</v>
      </c>
      <c r="AW164" s="1283">
        <f t="shared" si="92"/>
        <v>0</v>
      </c>
      <c r="AX164" s="1283">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3">
        <f t="shared" si="91"/>
        <v>0</v>
      </c>
      <c r="AW165" s="1283">
        <f t="shared" si="92"/>
        <v>0</v>
      </c>
      <c r="AX165" s="1283">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3">
        <f t="shared" si="91"/>
        <v>0</v>
      </c>
      <c r="AW166" s="1283">
        <f t="shared" si="92"/>
        <v>0</v>
      </c>
      <c r="AX166" s="1283">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3">
        <f t="shared" si="91"/>
        <v>0</v>
      </c>
      <c r="AW167" s="1283">
        <f t="shared" si="92"/>
        <v>0</v>
      </c>
      <c r="AX167" s="1283">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3">
        <f t="shared" si="91"/>
        <v>0</v>
      </c>
      <c r="AW168" s="1283">
        <f t="shared" si="92"/>
        <v>0</v>
      </c>
      <c r="AX168" s="1283">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3">
        <f t="shared" si="91"/>
        <v>0</v>
      </c>
      <c r="AW169" s="1283">
        <f t="shared" si="92"/>
        <v>0</v>
      </c>
      <c r="AX169" s="1283">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3">
        <f t="shared" si="91"/>
        <v>0</v>
      </c>
      <c r="AW170" s="1283">
        <f t="shared" si="92"/>
        <v>0</v>
      </c>
      <c r="AX170" s="1283">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3">
        <f t="shared" si="91"/>
        <v>0</v>
      </c>
      <c r="AW171" s="1283">
        <f t="shared" si="92"/>
        <v>0</v>
      </c>
      <c r="AX171" s="1283">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3">
        <f t="shared" si="91"/>
        <v>0</v>
      </c>
      <c r="AW172" s="1283">
        <f t="shared" si="92"/>
        <v>0</v>
      </c>
      <c r="AX172" s="1283">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3">
        <f t="shared" si="91"/>
        <v>0</v>
      </c>
      <c r="AW173" s="1283">
        <f t="shared" si="92"/>
        <v>0</v>
      </c>
      <c r="AX173" s="1283">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3">
        <f t="shared" si="91"/>
        <v>0</v>
      </c>
      <c r="AW174" s="1283">
        <f t="shared" si="92"/>
        <v>0</v>
      </c>
      <c r="AX174" s="1283">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3">
        <f t="shared" si="91"/>
        <v>0</v>
      </c>
      <c r="AW175" s="1283">
        <f t="shared" si="92"/>
        <v>0</v>
      </c>
      <c r="AX175" s="1283">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3">
        <f t="shared" si="91"/>
        <v>0</v>
      </c>
      <c r="AW176" s="1283">
        <f t="shared" si="92"/>
        <v>0</v>
      </c>
      <c r="AX176" s="1283">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3">
        <f t="shared" ref="AV177:AV207" si="120">A177</f>
        <v>0</v>
      </c>
      <c r="AW177" s="1283">
        <f t="shared" ref="AW177:AW207" si="121">B177</f>
        <v>0</v>
      </c>
      <c r="AX177" s="1283">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3">
        <f t="shared" si="120"/>
        <v>0</v>
      </c>
      <c r="AW178" s="1283">
        <f t="shared" si="121"/>
        <v>0</v>
      </c>
      <c r="AX178" s="1283">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3">
        <f t="shared" si="120"/>
        <v>0</v>
      </c>
      <c r="AW179" s="1283">
        <f t="shared" si="121"/>
        <v>0</v>
      </c>
      <c r="AX179" s="1283">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3">
        <f t="shared" si="120"/>
        <v>0</v>
      </c>
      <c r="AW180" s="1283">
        <f t="shared" si="121"/>
        <v>0</v>
      </c>
      <c r="AX180" s="1283">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3">
        <f t="shared" si="120"/>
        <v>0</v>
      </c>
      <c r="AW181" s="1283">
        <f t="shared" si="121"/>
        <v>0</v>
      </c>
      <c r="AX181" s="1283">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3">
        <f t="shared" si="120"/>
        <v>0</v>
      </c>
      <c r="AW182" s="1283">
        <f t="shared" si="121"/>
        <v>0</v>
      </c>
      <c r="AX182" s="1283">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3">
        <f t="shared" si="120"/>
        <v>0</v>
      </c>
      <c r="AW183" s="1283">
        <f t="shared" si="121"/>
        <v>0</v>
      </c>
      <c r="AX183" s="1283">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3">
        <f t="shared" si="120"/>
        <v>0</v>
      </c>
      <c r="AW184" s="1283">
        <f t="shared" si="121"/>
        <v>0</v>
      </c>
      <c r="AX184" s="1283">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3">
        <f t="shared" si="120"/>
        <v>0</v>
      </c>
      <c r="AW185" s="1283">
        <f t="shared" si="121"/>
        <v>0</v>
      </c>
      <c r="AX185" s="1283">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3">
        <f t="shared" si="120"/>
        <v>0</v>
      </c>
      <c r="AW186" s="1283">
        <f t="shared" si="121"/>
        <v>0</v>
      </c>
      <c r="AX186" s="1283">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3">
        <f t="shared" si="120"/>
        <v>0</v>
      </c>
      <c r="AW187" s="1283">
        <f t="shared" si="121"/>
        <v>0</v>
      </c>
      <c r="AX187" s="1283">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3">
        <f t="shared" si="120"/>
        <v>0</v>
      </c>
      <c r="AW188" s="1283">
        <f t="shared" si="121"/>
        <v>0</v>
      </c>
      <c r="AX188" s="1283">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3">
        <f t="shared" si="120"/>
        <v>0</v>
      </c>
      <c r="AW189" s="1283">
        <f t="shared" si="121"/>
        <v>0</v>
      </c>
      <c r="AX189" s="1283">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3">
        <f t="shared" si="120"/>
        <v>0</v>
      </c>
      <c r="AW190" s="1283">
        <f t="shared" si="121"/>
        <v>0</v>
      </c>
      <c r="AX190" s="1283">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3">
        <f t="shared" si="120"/>
        <v>0</v>
      </c>
      <c r="AW191" s="1283">
        <f t="shared" si="121"/>
        <v>0</v>
      </c>
      <c r="AX191" s="1283">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3">
        <f t="shared" si="120"/>
        <v>0</v>
      </c>
      <c r="AW192" s="1283">
        <f t="shared" si="121"/>
        <v>0</v>
      </c>
      <c r="AX192" s="1283">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3">
        <f t="shared" si="120"/>
        <v>0</v>
      </c>
      <c r="AW193" s="1283">
        <f t="shared" si="121"/>
        <v>0</v>
      </c>
      <c r="AX193" s="1283">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3">
        <f t="shared" si="120"/>
        <v>0</v>
      </c>
      <c r="AW194" s="1283">
        <f t="shared" si="121"/>
        <v>0</v>
      </c>
      <c r="AX194" s="1283">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3">
        <f t="shared" si="120"/>
        <v>0</v>
      </c>
      <c r="AW195" s="1283">
        <f t="shared" si="121"/>
        <v>0</v>
      </c>
      <c r="AX195" s="1283">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3">
        <f t="shared" si="120"/>
        <v>0</v>
      </c>
      <c r="AW196" s="1283">
        <f t="shared" si="121"/>
        <v>0</v>
      </c>
      <c r="AX196" s="1283">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3">
        <f t="shared" si="120"/>
        <v>0</v>
      </c>
      <c r="AW197" s="1283">
        <f t="shared" si="121"/>
        <v>0</v>
      </c>
      <c r="AX197" s="1283">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3">
        <f t="shared" si="120"/>
        <v>0</v>
      </c>
      <c r="AW198" s="1283">
        <f t="shared" si="121"/>
        <v>0</v>
      </c>
      <c r="AX198" s="1283">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3">
        <f t="shared" si="120"/>
        <v>0</v>
      </c>
      <c r="AW199" s="1283">
        <f t="shared" si="121"/>
        <v>0</v>
      </c>
      <c r="AX199" s="1283">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3">
        <f t="shared" si="120"/>
        <v>0</v>
      </c>
      <c r="AW200" s="1283">
        <f t="shared" si="121"/>
        <v>0</v>
      </c>
      <c r="AX200" s="1283">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3">
        <f t="shared" si="120"/>
        <v>0</v>
      </c>
      <c r="AW201" s="1283">
        <f t="shared" si="121"/>
        <v>0</v>
      </c>
      <c r="AX201" s="1283">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3">
        <f t="shared" si="120"/>
        <v>0</v>
      </c>
      <c r="AW202" s="1283">
        <f t="shared" si="121"/>
        <v>0</v>
      </c>
      <c r="AX202" s="1283">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3">
        <f t="shared" si="120"/>
        <v>0</v>
      </c>
      <c r="AW203" s="1283">
        <f t="shared" si="121"/>
        <v>0</v>
      </c>
      <c r="AX203" s="1283">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3">
        <f t="shared" si="120"/>
        <v>0</v>
      </c>
      <c r="AW204" s="1283">
        <f t="shared" si="121"/>
        <v>0</v>
      </c>
      <c r="AX204" s="1283">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3">
        <f t="shared" si="120"/>
        <v>0</v>
      </c>
      <c r="AW205" s="1283">
        <f t="shared" si="121"/>
        <v>0</v>
      </c>
      <c r="AX205" s="1283">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3">
        <f t="shared" si="120"/>
        <v>0</v>
      </c>
      <c r="AW206" s="1283">
        <f t="shared" si="121"/>
        <v>0</v>
      </c>
      <c r="AX206" s="1283">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3">
        <f t="shared" si="120"/>
        <v>0</v>
      </c>
      <c r="AW207" s="1283">
        <f t="shared" si="121"/>
        <v>0</v>
      </c>
      <c r="AX207" s="1283">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3">
        <f t="shared" ref="AV208:AV302" si="127">A208</f>
        <v>0</v>
      </c>
      <c r="AW208" s="1283">
        <f t="shared" ref="AW208:AW302" si="128">B208</f>
        <v>0</v>
      </c>
      <c r="AX208" s="1283">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3">
        <f t="shared" si="127"/>
        <v>0</v>
      </c>
      <c r="AW209" s="1283">
        <f t="shared" si="128"/>
        <v>0</v>
      </c>
      <c r="AX209" s="1283">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3">
        <f t="shared" si="127"/>
        <v>0</v>
      </c>
      <c r="AW210" s="1283">
        <f t="shared" si="128"/>
        <v>0</v>
      </c>
      <c r="AX210" s="1283">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3">
        <f t="shared" si="127"/>
        <v>0</v>
      </c>
      <c r="AW211" s="1283">
        <f t="shared" si="128"/>
        <v>0</v>
      </c>
      <c r="AX211" s="1283">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3">
        <f t="shared" si="127"/>
        <v>0</v>
      </c>
      <c r="AW212" s="1283">
        <f t="shared" si="128"/>
        <v>0</v>
      </c>
      <c r="AX212" s="1283">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3">
        <f t="shared" si="127"/>
        <v>0</v>
      </c>
      <c r="AW213" s="1283">
        <f t="shared" si="128"/>
        <v>0</v>
      </c>
      <c r="AX213" s="1283">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3">
        <f t="shared" si="127"/>
        <v>0</v>
      </c>
      <c r="AW214" s="1283">
        <f t="shared" si="128"/>
        <v>0</v>
      </c>
      <c r="AX214" s="1283">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3">
        <f t="shared" si="127"/>
        <v>0</v>
      </c>
      <c r="AW215" s="1283">
        <f t="shared" si="128"/>
        <v>0</v>
      </c>
      <c r="AX215" s="1283">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3">
        <f t="shared" si="127"/>
        <v>0</v>
      </c>
      <c r="AW216" s="1283">
        <f t="shared" si="128"/>
        <v>0</v>
      </c>
      <c r="AX216" s="1283">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3">
        <f t="shared" si="127"/>
        <v>0</v>
      </c>
      <c r="AW217" s="1283">
        <f t="shared" si="128"/>
        <v>0</v>
      </c>
      <c r="AX217" s="1283">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3">
        <f t="shared" si="127"/>
        <v>0</v>
      </c>
      <c r="AW218" s="1283">
        <f t="shared" si="128"/>
        <v>0</v>
      </c>
      <c r="AX218" s="1283">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3">
        <f t="shared" si="127"/>
        <v>0</v>
      </c>
      <c r="AW219" s="1283">
        <f t="shared" si="128"/>
        <v>0</v>
      </c>
      <c r="AX219" s="1283">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3">
        <f t="shared" si="127"/>
        <v>0</v>
      </c>
      <c r="AW220" s="1283">
        <f t="shared" si="128"/>
        <v>0</v>
      </c>
      <c r="AX220" s="1283">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3">
        <f t="shared" si="127"/>
        <v>0</v>
      </c>
      <c r="AW221" s="1283">
        <f t="shared" si="128"/>
        <v>0</v>
      </c>
      <c r="AX221" s="1283">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3">
        <f t="shared" si="127"/>
        <v>0</v>
      </c>
      <c r="AW222" s="1283">
        <f t="shared" si="128"/>
        <v>0</v>
      </c>
      <c r="AX222" s="1283">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3">
        <f t="shared" si="127"/>
        <v>0</v>
      </c>
      <c r="AW223" s="1283">
        <f t="shared" si="128"/>
        <v>0</v>
      </c>
      <c r="AX223" s="1283">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3">
        <f t="shared" si="127"/>
        <v>0</v>
      </c>
      <c r="AW224" s="1283">
        <f t="shared" si="128"/>
        <v>0</v>
      </c>
      <c r="AX224" s="1283">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3">
        <f t="shared" si="127"/>
        <v>0</v>
      </c>
      <c r="AW225" s="1283">
        <f t="shared" si="128"/>
        <v>0</v>
      </c>
      <c r="AX225" s="1283">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3">
        <f t="shared" si="127"/>
        <v>0</v>
      </c>
      <c r="AW226" s="1283">
        <f t="shared" si="128"/>
        <v>0</v>
      </c>
      <c r="AX226" s="1283">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3">
        <f t="shared" si="127"/>
        <v>0</v>
      </c>
      <c r="AW227" s="1283">
        <f t="shared" si="128"/>
        <v>0</v>
      </c>
      <c r="AX227" s="1283">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3">
        <f t="shared" si="127"/>
        <v>0</v>
      </c>
      <c r="AW228" s="1283">
        <f t="shared" si="128"/>
        <v>0</v>
      </c>
      <c r="AX228" s="1283">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3">
        <f t="shared" si="127"/>
        <v>0</v>
      </c>
      <c r="AW229" s="1283">
        <f t="shared" si="128"/>
        <v>0</v>
      </c>
      <c r="AX229" s="1283">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3">
        <f t="shared" si="127"/>
        <v>0</v>
      </c>
      <c r="AW230" s="1283">
        <f t="shared" si="128"/>
        <v>0</v>
      </c>
      <c r="AX230" s="1283">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3">
        <f t="shared" si="127"/>
        <v>0</v>
      </c>
      <c r="AW231" s="1283">
        <f t="shared" si="128"/>
        <v>0</v>
      </c>
      <c r="AX231" s="1283">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3">
        <f t="shared" si="127"/>
        <v>0</v>
      </c>
      <c r="AW232" s="1283">
        <f t="shared" si="128"/>
        <v>0</v>
      </c>
      <c r="AX232" s="1283">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3">
        <f t="shared" si="127"/>
        <v>0</v>
      </c>
      <c r="AW233" s="1283">
        <f t="shared" si="128"/>
        <v>0</v>
      </c>
      <c r="AX233" s="1283">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3">
        <f t="shared" si="127"/>
        <v>0</v>
      </c>
      <c r="AW234" s="1283">
        <f t="shared" si="128"/>
        <v>0</v>
      </c>
      <c r="AX234" s="1283">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3">
        <f t="shared" si="127"/>
        <v>0</v>
      </c>
      <c r="AW235" s="1283">
        <f t="shared" si="128"/>
        <v>0</v>
      </c>
      <c r="AX235" s="1283">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3">
        <f t="shared" si="127"/>
        <v>0</v>
      </c>
      <c r="AW236" s="1283">
        <f t="shared" si="128"/>
        <v>0</v>
      </c>
      <c r="AX236" s="1283">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3">
        <f t="shared" si="127"/>
        <v>0</v>
      </c>
      <c r="AW237" s="1283">
        <f t="shared" si="128"/>
        <v>0</v>
      </c>
      <c r="AX237" s="1283">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3">
        <f t="shared" si="127"/>
        <v>0</v>
      </c>
      <c r="AW238" s="1283">
        <f t="shared" si="128"/>
        <v>0</v>
      </c>
      <c r="AX238" s="1283">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3">
        <f t="shared" si="127"/>
        <v>0</v>
      </c>
      <c r="AW239" s="1283">
        <f t="shared" si="128"/>
        <v>0</v>
      </c>
      <c r="AX239" s="1283">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3">
        <f t="shared" si="127"/>
        <v>0</v>
      </c>
      <c r="AW240" s="1283">
        <f t="shared" si="128"/>
        <v>0</v>
      </c>
      <c r="AX240" s="1283">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3">
        <f t="shared" si="127"/>
        <v>0</v>
      </c>
      <c r="AW241" s="1283">
        <f t="shared" si="128"/>
        <v>0</v>
      </c>
      <c r="AX241" s="1283">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3">
        <f t="shared" si="127"/>
        <v>0</v>
      </c>
      <c r="AW242" s="1283">
        <f t="shared" si="128"/>
        <v>0</v>
      </c>
      <c r="AX242" s="1283">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3">
        <f t="shared" si="127"/>
        <v>0</v>
      </c>
      <c r="AW243" s="1283">
        <f t="shared" si="128"/>
        <v>0</v>
      </c>
      <c r="AX243" s="1283">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3">
        <f t="shared" si="127"/>
        <v>0</v>
      </c>
      <c r="AW244" s="1283">
        <f t="shared" si="128"/>
        <v>0</v>
      </c>
      <c r="AX244" s="1283">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3">
        <f t="shared" si="127"/>
        <v>0</v>
      </c>
      <c r="AW245" s="1283">
        <f t="shared" si="128"/>
        <v>0</v>
      </c>
      <c r="AX245" s="1283">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3">
        <f t="shared" si="127"/>
        <v>0</v>
      </c>
      <c r="AW246" s="1283">
        <f t="shared" si="128"/>
        <v>0</v>
      </c>
      <c r="AX246" s="1283">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3">
        <f t="shared" si="127"/>
        <v>0</v>
      </c>
      <c r="AW247" s="1283">
        <f t="shared" si="128"/>
        <v>0</v>
      </c>
      <c r="AX247" s="1283">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3">
        <f t="shared" si="127"/>
        <v>0</v>
      </c>
      <c r="AW248" s="1283">
        <f t="shared" si="128"/>
        <v>0</v>
      </c>
      <c r="AX248" s="1283">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3">
        <f t="shared" si="127"/>
        <v>0</v>
      </c>
      <c r="AW249" s="1283">
        <f t="shared" si="128"/>
        <v>0</v>
      </c>
      <c r="AX249" s="1283">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3">
        <f t="shared" si="127"/>
        <v>0</v>
      </c>
      <c r="AW250" s="1283">
        <f t="shared" si="128"/>
        <v>0</v>
      </c>
      <c r="AX250" s="1283">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3">
        <f t="shared" si="127"/>
        <v>0</v>
      </c>
      <c r="AW251" s="1283">
        <f t="shared" si="128"/>
        <v>0</v>
      </c>
      <c r="AX251" s="1283">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3">
        <f t="shared" si="127"/>
        <v>0</v>
      </c>
      <c r="AW252" s="1283">
        <f t="shared" si="128"/>
        <v>0</v>
      </c>
      <c r="AX252" s="1283">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3">
        <f t="shared" si="127"/>
        <v>0</v>
      </c>
      <c r="AW253" s="1283">
        <f t="shared" si="128"/>
        <v>0</v>
      </c>
      <c r="AX253" s="1283">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3">
        <f t="shared" si="127"/>
        <v>0</v>
      </c>
      <c r="AW254" s="1283">
        <f t="shared" si="128"/>
        <v>0</v>
      </c>
      <c r="AX254" s="1283">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3">
        <f t="shared" si="127"/>
        <v>0</v>
      </c>
      <c r="AW255" s="1283">
        <f t="shared" si="128"/>
        <v>0</v>
      </c>
      <c r="AX255" s="1283">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3">
        <f t="shared" si="127"/>
        <v>0</v>
      </c>
      <c r="AW256" s="1283">
        <f t="shared" si="128"/>
        <v>0</v>
      </c>
      <c r="AX256" s="1283">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3">
        <f t="shared" si="127"/>
        <v>0</v>
      </c>
      <c r="AW257" s="1283">
        <f t="shared" si="128"/>
        <v>0</v>
      </c>
      <c r="AX257" s="1283">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3">
        <f t="shared" si="127"/>
        <v>0</v>
      </c>
      <c r="AW258" s="1283">
        <f t="shared" si="128"/>
        <v>0</v>
      </c>
      <c r="AX258" s="1283">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3">
        <f t="shared" si="127"/>
        <v>0</v>
      </c>
      <c r="AW259" s="1283">
        <f t="shared" si="128"/>
        <v>0</v>
      </c>
      <c r="AX259" s="1283">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3">
        <f t="shared" si="127"/>
        <v>0</v>
      </c>
      <c r="AW260" s="1283">
        <f t="shared" si="128"/>
        <v>0</v>
      </c>
      <c r="AX260" s="1283">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3">
        <f t="shared" si="127"/>
        <v>0</v>
      </c>
      <c r="AW261" s="1283">
        <f t="shared" si="128"/>
        <v>0</v>
      </c>
      <c r="AX261" s="1283">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3">
        <f t="shared" si="127"/>
        <v>0</v>
      </c>
      <c r="AW262" s="1283">
        <f t="shared" si="128"/>
        <v>0</v>
      </c>
      <c r="AX262" s="1283">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3">
        <f t="shared" si="127"/>
        <v>0</v>
      </c>
      <c r="AW263" s="1283">
        <f t="shared" si="128"/>
        <v>0</v>
      </c>
      <c r="AX263" s="1283">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3">
        <f t="shared" si="127"/>
        <v>0</v>
      </c>
      <c r="AW264" s="1283">
        <f t="shared" si="128"/>
        <v>0</v>
      </c>
      <c r="AX264" s="1283">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3">
        <f t="shared" si="127"/>
        <v>0</v>
      </c>
      <c r="AW265" s="1283">
        <f t="shared" si="128"/>
        <v>0</v>
      </c>
      <c r="AX265" s="1283">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3">
        <f t="shared" si="127"/>
        <v>0</v>
      </c>
      <c r="AW266" s="1283">
        <f t="shared" si="128"/>
        <v>0</v>
      </c>
      <c r="AX266" s="1283">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3">
        <f t="shared" si="127"/>
        <v>0</v>
      </c>
      <c r="AW267" s="1283">
        <f t="shared" si="128"/>
        <v>0</v>
      </c>
      <c r="AX267" s="1283">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3">
        <f t="shared" si="127"/>
        <v>0</v>
      </c>
      <c r="AW268" s="1283">
        <f t="shared" si="128"/>
        <v>0</v>
      </c>
      <c r="AX268" s="1283">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3">
        <f t="shared" si="127"/>
        <v>0</v>
      </c>
      <c r="AW269" s="1283">
        <f t="shared" si="128"/>
        <v>0</v>
      </c>
      <c r="AX269" s="1283">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3">
        <f t="shared" si="127"/>
        <v>0</v>
      </c>
      <c r="AW270" s="1283">
        <f t="shared" si="128"/>
        <v>0</v>
      </c>
      <c r="AX270" s="1283">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3">
        <f t="shared" si="127"/>
        <v>0</v>
      </c>
      <c r="AW271" s="1283">
        <f t="shared" si="128"/>
        <v>0</v>
      </c>
      <c r="AX271" s="1283">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3">
        <f t="shared" si="127"/>
        <v>0</v>
      </c>
      <c r="AW272" s="1283">
        <f t="shared" si="128"/>
        <v>0</v>
      </c>
      <c r="AX272" s="1283">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3">
        <f t="shared" si="127"/>
        <v>0</v>
      </c>
      <c r="AW273" s="1283">
        <f t="shared" si="128"/>
        <v>0</v>
      </c>
      <c r="AX273" s="1283">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3">
        <f t="shared" si="127"/>
        <v>0</v>
      </c>
      <c r="AW274" s="1283">
        <f t="shared" si="128"/>
        <v>0</v>
      </c>
      <c r="AX274" s="1283">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3">
        <f t="shared" si="127"/>
        <v>0</v>
      </c>
      <c r="AW275" s="1283">
        <f t="shared" si="128"/>
        <v>0</v>
      </c>
      <c r="AX275" s="1283">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3">
        <f t="shared" si="127"/>
        <v>0</v>
      </c>
      <c r="AW276" s="1283">
        <f t="shared" si="128"/>
        <v>0</v>
      </c>
      <c r="AX276" s="1283">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3">
        <f t="shared" si="127"/>
        <v>0</v>
      </c>
      <c r="AW277" s="1283">
        <f t="shared" si="128"/>
        <v>0</v>
      </c>
      <c r="AX277" s="1283">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3">
        <f t="shared" si="127"/>
        <v>0</v>
      </c>
      <c r="AW278" s="1283">
        <f t="shared" si="128"/>
        <v>0</v>
      </c>
      <c r="AX278" s="1283">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3">
        <f t="shared" si="127"/>
        <v>0</v>
      </c>
      <c r="AW279" s="1283">
        <f t="shared" si="128"/>
        <v>0</v>
      </c>
      <c r="AX279" s="1283">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3">
        <f t="shared" si="127"/>
        <v>0</v>
      </c>
      <c r="AW280" s="1283">
        <f t="shared" si="128"/>
        <v>0</v>
      </c>
      <c r="AX280" s="1283">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3">
        <f t="shared" si="127"/>
        <v>0</v>
      </c>
      <c r="AW281" s="1283">
        <f t="shared" si="128"/>
        <v>0</v>
      </c>
      <c r="AX281" s="1283">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3">
        <f t="shared" si="127"/>
        <v>0</v>
      </c>
      <c r="AW282" s="1283">
        <f t="shared" si="128"/>
        <v>0</v>
      </c>
      <c r="AX282" s="1283">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3">
        <f t="shared" si="127"/>
        <v>0</v>
      </c>
      <c r="AW283" s="1283">
        <f t="shared" si="128"/>
        <v>0</v>
      </c>
      <c r="AX283" s="1283">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3">
        <f t="shared" si="127"/>
        <v>0</v>
      </c>
      <c r="AW284" s="1283">
        <f t="shared" si="128"/>
        <v>0</v>
      </c>
      <c r="AX284" s="1283">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3">
        <f t="shared" si="127"/>
        <v>0</v>
      </c>
      <c r="AW285" s="1283">
        <f t="shared" si="128"/>
        <v>0</v>
      </c>
      <c r="AX285" s="1283">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3">
        <f t="shared" si="127"/>
        <v>0</v>
      </c>
      <c r="AW286" s="1283">
        <f t="shared" si="128"/>
        <v>0</v>
      </c>
      <c r="AX286" s="1283">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3">
        <f t="shared" si="127"/>
        <v>0</v>
      </c>
      <c r="AW287" s="1283">
        <f t="shared" si="128"/>
        <v>0</v>
      </c>
      <c r="AX287" s="1283">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3">
        <f t="shared" si="127"/>
        <v>0</v>
      </c>
      <c r="AW288" s="1283">
        <f t="shared" si="128"/>
        <v>0</v>
      </c>
      <c r="AX288" s="1283">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3">
        <f t="shared" si="127"/>
        <v>0</v>
      </c>
      <c r="AW289" s="1283">
        <f t="shared" si="128"/>
        <v>0</v>
      </c>
      <c r="AX289" s="1283">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3">
        <f t="shared" si="127"/>
        <v>0</v>
      </c>
      <c r="AW290" s="1283">
        <f t="shared" si="128"/>
        <v>0</v>
      </c>
      <c r="AX290" s="1283">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3">
        <f t="shared" si="127"/>
        <v>0</v>
      </c>
      <c r="AW291" s="1283">
        <f t="shared" si="128"/>
        <v>0</v>
      </c>
      <c r="AX291" s="1283">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3">
        <f t="shared" si="127"/>
        <v>0</v>
      </c>
      <c r="AW292" s="1283">
        <f t="shared" si="128"/>
        <v>0</v>
      </c>
      <c r="AX292" s="1283">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3">
        <f t="shared" si="127"/>
        <v>0</v>
      </c>
      <c r="AW293" s="1283">
        <f t="shared" si="128"/>
        <v>0</v>
      </c>
      <c r="AX293" s="1283">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3">
        <f t="shared" si="127"/>
        <v>0</v>
      </c>
      <c r="AW294" s="1283">
        <f t="shared" si="128"/>
        <v>0</v>
      </c>
      <c r="AX294" s="1283">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3">
        <f t="shared" si="127"/>
        <v>0</v>
      </c>
      <c r="AW295" s="1283">
        <f t="shared" si="128"/>
        <v>0</v>
      </c>
      <c r="AX295" s="1283">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3">
        <f t="shared" si="127"/>
        <v>0</v>
      </c>
      <c r="AW296" s="1283">
        <f t="shared" si="128"/>
        <v>0</v>
      </c>
      <c r="AX296" s="1283">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3">
        <f t="shared" si="127"/>
        <v>0</v>
      </c>
      <c r="AW297" s="1283">
        <f t="shared" si="128"/>
        <v>0</v>
      </c>
      <c r="AX297" s="1283">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3">
        <f t="shared" si="127"/>
        <v>0</v>
      </c>
      <c r="AW298" s="1283">
        <f t="shared" si="128"/>
        <v>0</v>
      </c>
      <c r="AX298" s="1283">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3">
        <f t="shared" si="127"/>
        <v>0</v>
      </c>
      <c r="AW299" s="1283">
        <f t="shared" si="128"/>
        <v>0</v>
      </c>
      <c r="AX299" s="1283">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3">
        <f t="shared" si="127"/>
        <v>0</v>
      </c>
      <c r="AW300" s="1283">
        <f t="shared" si="128"/>
        <v>0</v>
      </c>
      <c r="AX300" s="1283">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3">
        <f t="shared" si="127"/>
        <v>0</v>
      </c>
      <c r="AW301" s="1283">
        <f t="shared" si="128"/>
        <v>0</v>
      </c>
      <c r="AX301" s="1283">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3">
        <f t="shared" si="127"/>
        <v>0</v>
      </c>
      <c r="AW302" s="1283">
        <f t="shared" si="128"/>
        <v>0</v>
      </c>
      <c r="AX302" s="1283">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3">
        <f t="shared" ref="AV303:AV334" si="178">A303</f>
        <v>0</v>
      </c>
      <c r="AW303" s="1283">
        <f t="shared" ref="AW303:AW334" si="179">B303</f>
        <v>0</v>
      </c>
      <c r="AX303" s="1283">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3">
        <f t="shared" si="178"/>
        <v>0</v>
      </c>
      <c r="AW304" s="1283">
        <f t="shared" si="179"/>
        <v>0</v>
      </c>
      <c r="AX304" s="1283">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3">
        <f t="shared" si="178"/>
        <v>0</v>
      </c>
      <c r="AW305" s="1283">
        <f t="shared" si="179"/>
        <v>0</v>
      </c>
      <c r="AX305" s="1283">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3">
        <f t="shared" si="178"/>
        <v>0</v>
      </c>
      <c r="AW306" s="1283">
        <f t="shared" si="179"/>
        <v>0</v>
      </c>
      <c r="AX306" s="1283">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3">
        <f t="shared" si="178"/>
        <v>0</v>
      </c>
      <c r="AW307" s="1283">
        <f t="shared" si="179"/>
        <v>0</v>
      </c>
      <c r="AX307" s="1283">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3">
        <f t="shared" si="178"/>
        <v>0</v>
      </c>
      <c r="AW308" s="1283">
        <f t="shared" si="179"/>
        <v>0</v>
      </c>
      <c r="AX308" s="1283">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3">
        <f t="shared" si="178"/>
        <v>0</v>
      </c>
      <c r="AW309" s="1283">
        <f t="shared" si="179"/>
        <v>0</v>
      </c>
      <c r="AX309" s="1283">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3">
        <f t="shared" si="178"/>
        <v>0</v>
      </c>
      <c r="AW310" s="1283">
        <f t="shared" si="179"/>
        <v>0</v>
      </c>
      <c r="AX310" s="1283">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3">
        <f t="shared" si="178"/>
        <v>0</v>
      </c>
      <c r="AW311" s="1283">
        <f t="shared" si="179"/>
        <v>0</v>
      </c>
      <c r="AX311" s="1283">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3">
        <f t="shared" si="178"/>
        <v>0</v>
      </c>
      <c r="AW312" s="1283">
        <f t="shared" si="179"/>
        <v>0</v>
      </c>
      <c r="AX312" s="1283">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3">
        <f t="shared" si="178"/>
        <v>0</v>
      </c>
      <c r="AW313" s="1283">
        <f t="shared" si="179"/>
        <v>0</v>
      </c>
      <c r="AX313" s="1283">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3">
        <f t="shared" si="178"/>
        <v>0</v>
      </c>
      <c r="AW314" s="1283">
        <f t="shared" si="179"/>
        <v>0</v>
      </c>
      <c r="AX314" s="1283">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3">
        <f t="shared" si="178"/>
        <v>0</v>
      </c>
      <c r="AW315" s="1283">
        <f t="shared" si="179"/>
        <v>0</v>
      </c>
      <c r="AX315" s="1283">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3">
        <f t="shared" si="178"/>
        <v>0</v>
      </c>
      <c r="AW316" s="1283">
        <f t="shared" si="179"/>
        <v>0</v>
      </c>
      <c r="AX316" s="1283">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3">
        <f t="shared" si="178"/>
        <v>0</v>
      </c>
      <c r="AW317" s="1283">
        <f t="shared" si="179"/>
        <v>0</v>
      </c>
      <c r="AX317" s="1283">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3">
        <f t="shared" si="178"/>
        <v>0</v>
      </c>
      <c r="AW318" s="1283">
        <f t="shared" si="179"/>
        <v>0</v>
      </c>
      <c r="AX318" s="1283">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3">
        <f t="shared" si="178"/>
        <v>0</v>
      </c>
      <c r="AW319" s="1283">
        <f t="shared" si="179"/>
        <v>0</v>
      </c>
      <c r="AX319" s="1283">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3">
        <f t="shared" si="178"/>
        <v>0</v>
      </c>
      <c r="AW320" s="1283">
        <f t="shared" si="179"/>
        <v>0</v>
      </c>
      <c r="AX320" s="1283">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3">
        <f t="shared" si="178"/>
        <v>0</v>
      </c>
      <c r="AW321" s="1283">
        <f t="shared" si="179"/>
        <v>0</v>
      </c>
      <c r="AX321" s="1283">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3">
        <f t="shared" si="178"/>
        <v>0</v>
      </c>
      <c r="AW322" s="1283">
        <f t="shared" si="179"/>
        <v>0</v>
      </c>
      <c r="AX322" s="1283">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3">
        <f t="shared" si="178"/>
        <v>0</v>
      </c>
      <c r="AW323" s="1283">
        <f t="shared" si="179"/>
        <v>0</v>
      </c>
      <c r="AX323" s="1283">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3">
        <f t="shared" si="178"/>
        <v>0</v>
      </c>
      <c r="AW324" s="1283">
        <f t="shared" si="179"/>
        <v>0</v>
      </c>
      <c r="AX324" s="1283">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3">
        <f t="shared" si="178"/>
        <v>0</v>
      </c>
      <c r="AW325" s="1283">
        <f t="shared" si="179"/>
        <v>0</v>
      </c>
      <c r="AX325" s="1283">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3">
        <f t="shared" si="178"/>
        <v>0</v>
      </c>
      <c r="AW326" s="1283">
        <f t="shared" si="179"/>
        <v>0</v>
      </c>
      <c r="AX326" s="1283">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3">
        <f t="shared" si="178"/>
        <v>0</v>
      </c>
      <c r="AW327" s="1283">
        <f t="shared" si="179"/>
        <v>0</v>
      </c>
      <c r="AX327" s="1283">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3">
        <f t="shared" si="178"/>
        <v>0</v>
      </c>
      <c r="AW328" s="1283">
        <f t="shared" si="179"/>
        <v>0</v>
      </c>
      <c r="AX328" s="1283">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3">
        <f t="shared" si="178"/>
        <v>0</v>
      </c>
      <c r="AW329" s="1283">
        <f t="shared" si="179"/>
        <v>0</v>
      </c>
      <c r="AX329" s="1283">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3">
        <f t="shared" si="178"/>
        <v>0</v>
      </c>
      <c r="AW330" s="1283">
        <f t="shared" si="179"/>
        <v>0</v>
      </c>
      <c r="AX330" s="1283">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3">
        <f t="shared" si="178"/>
        <v>0</v>
      </c>
      <c r="AW331" s="1283">
        <f t="shared" si="179"/>
        <v>0</v>
      </c>
      <c r="AX331" s="1283">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3">
        <f t="shared" si="178"/>
        <v>0</v>
      </c>
      <c r="AW332" s="1283">
        <f t="shared" si="179"/>
        <v>0</v>
      </c>
      <c r="AX332" s="1283">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3">
        <f t="shared" si="178"/>
        <v>0</v>
      </c>
      <c r="AW333" s="1283">
        <f t="shared" si="179"/>
        <v>0</v>
      </c>
      <c r="AX333" s="1283">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3">
        <f t="shared" si="178"/>
        <v>0</v>
      </c>
      <c r="AW334" s="1283">
        <f t="shared" si="179"/>
        <v>0</v>
      </c>
      <c r="AX334" s="1283">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3">
        <f t="shared" ref="AV335:AV366" si="207">A335</f>
        <v>0</v>
      </c>
      <c r="AW335" s="1283">
        <f t="shared" ref="AW335:AW366" si="208">B335</f>
        <v>0</v>
      </c>
      <c r="AX335" s="1283">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3">
        <f t="shared" si="207"/>
        <v>0</v>
      </c>
      <c r="AW336" s="1283">
        <f t="shared" si="208"/>
        <v>0</v>
      </c>
      <c r="AX336" s="1283">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3">
        <f t="shared" si="207"/>
        <v>0</v>
      </c>
      <c r="AW337" s="1283">
        <f t="shared" si="208"/>
        <v>0</v>
      </c>
      <c r="AX337" s="1283">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3">
        <f t="shared" si="207"/>
        <v>0</v>
      </c>
      <c r="AW338" s="1283">
        <f t="shared" si="208"/>
        <v>0</v>
      </c>
      <c r="AX338" s="1283">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3">
        <f t="shared" si="207"/>
        <v>0</v>
      </c>
      <c r="AW339" s="1283">
        <f t="shared" si="208"/>
        <v>0</v>
      </c>
      <c r="AX339" s="1283">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3">
        <f t="shared" si="207"/>
        <v>0</v>
      </c>
      <c r="AW340" s="1283">
        <f t="shared" si="208"/>
        <v>0</v>
      </c>
      <c r="AX340" s="1283">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3">
        <f t="shared" si="207"/>
        <v>0</v>
      </c>
      <c r="AW341" s="1283">
        <f t="shared" si="208"/>
        <v>0</v>
      </c>
      <c r="AX341" s="1283">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3">
        <f t="shared" si="207"/>
        <v>0</v>
      </c>
      <c r="AW342" s="1283">
        <f t="shared" si="208"/>
        <v>0</v>
      </c>
      <c r="AX342" s="1283">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3">
        <f t="shared" si="207"/>
        <v>0</v>
      </c>
      <c r="AW343" s="1283">
        <f t="shared" si="208"/>
        <v>0</v>
      </c>
      <c r="AX343" s="1283">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3">
        <f t="shared" si="207"/>
        <v>0</v>
      </c>
      <c r="AW344" s="1283">
        <f t="shared" si="208"/>
        <v>0</v>
      </c>
      <c r="AX344" s="1283">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3">
        <f t="shared" si="207"/>
        <v>0</v>
      </c>
      <c r="AW345" s="1283">
        <f t="shared" si="208"/>
        <v>0</v>
      </c>
      <c r="AX345" s="1283">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3">
        <f t="shared" si="207"/>
        <v>0</v>
      </c>
      <c r="AW346" s="1283">
        <f t="shared" si="208"/>
        <v>0</v>
      </c>
      <c r="AX346" s="1283">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3">
        <f t="shared" si="207"/>
        <v>0</v>
      </c>
      <c r="AW347" s="1283">
        <f t="shared" si="208"/>
        <v>0</v>
      </c>
      <c r="AX347" s="1283">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3">
        <f t="shared" si="207"/>
        <v>0</v>
      </c>
      <c r="AW348" s="1283">
        <f t="shared" si="208"/>
        <v>0</v>
      </c>
      <c r="AX348" s="1283">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3">
        <f t="shared" si="207"/>
        <v>0</v>
      </c>
      <c r="AW349" s="1283">
        <f t="shared" si="208"/>
        <v>0</v>
      </c>
      <c r="AX349" s="1283">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3">
        <f t="shared" si="207"/>
        <v>0</v>
      </c>
      <c r="AW350" s="1283">
        <f t="shared" si="208"/>
        <v>0</v>
      </c>
      <c r="AX350" s="1283">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3">
        <f t="shared" si="207"/>
        <v>0</v>
      </c>
      <c r="AW351" s="1283">
        <f t="shared" si="208"/>
        <v>0</v>
      </c>
      <c r="AX351" s="1283">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3">
        <f t="shared" si="207"/>
        <v>0</v>
      </c>
      <c r="AW352" s="1283">
        <f t="shared" si="208"/>
        <v>0</v>
      </c>
      <c r="AX352" s="1283">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3">
        <f t="shared" si="207"/>
        <v>0</v>
      </c>
      <c r="AW353" s="1283">
        <f t="shared" si="208"/>
        <v>0</v>
      </c>
      <c r="AX353" s="1283">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3">
        <f t="shared" si="207"/>
        <v>0</v>
      </c>
      <c r="AW354" s="1283">
        <f t="shared" si="208"/>
        <v>0</v>
      </c>
      <c r="AX354" s="1283">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3">
        <f t="shared" si="207"/>
        <v>0</v>
      </c>
      <c r="AW355" s="1283">
        <f t="shared" si="208"/>
        <v>0</v>
      </c>
      <c r="AX355" s="1283">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3">
        <f t="shared" si="207"/>
        <v>0</v>
      </c>
      <c r="AW356" s="1283">
        <f t="shared" si="208"/>
        <v>0</v>
      </c>
      <c r="AX356" s="1283">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3">
        <f t="shared" si="207"/>
        <v>0</v>
      </c>
      <c r="AW357" s="1283">
        <f t="shared" si="208"/>
        <v>0</v>
      </c>
      <c r="AX357" s="1283">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3">
        <f t="shared" si="207"/>
        <v>0</v>
      </c>
      <c r="AW358" s="1283">
        <f t="shared" si="208"/>
        <v>0</v>
      </c>
      <c r="AX358" s="1283">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3">
        <f t="shared" si="207"/>
        <v>0</v>
      </c>
      <c r="AW359" s="1283">
        <f t="shared" si="208"/>
        <v>0</v>
      </c>
      <c r="AX359" s="1283">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3">
        <f t="shared" si="207"/>
        <v>0</v>
      </c>
      <c r="AW360" s="1283">
        <f t="shared" si="208"/>
        <v>0</v>
      </c>
      <c r="AX360" s="1283">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3">
        <f t="shared" si="207"/>
        <v>0</v>
      </c>
      <c r="AW361" s="1283">
        <f t="shared" si="208"/>
        <v>0</v>
      </c>
      <c r="AX361" s="1283">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3">
        <f t="shared" si="207"/>
        <v>0</v>
      </c>
      <c r="AW362" s="1283">
        <f t="shared" si="208"/>
        <v>0</v>
      </c>
      <c r="AX362" s="1283">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3">
        <f t="shared" si="207"/>
        <v>0</v>
      </c>
      <c r="AW363" s="1283">
        <f t="shared" si="208"/>
        <v>0</v>
      </c>
      <c r="AX363" s="1283">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3">
        <f t="shared" si="207"/>
        <v>0</v>
      </c>
      <c r="AW364" s="1283">
        <f t="shared" si="208"/>
        <v>0</v>
      </c>
      <c r="AX364" s="1283">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3">
        <f t="shared" si="207"/>
        <v>0</v>
      </c>
      <c r="AW365" s="1283">
        <f t="shared" si="208"/>
        <v>0</v>
      </c>
      <c r="AX365" s="1283">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3">
        <f t="shared" si="207"/>
        <v>0</v>
      </c>
      <c r="AW366" s="1283">
        <f t="shared" si="208"/>
        <v>0</v>
      </c>
      <c r="AX366" s="1283">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3">
        <f t="shared" ref="AV367:AV397" si="236">A367</f>
        <v>0</v>
      </c>
      <c r="AW367" s="1283">
        <f t="shared" ref="AW367:AW397" si="237">B367</f>
        <v>0</v>
      </c>
      <c r="AX367" s="1283">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3">
        <f t="shared" si="236"/>
        <v>0</v>
      </c>
      <c r="AW368" s="1283">
        <f t="shared" si="237"/>
        <v>0</v>
      </c>
      <c r="AX368" s="1283">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3">
        <f t="shared" si="236"/>
        <v>0</v>
      </c>
      <c r="AW369" s="1283">
        <f t="shared" si="237"/>
        <v>0</v>
      </c>
      <c r="AX369" s="1283">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3">
        <f t="shared" si="236"/>
        <v>0</v>
      </c>
      <c r="AW370" s="1283">
        <f t="shared" si="237"/>
        <v>0</v>
      </c>
      <c r="AX370" s="1283">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3">
        <f t="shared" si="236"/>
        <v>0</v>
      </c>
      <c r="AW371" s="1283">
        <f t="shared" si="237"/>
        <v>0</v>
      </c>
      <c r="AX371" s="1283">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3">
        <f t="shared" si="236"/>
        <v>0</v>
      </c>
      <c r="AW372" s="1283">
        <f t="shared" si="237"/>
        <v>0</v>
      </c>
      <c r="AX372" s="1283">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3">
        <f t="shared" si="236"/>
        <v>0</v>
      </c>
      <c r="AW373" s="1283">
        <f t="shared" si="237"/>
        <v>0</v>
      </c>
      <c r="AX373" s="1283">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3">
        <f t="shared" si="236"/>
        <v>0</v>
      </c>
      <c r="AW374" s="1283">
        <f t="shared" si="237"/>
        <v>0</v>
      </c>
      <c r="AX374" s="1283">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3">
        <f t="shared" si="236"/>
        <v>0</v>
      </c>
      <c r="AW375" s="1283">
        <f t="shared" si="237"/>
        <v>0</v>
      </c>
      <c r="AX375" s="1283">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3">
        <f t="shared" si="236"/>
        <v>0</v>
      </c>
      <c r="AW376" s="1283">
        <f t="shared" si="237"/>
        <v>0</v>
      </c>
      <c r="AX376" s="1283">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3">
        <f t="shared" si="236"/>
        <v>0</v>
      </c>
      <c r="AW377" s="1283">
        <f t="shared" si="237"/>
        <v>0</v>
      </c>
      <c r="AX377" s="1283">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3">
        <f t="shared" si="236"/>
        <v>0</v>
      </c>
      <c r="AW378" s="1283">
        <f t="shared" si="237"/>
        <v>0</v>
      </c>
      <c r="AX378" s="1283">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3">
        <f t="shared" si="236"/>
        <v>0</v>
      </c>
      <c r="AW379" s="1283">
        <f t="shared" si="237"/>
        <v>0</v>
      </c>
      <c r="AX379" s="1283">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3">
        <f t="shared" si="236"/>
        <v>0</v>
      </c>
      <c r="AW380" s="1283">
        <f t="shared" si="237"/>
        <v>0</v>
      </c>
      <c r="AX380" s="1283">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3">
        <f t="shared" si="236"/>
        <v>0</v>
      </c>
      <c r="AW381" s="1283">
        <f t="shared" si="237"/>
        <v>0</v>
      </c>
      <c r="AX381" s="1283">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3">
        <f t="shared" si="236"/>
        <v>0</v>
      </c>
      <c r="AW382" s="1283">
        <f t="shared" si="237"/>
        <v>0</v>
      </c>
      <c r="AX382" s="1283">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3">
        <f t="shared" si="236"/>
        <v>0</v>
      </c>
      <c r="AW383" s="1283">
        <f t="shared" si="237"/>
        <v>0</v>
      </c>
      <c r="AX383" s="1283">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3">
        <f t="shared" si="236"/>
        <v>0</v>
      </c>
      <c r="AW384" s="1283">
        <f t="shared" si="237"/>
        <v>0</v>
      </c>
      <c r="AX384" s="1283">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3">
        <f t="shared" si="236"/>
        <v>0</v>
      </c>
      <c r="AW385" s="1283">
        <f t="shared" si="237"/>
        <v>0</v>
      </c>
      <c r="AX385" s="1283">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3">
        <f t="shared" si="236"/>
        <v>0</v>
      </c>
      <c r="AW386" s="1283">
        <f t="shared" si="237"/>
        <v>0</v>
      </c>
      <c r="AX386" s="1283">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3">
        <f t="shared" si="236"/>
        <v>0</v>
      </c>
      <c r="AW387" s="1283">
        <f t="shared" si="237"/>
        <v>0</v>
      </c>
      <c r="AX387" s="1283">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3">
        <f t="shared" si="236"/>
        <v>0</v>
      </c>
      <c r="AW388" s="1283">
        <f t="shared" si="237"/>
        <v>0</v>
      </c>
      <c r="AX388" s="1283">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3">
        <f t="shared" si="236"/>
        <v>0</v>
      </c>
      <c r="AW389" s="1283">
        <f t="shared" si="237"/>
        <v>0</v>
      </c>
      <c r="AX389" s="1283">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3">
        <f t="shared" si="236"/>
        <v>0</v>
      </c>
      <c r="AW390" s="1283">
        <f t="shared" si="237"/>
        <v>0</v>
      </c>
      <c r="AX390" s="1283">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3">
        <f t="shared" si="236"/>
        <v>0</v>
      </c>
      <c r="AW391" s="1283">
        <f t="shared" si="237"/>
        <v>0</v>
      </c>
      <c r="AX391" s="1283">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3">
        <f t="shared" si="236"/>
        <v>0</v>
      </c>
      <c r="AW392" s="1283">
        <f t="shared" si="237"/>
        <v>0</v>
      </c>
      <c r="AX392" s="1283">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3">
        <f t="shared" si="236"/>
        <v>0</v>
      </c>
      <c r="AW393" s="1283">
        <f t="shared" si="237"/>
        <v>0</v>
      </c>
      <c r="AX393" s="1283">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3">
        <f t="shared" si="236"/>
        <v>0</v>
      </c>
      <c r="AW394" s="1283">
        <f t="shared" si="237"/>
        <v>0</v>
      </c>
      <c r="AX394" s="1283">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3">
        <f t="shared" si="236"/>
        <v>0</v>
      </c>
      <c r="AW395" s="1283">
        <f t="shared" si="237"/>
        <v>0</v>
      </c>
      <c r="AX395" s="1283">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3">
        <f t="shared" si="236"/>
        <v>0</v>
      </c>
      <c r="AW396" s="1283">
        <f t="shared" si="237"/>
        <v>0</v>
      </c>
      <c r="AX396" s="1283">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3">
        <f t="shared" si="236"/>
        <v>0</v>
      </c>
      <c r="AW397" s="1283">
        <f t="shared" si="237"/>
        <v>0</v>
      </c>
      <c r="AX397" s="1283">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3">
        <f t="shared" ref="AV398:AV492" si="243">A398</f>
        <v>0</v>
      </c>
      <c r="AW398" s="1283">
        <f t="shared" ref="AW398:AW492" si="244">B398</f>
        <v>0</v>
      </c>
      <c r="AX398" s="1283">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3">
        <f t="shared" si="243"/>
        <v>0</v>
      </c>
      <c r="AW399" s="1283">
        <f t="shared" si="244"/>
        <v>0</v>
      </c>
      <c r="AX399" s="1283">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3">
        <f t="shared" si="243"/>
        <v>0</v>
      </c>
      <c r="AW400" s="1283">
        <f t="shared" si="244"/>
        <v>0</v>
      </c>
      <c r="AX400" s="1283">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3">
        <f t="shared" si="243"/>
        <v>0</v>
      </c>
      <c r="AW401" s="1283">
        <f t="shared" si="244"/>
        <v>0</v>
      </c>
      <c r="AX401" s="1283">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3">
        <f t="shared" si="243"/>
        <v>0</v>
      </c>
      <c r="AW402" s="1283">
        <f t="shared" si="244"/>
        <v>0</v>
      </c>
      <c r="AX402" s="1283">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3">
        <f t="shared" si="243"/>
        <v>0</v>
      </c>
      <c r="AW403" s="1283">
        <f t="shared" si="244"/>
        <v>0</v>
      </c>
      <c r="AX403" s="1283">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3">
        <f t="shared" si="243"/>
        <v>0</v>
      </c>
      <c r="AW404" s="1283">
        <f t="shared" si="244"/>
        <v>0</v>
      </c>
      <c r="AX404" s="1283">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3">
        <f t="shared" si="243"/>
        <v>0</v>
      </c>
      <c r="AW405" s="1283">
        <f t="shared" si="244"/>
        <v>0</v>
      </c>
      <c r="AX405" s="1283">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3">
        <f t="shared" si="243"/>
        <v>0</v>
      </c>
      <c r="AW406" s="1283">
        <f t="shared" si="244"/>
        <v>0</v>
      </c>
      <c r="AX406" s="1283">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3">
        <f t="shared" si="243"/>
        <v>0</v>
      </c>
      <c r="AW407" s="1283">
        <f t="shared" si="244"/>
        <v>0</v>
      </c>
      <c r="AX407" s="1283">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3">
        <f t="shared" si="243"/>
        <v>0</v>
      </c>
      <c r="AW408" s="1283">
        <f t="shared" si="244"/>
        <v>0</v>
      </c>
      <c r="AX408" s="1283">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3">
        <f t="shared" si="243"/>
        <v>0</v>
      </c>
      <c r="AW409" s="1283">
        <f t="shared" si="244"/>
        <v>0</v>
      </c>
      <c r="AX409" s="1283">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3">
        <f t="shared" si="243"/>
        <v>0</v>
      </c>
      <c r="AW410" s="1283">
        <f t="shared" si="244"/>
        <v>0</v>
      </c>
      <c r="AX410" s="1283">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3">
        <f t="shared" si="243"/>
        <v>0</v>
      </c>
      <c r="AW411" s="1283">
        <f t="shared" si="244"/>
        <v>0</v>
      </c>
      <c r="AX411" s="1283">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3">
        <f t="shared" si="243"/>
        <v>0</v>
      </c>
      <c r="AW412" s="1283">
        <f t="shared" si="244"/>
        <v>0</v>
      </c>
      <c r="AX412" s="1283">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3">
        <f t="shared" si="243"/>
        <v>0</v>
      </c>
      <c r="AW413" s="1283">
        <f t="shared" si="244"/>
        <v>0</v>
      </c>
      <c r="AX413" s="1283">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3">
        <f t="shared" si="243"/>
        <v>0</v>
      </c>
      <c r="AW414" s="1283">
        <f t="shared" si="244"/>
        <v>0</v>
      </c>
      <c r="AX414" s="1283">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3">
        <f t="shared" si="243"/>
        <v>0</v>
      </c>
      <c r="AW415" s="1283">
        <f t="shared" si="244"/>
        <v>0</v>
      </c>
      <c r="AX415" s="1283">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3">
        <f t="shared" si="243"/>
        <v>0</v>
      </c>
      <c r="AW416" s="1283">
        <f t="shared" si="244"/>
        <v>0</v>
      </c>
      <c r="AX416" s="1283">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3">
        <f t="shared" si="243"/>
        <v>0</v>
      </c>
      <c r="AW417" s="1283">
        <f t="shared" si="244"/>
        <v>0</v>
      </c>
      <c r="AX417" s="1283">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3">
        <f t="shared" si="243"/>
        <v>0</v>
      </c>
      <c r="AW418" s="1283">
        <f t="shared" si="244"/>
        <v>0</v>
      </c>
      <c r="AX418" s="1283">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3">
        <f t="shared" si="243"/>
        <v>0</v>
      </c>
      <c r="AW419" s="1283">
        <f t="shared" si="244"/>
        <v>0</v>
      </c>
      <c r="AX419" s="1283">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3">
        <f t="shared" si="243"/>
        <v>0</v>
      </c>
      <c r="AW420" s="1283">
        <f t="shared" si="244"/>
        <v>0</v>
      </c>
      <c r="AX420" s="1283">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3">
        <f t="shared" si="243"/>
        <v>0</v>
      </c>
      <c r="AW421" s="1283">
        <f t="shared" si="244"/>
        <v>0</v>
      </c>
      <c r="AX421" s="1283">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3">
        <f t="shared" si="243"/>
        <v>0</v>
      </c>
      <c r="AW422" s="1283">
        <f t="shared" si="244"/>
        <v>0</v>
      </c>
      <c r="AX422" s="1283">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3">
        <f t="shared" si="243"/>
        <v>0</v>
      </c>
      <c r="AW423" s="1283">
        <f t="shared" si="244"/>
        <v>0</v>
      </c>
      <c r="AX423" s="1283">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3">
        <f t="shared" si="243"/>
        <v>0</v>
      </c>
      <c r="AW424" s="1283">
        <f t="shared" si="244"/>
        <v>0</v>
      </c>
      <c r="AX424" s="1283">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3">
        <f t="shared" si="243"/>
        <v>0</v>
      </c>
      <c r="AW425" s="1283">
        <f t="shared" si="244"/>
        <v>0</v>
      </c>
      <c r="AX425" s="1283">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3">
        <f t="shared" si="243"/>
        <v>0</v>
      </c>
      <c r="AW426" s="1283">
        <f t="shared" si="244"/>
        <v>0</v>
      </c>
      <c r="AX426" s="1283">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3">
        <f t="shared" si="243"/>
        <v>0</v>
      </c>
      <c r="AW427" s="1283">
        <f t="shared" si="244"/>
        <v>0</v>
      </c>
      <c r="AX427" s="1283">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3">
        <f t="shared" si="243"/>
        <v>0</v>
      </c>
      <c r="AW428" s="1283">
        <f t="shared" si="244"/>
        <v>0</v>
      </c>
      <c r="AX428" s="1283">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3">
        <f t="shared" si="243"/>
        <v>0</v>
      </c>
      <c r="AW429" s="1283">
        <f t="shared" si="244"/>
        <v>0</v>
      </c>
      <c r="AX429" s="1283">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3">
        <f t="shared" si="243"/>
        <v>0</v>
      </c>
      <c r="AW430" s="1283">
        <f t="shared" si="244"/>
        <v>0</v>
      </c>
      <c r="AX430" s="1283">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3">
        <f t="shared" si="243"/>
        <v>0</v>
      </c>
      <c r="AW431" s="1283">
        <f t="shared" si="244"/>
        <v>0</v>
      </c>
      <c r="AX431" s="1283">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3">
        <f t="shared" si="243"/>
        <v>0</v>
      </c>
      <c r="AW432" s="1283">
        <f t="shared" si="244"/>
        <v>0</v>
      </c>
      <c r="AX432" s="1283">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3">
        <f t="shared" si="243"/>
        <v>0</v>
      </c>
      <c r="AW433" s="1283">
        <f t="shared" si="244"/>
        <v>0</v>
      </c>
      <c r="AX433" s="1283">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3">
        <f t="shared" si="243"/>
        <v>0</v>
      </c>
      <c r="AW434" s="1283">
        <f t="shared" si="244"/>
        <v>0</v>
      </c>
      <c r="AX434" s="1283">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3">
        <f t="shared" si="243"/>
        <v>0</v>
      </c>
      <c r="AW435" s="1283">
        <f t="shared" si="244"/>
        <v>0</v>
      </c>
      <c r="AX435" s="1283">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3">
        <f t="shared" si="243"/>
        <v>0</v>
      </c>
      <c r="AW436" s="1283">
        <f t="shared" si="244"/>
        <v>0</v>
      </c>
      <c r="AX436" s="1283">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3">
        <f t="shared" si="243"/>
        <v>0</v>
      </c>
      <c r="AW437" s="1283">
        <f t="shared" si="244"/>
        <v>0</v>
      </c>
      <c r="AX437" s="1283">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3">
        <f t="shared" si="243"/>
        <v>0</v>
      </c>
      <c r="AW438" s="1283">
        <f t="shared" si="244"/>
        <v>0</v>
      </c>
      <c r="AX438" s="1283">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3">
        <f t="shared" si="243"/>
        <v>0</v>
      </c>
      <c r="AW439" s="1283">
        <f t="shared" si="244"/>
        <v>0</v>
      </c>
      <c r="AX439" s="1283">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3">
        <f t="shared" si="243"/>
        <v>0</v>
      </c>
      <c r="AW440" s="1283">
        <f t="shared" si="244"/>
        <v>0</v>
      </c>
      <c r="AX440" s="1283">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3">
        <f t="shared" si="243"/>
        <v>0</v>
      </c>
      <c r="AW441" s="1283">
        <f t="shared" si="244"/>
        <v>0</v>
      </c>
      <c r="AX441" s="1283">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3">
        <f t="shared" si="243"/>
        <v>0</v>
      </c>
      <c r="AW442" s="1283">
        <f t="shared" si="244"/>
        <v>0</v>
      </c>
      <c r="AX442" s="1283">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3">
        <f t="shared" si="243"/>
        <v>0</v>
      </c>
      <c r="AW443" s="1283">
        <f t="shared" si="244"/>
        <v>0</v>
      </c>
      <c r="AX443" s="1283">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3">
        <f t="shared" si="243"/>
        <v>0</v>
      </c>
      <c r="AW444" s="1283">
        <f t="shared" si="244"/>
        <v>0</v>
      </c>
      <c r="AX444" s="1283">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3">
        <f t="shared" si="243"/>
        <v>0</v>
      </c>
      <c r="AW445" s="1283">
        <f t="shared" si="244"/>
        <v>0</v>
      </c>
      <c r="AX445" s="1283">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3">
        <f t="shared" si="243"/>
        <v>0</v>
      </c>
      <c r="AW446" s="1283">
        <f t="shared" si="244"/>
        <v>0</v>
      </c>
      <c r="AX446" s="1283">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3">
        <f t="shared" si="243"/>
        <v>0</v>
      </c>
      <c r="AW447" s="1283">
        <f t="shared" si="244"/>
        <v>0</v>
      </c>
      <c r="AX447" s="1283">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3">
        <f t="shared" si="243"/>
        <v>0</v>
      </c>
      <c r="AW448" s="1283">
        <f t="shared" si="244"/>
        <v>0</v>
      </c>
      <c r="AX448" s="1283">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3">
        <f t="shared" si="243"/>
        <v>0</v>
      </c>
      <c r="AW449" s="1283">
        <f t="shared" si="244"/>
        <v>0</v>
      </c>
      <c r="AX449" s="1283">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3">
        <f t="shared" si="243"/>
        <v>0</v>
      </c>
      <c r="AW450" s="1283">
        <f t="shared" si="244"/>
        <v>0</v>
      </c>
      <c r="AX450" s="1283">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3">
        <f t="shared" si="243"/>
        <v>0</v>
      </c>
      <c r="AW451" s="1283">
        <f t="shared" si="244"/>
        <v>0</v>
      </c>
      <c r="AX451" s="1283">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3">
        <f t="shared" si="243"/>
        <v>0</v>
      </c>
      <c r="AW452" s="1283">
        <f t="shared" si="244"/>
        <v>0</v>
      </c>
      <c r="AX452" s="1283">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3">
        <f t="shared" si="243"/>
        <v>0</v>
      </c>
      <c r="AW453" s="1283">
        <f t="shared" si="244"/>
        <v>0</v>
      </c>
      <c r="AX453" s="1283">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3">
        <f t="shared" si="243"/>
        <v>0</v>
      </c>
      <c r="AW454" s="1283">
        <f t="shared" si="244"/>
        <v>0</v>
      </c>
      <c r="AX454" s="1283">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3">
        <f t="shared" si="243"/>
        <v>0</v>
      </c>
      <c r="AW455" s="1283">
        <f t="shared" si="244"/>
        <v>0</v>
      </c>
      <c r="AX455" s="1283">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3">
        <f t="shared" si="243"/>
        <v>0</v>
      </c>
      <c r="AW456" s="1283">
        <f t="shared" si="244"/>
        <v>0</v>
      </c>
      <c r="AX456" s="1283">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3">
        <f t="shared" si="243"/>
        <v>0</v>
      </c>
      <c r="AW457" s="1283">
        <f t="shared" si="244"/>
        <v>0</v>
      </c>
      <c r="AX457" s="1283">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3">
        <f t="shared" si="243"/>
        <v>0</v>
      </c>
      <c r="AW458" s="1283">
        <f t="shared" si="244"/>
        <v>0</v>
      </c>
      <c r="AX458" s="1283">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3">
        <f t="shared" si="243"/>
        <v>0</v>
      </c>
      <c r="AW459" s="1283">
        <f t="shared" si="244"/>
        <v>0</v>
      </c>
      <c r="AX459" s="1283">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3">
        <f t="shared" si="243"/>
        <v>0</v>
      </c>
      <c r="AW460" s="1283">
        <f t="shared" si="244"/>
        <v>0</v>
      </c>
      <c r="AX460" s="1283">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3">
        <f t="shared" si="243"/>
        <v>0</v>
      </c>
      <c r="AW461" s="1283">
        <f t="shared" si="244"/>
        <v>0</v>
      </c>
      <c r="AX461" s="1283">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3">
        <f t="shared" si="243"/>
        <v>0</v>
      </c>
      <c r="AW462" s="1283">
        <f t="shared" si="244"/>
        <v>0</v>
      </c>
      <c r="AX462" s="1283">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3">
        <f t="shared" si="243"/>
        <v>0</v>
      </c>
      <c r="AW463" s="1283">
        <f t="shared" si="244"/>
        <v>0</v>
      </c>
      <c r="AX463" s="1283">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3">
        <f t="shared" si="243"/>
        <v>0</v>
      </c>
      <c r="AW464" s="1283">
        <f t="shared" si="244"/>
        <v>0</v>
      </c>
      <c r="AX464" s="1283">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3">
        <f t="shared" si="243"/>
        <v>0</v>
      </c>
      <c r="AW465" s="1283">
        <f t="shared" si="244"/>
        <v>0</v>
      </c>
      <c r="AX465" s="1283">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3">
        <f t="shared" si="243"/>
        <v>0</v>
      </c>
      <c r="AW466" s="1283">
        <f t="shared" si="244"/>
        <v>0</v>
      </c>
      <c r="AX466" s="1283">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3">
        <f t="shared" si="243"/>
        <v>0</v>
      </c>
      <c r="AW467" s="1283">
        <f t="shared" si="244"/>
        <v>0</v>
      </c>
      <c r="AX467" s="1283">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3">
        <f t="shared" si="243"/>
        <v>0</v>
      </c>
      <c r="AW468" s="1283">
        <f t="shared" si="244"/>
        <v>0</v>
      </c>
      <c r="AX468" s="1283">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3">
        <f t="shared" si="243"/>
        <v>0</v>
      </c>
      <c r="AW469" s="1283">
        <f t="shared" si="244"/>
        <v>0</v>
      </c>
      <c r="AX469" s="1283">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3">
        <f t="shared" si="243"/>
        <v>0</v>
      </c>
      <c r="AW470" s="1283">
        <f t="shared" si="244"/>
        <v>0</v>
      </c>
      <c r="AX470" s="1283">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3">
        <f t="shared" si="243"/>
        <v>0</v>
      </c>
      <c r="AW471" s="1283">
        <f t="shared" si="244"/>
        <v>0</v>
      </c>
      <c r="AX471" s="1283">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3">
        <f t="shared" si="243"/>
        <v>0</v>
      </c>
      <c r="AW472" s="1283">
        <f t="shared" si="244"/>
        <v>0</v>
      </c>
      <c r="AX472" s="1283">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3">
        <f t="shared" si="243"/>
        <v>0</v>
      </c>
      <c r="AW473" s="1283">
        <f t="shared" si="244"/>
        <v>0</v>
      </c>
      <c r="AX473" s="1283">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3">
        <f t="shared" si="243"/>
        <v>0</v>
      </c>
      <c r="AW474" s="1283">
        <f t="shared" si="244"/>
        <v>0</v>
      </c>
      <c r="AX474" s="1283">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3">
        <f t="shared" si="243"/>
        <v>0</v>
      </c>
      <c r="AW475" s="1283">
        <f t="shared" si="244"/>
        <v>0</v>
      </c>
      <c r="AX475" s="1283">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3">
        <f t="shared" si="243"/>
        <v>0</v>
      </c>
      <c r="AW476" s="1283">
        <f t="shared" si="244"/>
        <v>0</v>
      </c>
      <c r="AX476" s="1283">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3">
        <f t="shared" si="243"/>
        <v>0</v>
      </c>
      <c r="AW477" s="1283">
        <f t="shared" si="244"/>
        <v>0</v>
      </c>
      <c r="AX477" s="1283">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3">
        <f t="shared" si="243"/>
        <v>0</v>
      </c>
      <c r="AW478" s="1283">
        <f t="shared" si="244"/>
        <v>0</v>
      </c>
      <c r="AX478" s="1283">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3">
        <f t="shared" si="243"/>
        <v>0</v>
      </c>
      <c r="AW479" s="1283">
        <f t="shared" si="244"/>
        <v>0</v>
      </c>
      <c r="AX479" s="1283">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3">
        <f t="shared" si="243"/>
        <v>0</v>
      </c>
      <c r="AW480" s="1283">
        <f t="shared" si="244"/>
        <v>0</v>
      </c>
      <c r="AX480" s="1283">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3">
        <f t="shared" si="243"/>
        <v>0</v>
      </c>
      <c r="AW481" s="1283">
        <f t="shared" si="244"/>
        <v>0</v>
      </c>
      <c r="AX481" s="1283">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3">
        <f t="shared" si="243"/>
        <v>0</v>
      </c>
      <c r="AW482" s="1283">
        <f t="shared" si="244"/>
        <v>0</v>
      </c>
      <c r="AX482" s="1283">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3">
        <f t="shared" si="243"/>
        <v>0</v>
      </c>
      <c r="AW483" s="1283">
        <f t="shared" si="244"/>
        <v>0</v>
      </c>
      <c r="AX483" s="1283">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3">
        <f t="shared" si="243"/>
        <v>0</v>
      </c>
      <c r="AW484" s="1283">
        <f t="shared" si="244"/>
        <v>0</v>
      </c>
      <c r="AX484" s="1283">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3">
        <f t="shared" si="243"/>
        <v>0</v>
      </c>
      <c r="AW485" s="1283">
        <f t="shared" si="244"/>
        <v>0</v>
      </c>
      <c r="AX485" s="1283">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3">
        <f t="shared" si="243"/>
        <v>0</v>
      </c>
      <c r="AW486" s="1283">
        <f t="shared" si="244"/>
        <v>0</v>
      </c>
      <c r="AX486" s="1283">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3">
        <f t="shared" si="243"/>
        <v>0</v>
      </c>
      <c r="AW487" s="1283">
        <f t="shared" si="244"/>
        <v>0</v>
      </c>
      <c r="AX487" s="1283">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3">
        <f t="shared" si="243"/>
        <v>0</v>
      </c>
      <c r="AW488" s="1283">
        <f t="shared" si="244"/>
        <v>0</v>
      </c>
      <c r="AX488" s="1283">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3">
        <f t="shared" si="243"/>
        <v>0</v>
      </c>
      <c r="AW489" s="1283">
        <f t="shared" si="244"/>
        <v>0</v>
      </c>
      <c r="AX489" s="1283">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3">
        <f t="shared" si="243"/>
        <v>0</v>
      </c>
      <c r="AW490" s="1283">
        <f t="shared" si="244"/>
        <v>0</v>
      </c>
      <c r="AX490" s="1283">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3">
        <f t="shared" si="243"/>
        <v>0</v>
      </c>
      <c r="AW491" s="1283">
        <f t="shared" si="244"/>
        <v>0</v>
      </c>
      <c r="AX491" s="1283">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3">
        <f t="shared" si="243"/>
        <v>0</v>
      </c>
      <c r="AW492" s="1283">
        <f t="shared" si="244"/>
        <v>0</v>
      </c>
      <c r="AX492" s="1283">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3">
        <f t="shared" ref="AV493:AV520" si="294">A493</f>
        <v>0</v>
      </c>
      <c r="AW493" s="1283">
        <f t="shared" ref="AW493:AW520" si="295">B493</f>
        <v>0</v>
      </c>
      <c r="AX493" s="1283">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3">
        <f t="shared" si="294"/>
        <v>0</v>
      </c>
      <c r="AW494" s="1283">
        <f t="shared" si="295"/>
        <v>0</v>
      </c>
      <c r="AX494" s="1283">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3">
        <f t="shared" si="294"/>
        <v>0</v>
      </c>
      <c r="AW495" s="1283">
        <f t="shared" si="295"/>
        <v>0</v>
      </c>
      <c r="AX495" s="1283">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3">
        <f t="shared" si="294"/>
        <v>0</v>
      </c>
      <c r="AW496" s="1283">
        <f t="shared" si="295"/>
        <v>0</v>
      </c>
      <c r="AX496" s="1283">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3">
        <f t="shared" si="294"/>
        <v>0</v>
      </c>
      <c r="AW497" s="1283">
        <f t="shared" si="295"/>
        <v>0</v>
      </c>
      <c r="AX497" s="1283">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3">
        <f t="shared" si="294"/>
        <v>0</v>
      </c>
      <c r="AW498" s="1283">
        <f t="shared" si="295"/>
        <v>0</v>
      </c>
      <c r="AX498" s="1283">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3">
        <f t="shared" si="294"/>
        <v>0</v>
      </c>
      <c r="AW499" s="1283">
        <f t="shared" si="295"/>
        <v>0</v>
      </c>
      <c r="AX499" s="1283">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3">
        <f t="shared" si="294"/>
        <v>0</v>
      </c>
      <c r="AW500" s="1283">
        <f t="shared" si="295"/>
        <v>0</v>
      </c>
      <c r="AX500" s="1283">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3">
        <f t="shared" si="294"/>
        <v>0</v>
      </c>
      <c r="AW501" s="1283">
        <f t="shared" si="295"/>
        <v>0</v>
      </c>
      <c r="AX501" s="1283">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3">
        <f t="shared" si="294"/>
        <v>0</v>
      </c>
      <c r="AW502" s="1283">
        <f t="shared" si="295"/>
        <v>0</v>
      </c>
      <c r="AX502" s="1283">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3">
        <f t="shared" si="294"/>
        <v>0</v>
      </c>
      <c r="AW503" s="1283">
        <f t="shared" si="295"/>
        <v>0</v>
      </c>
      <c r="AX503" s="1283">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3">
        <f t="shared" si="294"/>
        <v>0</v>
      </c>
      <c r="AW504" s="1283">
        <f t="shared" si="295"/>
        <v>0</v>
      </c>
      <c r="AX504" s="1283">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3">
        <f t="shared" si="294"/>
        <v>0</v>
      </c>
      <c r="AW505" s="1283">
        <f t="shared" si="295"/>
        <v>0</v>
      </c>
      <c r="AX505" s="1283">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3">
        <f t="shared" si="294"/>
        <v>0</v>
      </c>
      <c r="AW506" s="1283">
        <f t="shared" si="295"/>
        <v>0</v>
      </c>
      <c r="AX506" s="1283">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3">
        <f t="shared" si="294"/>
        <v>0</v>
      </c>
      <c r="AW507" s="1283">
        <f t="shared" si="295"/>
        <v>0</v>
      </c>
      <c r="AX507" s="1283">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3">
        <f t="shared" si="294"/>
        <v>0</v>
      </c>
      <c r="AW508" s="1283">
        <f t="shared" si="295"/>
        <v>0</v>
      </c>
      <c r="AX508" s="1283">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3">
        <f t="shared" si="294"/>
        <v>0</v>
      </c>
      <c r="AW509" s="1283">
        <f t="shared" si="295"/>
        <v>0</v>
      </c>
      <c r="AX509" s="1283">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3">
        <f t="shared" si="294"/>
        <v>0</v>
      </c>
      <c r="AW510" s="1283">
        <f t="shared" si="295"/>
        <v>0</v>
      </c>
      <c r="AX510" s="1283">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3">
        <f t="shared" si="294"/>
        <v>0</v>
      </c>
      <c r="AW511" s="1283">
        <f t="shared" si="295"/>
        <v>0</v>
      </c>
      <c r="AX511" s="1283">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3">
        <f t="shared" si="294"/>
        <v>0</v>
      </c>
      <c r="AW512" s="1283">
        <f t="shared" si="295"/>
        <v>0</v>
      </c>
      <c r="AX512" s="1283">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3">
        <f t="shared" si="294"/>
        <v>0</v>
      </c>
      <c r="AW513" s="1283">
        <f t="shared" si="295"/>
        <v>0</v>
      </c>
      <c r="AX513" s="1283">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3">
        <f t="shared" si="294"/>
        <v>0</v>
      </c>
      <c r="AW514" s="1283">
        <f t="shared" si="295"/>
        <v>0</v>
      </c>
      <c r="AX514" s="1283">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3">
        <f t="shared" si="294"/>
        <v>0</v>
      </c>
      <c r="AW515" s="1283">
        <f t="shared" si="295"/>
        <v>0</v>
      </c>
      <c r="AX515" s="1283">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3">
        <f t="shared" si="294"/>
        <v>0</v>
      </c>
      <c r="AW516" s="1283">
        <f t="shared" si="295"/>
        <v>0</v>
      </c>
      <c r="AX516" s="1283">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3">
        <f t="shared" si="294"/>
        <v>0</v>
      </c>
      <c r="AW517" s="1283">
        <f t="shared" si="295"/>
        <v>0</v>
      </c>
      <c r="AX517" s="1283">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3">
        <f t="shared" si="294"/>
        <v>0</v>
      </c>
      <c r="AW518" s="1283">
        <f t="shared" si="295"/>
        <v>0</v>
      </c>
      <c r="AX518" s="1283">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3">
        <f t="shared" si="294"/>
        <v>0</v>
      </c>
      <c r="AW519" s="1283">
        <f t="shared" si="295"/>
        <v>0</v>
      </c>
      <c r="AX519" s="1283">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3">
        <f t="shared" si="294"/>
        <v>0</v>
      </c>
      <c r="AW520" s="1283">
        <f t="shared" si="295"/>
        <v>0</v>
      </c>
      <c r="AX520" s="1283">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3">
        <f t="shared" ref="AV521:AV552" si="298">A521</f>
        <v>0</v>
      </c>
      <c r="AW521" s="1283">
        <f t="shared" ref="AW521:AW552" si="299">B521</f>
        <v>0</v>
      </c>
      <c r="AX521" s="1283">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3">
        <f t="shared" si="298"/>
        <v>0</v>
      </c>
      <c r="AW522" s="1283">
        <f t="shared" si="299"/>
        <v>0</v>
      </c>
      <c r="AX522" s="1283">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3">
        <f t="shared" si="298"/>
        <v>0</v>
      </c>
      <c r="AW523" s="1283">
        <f t="shared" si="299"/>
        <v>0</v>
      </c>
      <c r="AX523" s="1283">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3">
        <f t="shared" si="298"/>
        <v>0</v>
      </c>
      <c r="AW524" s="1283">
        <f t="shared" si="299"/>
        <v>0</v>
      </c>
      <c r="AX524" s="1283">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3">
        <f t="shared" si="298"/>
        <v>0</v>
      </c>
      <c r="AW525" s="1283">
        <f t="shared" si="299"/>
        <v>0</v>
      </c>
      <c r="AX525" s="1283">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3">
        <f t="shared" si="298"/>
        <v>0</v>
      </c>
      <c r="AW526" s="1283">
        <f t="shared" si="299"/>
        <v>0</v>
      </c>
      <c r="AX526" s="1283">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3">
        <f t="shared" si="298"/>
        <v>0</v>
      </c>
      <c r="AW527" s="1283">
        <f t="shared" si="299"/>
        <v>0</v>
      </c>
      <c r="AX527" s="1283">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3">
        <f t="shared" si="298"/>
        <v>0</v>
      </c>
      <c r="AW528" s="1283">
        <f t="shared" si="299"/>
        <v>0</v>
      </c>
      <c r="AX528" s="1283">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3">
        <f t="shared" si="298"/>
        <v>0</v>
      </c>
      <c r="AW529" s="1283">
        <f t="shared" si="299"/>
        <v>0</v>
      </c>
      <c r="AX529" s="1283">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3">
        <f t="shared" si="298"/>
        <v>0</v>
      </c>
      <c r="AW530" s="1283">
        <f t="shared" si="299"/>
        <v>0</v>
      </c>
      <c r="AX530" s="1283">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3">
        <f t="shared" si="298"/>
        <v>0</v>
      </c>
      <c r="AW531" s="1283">
        <f t="shared" si="299"/>
        <v>0</v>
      </c>
      <c r="AX531" s="1283">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3">
        <f t="shared" si="298"/>
        <v>0</v>
      </c>
      <c r="AW532" s="1283">
        <f t="shared" si="299"/>
        <v>0</v>
      </c>
      <c r="AX532" s="1283">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3">
        <f t="shared" si="298"/>
        <v>0</v>
      </c>
      <c r="AW533" s="1283">
        <f t="shared" si="299"/>
        <v>0</v>
      </c>
      <c r="AX533" s="1283">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3">
        <f t="shared" si="298"/>
        <v>0</v>
      </c>
      <c r="AW534" s="1283">
        <f t="shared" si="299"/>
        <v>0</v>
      </c>
      <c r="AX534" s="1283">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3">
        <f t="shared" si="298"/>
        <v>0</v>
      </c>
      <c r="AW535" s="1283">
        <f t="shared" si="299"/>
        <v>0</v>
      </c>
      <c r="AX535" s="1283">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3">
        <f t="shared" si="298"/>
        <v>0</v>
      </c>
      <c r="AW536" s="1283">
        <f t="shared" si="299"/>
        <v>0</v>
      </c>
      <c r="AX536" s="1283">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3">
        <f t="shared" si="298"/>
        <v>0</v>
      </c>
      <c r="AW537" s="1283">
        <f t="shared" si="299"/>
        <v>0</v>
      </c>
      <c r="AX537" s="1283">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3">
        <f t="shared" si="298"/>
        <v>0</v>
      </c>
      <c r="AW538" s="1283">
        <f t="shared" si="299"/>
        <v>0</v>
      </c>
      <c r="AX538" s="1283">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3">
        <f t="shared" si="298"/>
        <v>0</v>
      </c>
      <c r="AW539" s="1283">
        <f t="shared" si="299"/>
        <v>0</v>
      </c>
      <c r="AX539" s="1283">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3">
        <f t="shared" si="298"/>
        <v>0</v>
      </c>
      <c r="AW540" s="1283">
        <f t="shared" si="299"/>
        <v>0</v>
      </c>
      <c r="AX540" s="1283">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3">
        <f t="shared" si="298"/>
        <v>0</v>
      </c>
      <c r="AW541" s="1283">
        <f t="shared" si="299"/>
        <v>0</v>
      </c>
      <c r="AX541" s="1283">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3">
        <f t="shared" si="298"/>
        <v>0</v>
      </c>
      <c r="AW542" s="1283">
        <f t="shared" si="299"/>
        <v>0</v>
      </c>
      <c r="AX542" s="1283">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3">
        <f t="shared" si="298"/>
        <v>0</v>
      </c>
      <c r="AW543" s="1283">
        <f t="shared" si="299"/>
        <v>0</v>
      </c>
      <c r="AX543" s="1283">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3">
        <f t="shared" si="298"/>
        <v>0</v>
      </c>
      <c r="AW544" s="1283">
        <f t="shared" si="299"/>
        <v>0</v>
      </c>
      <c r="AX544" s="1283">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3">
        <f t="shared" si="298"/>
        <v>0</v>
      </c>
      <c r="AW545" s="1283">
        <f t="shared" si="299"/>
        <v>0</v>
      </c>
      <c r="AX545" s="1283">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3">
        <f t="shared" si="298"/>
        <v>0</v>
      </c>
      <c r="AW546" s="1283">
        <f t="shared" si="299"/>
        <v>0</v>
      </c>
      <c r="AX546" s="1283">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3">
        <f t="shared" si="298"/>
        <v>0</v>
      </c>
      <c r="AW547" s="1283">
        <f t="shared" si="299"/>
        <v>0</v>
      </c>
      <c r="AX547" s="1283">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3">
        <f t="shared" si="298"/>
        <v>0</v>
      </c>
      <c r="AW548" s="1283">
        <f t="shared" si="299"/>
        <v>0</v>
      </c>
      <c r="AX548" s="1283">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3">
        <f t="shared" si="298"/>
        <v>0</v>
      </c>
      <c r="AW549" s="1283">
        <f t="shared" si="299"/>
        <v>0</v>
      </c>
      <c r="AX549" s="1283">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3">
        <f t="shared" si="298"/>
        <v>0</v>
      </c>
      <c r="AW550" s="1283">
        <f t="shared" si="299"/>
        <v>0</v>
      </c>
      <c r="AX550" s="1283">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3">
        <f t="shared" si="298"/>
        <v>0</v>
      </c>
      <c r="AW551" s="1283">
        <f t="shared" si="299"/>
        <v>0</v>
      </c>
      <c r="AX551" s="1283">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3">
        <f t="shared" si="298"/>
        <v>0</v>
      </c>
      <c r="AW552" s="1283">
        <f t="shared" si="299"/>
        <v>0</v>
      </c>
      <c r="AX552" s="1283">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3">
        <f t="shared" ref="AV553:AV587" si="330">A553</f>
        <v>0</v>
      </c>
      <c r="AW553" s="1283">
        <f t="shared" ref="AW553:AW587" si="331">B553</f>
        <v>0</v>
      </c>
      <c r="AX553" s="1283">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3">
        <f t="shared" si="330"/>
        <v>0</v>
      </c>
      <c r="AW554" s="1283">
        <f t="shared" si="331"/>
        <v>0</v>
      </c>
      <c r="AX554" s="1283">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3">
        <f t="shared" si="330"/>
        <v>0</v>
      </c>
      <c r="AW555" s="1283">
        <f t="shared" si="331"/>
        <v>0</v>
      </c>
      <c r="AX555" s="1283">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3">
        <f t="shared" si="330"/>
        <v>0</v>
      </c>
      <c r="AW556" s="1283">
        <f t="shared" si="331"/>
        <v>0</v>
      </c>
      <c r="AX556" s="1283">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3">
        <f t="shared" si="330"/>
        <v>0</v>
      </c>
      <c r="AW557" s="1283">
        <f t="shared" si="331"/>
        <v>0</v>
      </c>
      <c r="AX557" s="1283">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3">
        <f t="shared" si="330"/>
        <v>0</v>
      </c>
      <c r="AW558" s="1283">
        <f t="shared" si="331"/>
        <v>0</v>
      </c>
      <c r="AX558" s="1283">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3">
        <f t="shared" si="330"/>
        <v>0</v>
      </c>
      <c r="AW559" s="1283">
        <f t="shared" si="331"/>
        <v>0</v>
      </c>
      <c r="AX559" s="1283">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3">
        <f t="shared" si="330"/>
        <v>0</v>
      </c>
      <c r="AW560" s="1283">
        <f t="shared" si="331"/>
        <v>0</v>
      </c>
      <c r="AX560" s="1283">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3">
        <f t="shared" si="330"/>
        <v>0</v>
      </c>
      <c r="AW561" s="1283">
        <f t="shared" si="331"/>
        <v>0</v>
      </c>
      <c r="AX561" s="1283">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3">
        <f t="shared" si="330"/>
        <v>0</v>
      </c>
      <c r="AW562" s="1283">
        <f t="shared" si="331"/>
        <v>0</v>
      </c>
      <c r="AX562" s="1283">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3">
        <f t="shared" si="330"/>
        <v>0</v>
      </c>
      <c r="AW563" s="1283">
        <f t="shared" si="331"/>
        <v>0</v>
      </c>
      <c r="AX563" s="1283">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3">
        <f t="shared" si="330"/>
        <v>0</v>
      </c>
      <c r="AW564" s="1283">
        <f t="shared" si="331"/>
        <v>0</v>
      </c>
      <c r="AX564" s="1283">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3">
        <f t="shared" si="330"/>
        <v>0</v>
      </c>
      <c r="AW565" s="1283">
        <f t="shared" si="331"/>
        <v>0</v>
      </c>
      <c r="AX565" s="1283">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3">
        <f t="shared" si="330"/>
        <v>0</v>
      </c>
      <c r="AW566" s="1283">
        <f t="shared" si="331"/>
        <v>0</v>
      </c>
      <c r="AX566" s="1283">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3">
        <f t="shared" si="330"/>
        <v>0</v>
      </c>
      <c r="AW567" s="1283">
        <f t="shared" si="331"/>
        <v>0</v>
      </c>
      <c r="AX567" s="1283">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3">
        <f t="shared" si="330"/>
        <v>0</v>
      </c>
      <c r="AW568" s="1283">
        <f t="shared" si="331"/>
        <v>0</v>
      </c>
      <c r="AX568" s="1283">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3">
        <f t="shared" si="330"/>
        <v>0</v>
      </c>
      <c r="AW569" s="1283">
        <f t="shared" si="331"/>
        <v>0</v>
      </c>
      <c r="AX569" s="1283">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3">
        <f t="shared" si="330"/>
        <v>0</v>
      </c>
      <c r="AW570" s="1283">
        <f t="shared" si="331"/>
        <v>0</v>
      </c>
      <c r="AX570" s="1283">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3">
        <f t="shared" si="330"/>
        <v>0</v>
      </c>
      <c r="AW571" s="1283">
        <f t="shared" si="331"/>
        <v>0</v>
      </c>
      <c r="AX571" s="1283">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3">
        <f t="shared" si="330"/>
        <v>0</v>
      </c>
      <c r="AW572" s="1283">
        <f t="shared" si="331"/>
        <v>0</v>
      </c>
      <c r="AX572" s="1283">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3">
        <f t="shared" si="330"/>
        <v>0</v>
      </c>
      <c r="AW573" s="1283">
        <f t="shared" si="331"/>
        <v>0</v>
      </c>
      <c r="AX573" s="1283">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3">
        <f t="shared" si="330"/>
        <v>0</v>
      </c>
      <c r="AW574" s="1283">
        <f t="shared" si="331"/>
        <v>0</v>
      </c>
      <c r="AX574" s="1283">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3">
        <f t="shared" si="330"/>
        <v>0</v>
      </c>
      <c r="AW575" s="1283">
        <f t="shared" si="331"/>
        <v>0</v>
      </c>
      <c r="AX575" s="1283">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3">
        <f t="shared" si="330"/>
        <v>0</v>
      </c>
      <c r="AW576" s="1283">
        <f t="shared" si="331"/>
        <v>0</v>
      </c>
      <c r="AX576" s="1283">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3">
        <f t="shared" si="330"/>
        <v>0</v>
      </c>
      <c r="AW577" s="1283">
        <f t="shared" si="331"/>
        <v>0</v>
      </c>
      <c r="AX577" s="1283">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3">
        <f t="shared" si="330"/>
        <v>0</v>
      </c>
      <c r="AW578" s="1283">
        <f t="shared" si="331"/>
        <v>0</v>
      </c>
      <c r="AX578" s="1283">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3">
        <f t="shared" si="330"/>
        <v>0</v>
      </c>
      <c r="AW579" s="1283">
        <f t="shared" si="331"/>
        <v>0</v>
      </c>
      <c r="AX579" s="1283">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3">
        <f t="shared" si="330"/>
        <v>0</v>
      </c>
      <c r="AW580" s="1283">
        <f t="shared" si="331"/>
        <v>0</v>
      </c>
      <c r="AX580" s="1283">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3">
        <f t="shared" si="330"/>
        <v>0</v>
      </c>
      <c r="AW581" s="1283">
        <f t="shared" si="331"/>
        <v>0</v>
      </c>
      <c r="AX581" s="1283">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3">
        <f t="shared" si="330"/>
        <v>0</v>
      </c>
      <c r="AW582" s="1283">
        <f t="shared" si="331"/>
        <v>0</v>
      </c>
      <c r="AX582" s="1283">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3">
        <f t="shared" si="330"/>
        <v>0</v>
      </c>
      <c r="AW583" s="1283">
        <f t="shared" si="331"/>
        <v>0</v>
      </c>
      <c r="AX583" s="1283">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3">
        <f t="shared" si="330"/>
        <v>0</v>
      </c>
      <c r="AW584" s="1283">
        <f t="shared" si="331"/>
        <v>0</v>
      </c>
      <c r="AX584" s="1283">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3">
        <f t="shared" si="330"/>
        <v>0</v>
      </c>
      <c r="AW585" s="1283">
        <f t="shared" si="331"/>
        <v>0</v>
      </c>
      <c r="AX585" s="1283">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3">
        <f t="shared" si="330"/>
        <v>0</v>
      </c>
      <c r="AW586" s="1283">
        <f t="shared" si="331"/>
        <v>0</v>
      </c>
      <c r="AX586" s="1283">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3">
        <f t="shared" si="330"/>
        <v>0</v>
      </c>
      <c r="AW587" s="1283">
        <f t="shared" si="331"/>
        <v>0</v>
      </c>
      <c r="AX587" s="1283">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4"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5" customFormat="1">
      <c r="C589" s="3108"/>
      <c r="D589" s="3108"/>
    </row>
    <row r="590" spans="1:72" s="3015" customFormat="1">
      <c r="C590" s="3108"/>
      <c r="D590" s="3108"/>
    </row>
    <row r="593" spans="2:2">
      <c r="B593" s="3108"/>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558</v>
      </c>
      <c r="B1" s="2429"/>
      <c r="C1" s="2429"/>
      <c r="D1" s="2429"/>
      <c r="E1" s="2429"/>
      <c r="F1" s="2429"/>
      <c r="G1" s="2429"/>
      <c r="H1" s="2429"/>
      <c r="I1" s="2429"/>
      <c r="J1" s="2429"/>
      <c r="K1" s="2429"/>
      <c r="L1" s="2429"/>
      <c r="M1" s="2429"/>
      <c r="N1" s="2429"/>
      <c r="O1" s="2429"/>
      <c r="P1" s="2429"/>
    </row>
    <row r="2" spans="1:16" ht="15">
      <c r="A2" s="3505" t="s">
        <v>559</v>
      </c>
      <c r="B2" s="3505"/>
      <c r="C2" s="3505"/>
      <c r="D2" s="2271" t="s">
        <v>560</v>
      </c>
      <c r="E2" s="2928" t="s">
        <v>561</v>
      </c>
      <c r="F2" s="2929"/>
      <c r="G2" s="2930"/>
      <c r="H2" s="2931"/>
      <c r="I2" s="2578" t="s">
        <v>562</v>
      </c>
      <c r="J2" s="2929"/>
      <c r="K2" s="2929"/>
      <c r="L2" s="2929"/>
      <c r="M2" s="2929"/>
      <c r="N2" s="1409"/>
      <c r="O2" s="2929"/>
      <c r="P2" s="2929"/>
    </row>
    <row r="3" spans="1:16" ht="15">
      <c r="A3" s="3506" t="s">
        <v>563</v>
      </c>
      <c r="B3" s="3506"/>
      <c r="C3" s="3506"/>
      <c r="D3" s="2932">
        <f>'数据-基础表'!AY6</f>
        <v>2068.02</v>
      </c>
      <c r="E3" s="2932">
        <f>'数据-基础表'!AZ5</f>
        <v>2541.1799999999998</v>
      </c>
      <c r="F3" s="2929"/>
      <c r="G3" s="2933"/>
      <c r="H3" s="2381" t="s">
        <v>564</v>
      </c>
      <c r="I3" s="2992">
        <f>ROUND('数据-基础表'!B3/'数据-基础表'!A3,2)</f>
        <v>1.23</v>
      </c>
      <c r="J3" s="2929"/>
      <c r="K3" s="2929"/>
      <c r="L3" s="2929"/>
      <c r="M3" s="2929"/>
      <c r="N3" s="1409"/>
      <c r="O3" s="2929"/>
      <c r="P3" s="2929"/>
    </row>
    <row r="4" spans="1:16" ht="15">
      <c r="A4" s="3507"/>
      <c r="B4" s="3508"/>
      <c r="C4" s="3509"/>
      <c r="D4" s="2934" t="s">
        <v>560</v>
      </c>
      <c r="E4" s="2935" t="s">
        <v>561</v>
      </c>
      <c r="F4" s="2929"/>
      <c r="G4" s="2936" t="s">
        <v>565</v>
      </c>
      <c r="H4" s="2381" t="s">
        <v>566</v>
      </c>
      <c r="I4" s="2992">
        <f>ROUND(SUMIF('数据-基础表'!I9:AS9,"地上",'数据-基础表'!I5:AS5)/'数据-基础表'!A3,2)</f>
        <v>1.05</v>
      </c>
      <c r="J4" s="2929"/>
      <c r="K4" s="2929"/>
      <c r="L4" s="2929"/>
      <c r="M4" s="2929"/>
      <c r="N4" s="1409"/>
      <c r="O4" s="2929"/>
      <c r="P4" s="2929"/>
    </row>
    <row r="5" spans="1:16">
      <c r="A5" s="2937" t="s">
        <v>567</v>
      </c>
      <c r="B5" s="3510" t="s">
        <v>568</v>
      </c>
      <c r="C5" s="3510"/>
      <c r="D5" s="2938">
        <f>ROUND($D$3*E5/$E$3,2)</f>
        <v>0</v>
      </c>
      <c r="E5" s="2939">
        <f>SUMIF('数据-基础表'!$11:$11,"住宅",'数据-基础表'!$5:$5)</f>
        <v>0</v>
      </c>
      <c r="F5" s="2929"/>
      <c r="G5" s="2933"/>
      <c r="H5" s="2381" t="s">
        <v>564</v>
      </c>
      <c r="I5" s="2992">
        <f>ROUND(E31/D31,2)</f>
        <v>1.23</v>
      </c>
      <c r="J5" s="2929"/>
      <c r="K5" s="2929"/>
      <c r="L5" s="2929"/>
      <c r="M5" s="2929"/>
      <c r="N5" s="2929"/>
      <c r="O5" s="2929"/>
      <c r="P5" s="2929"/>
    </row>
    <row r="6" spans="1:16">
      <c r="A6" s="2940"/>
      <c r="B6" s="3510" t="s">
        <v>569</v>
      </c>
      <c r="C6" s="3510"/>
      <c r="D6" s="2938">
        <f>ROUND($D$3*E6/$E$3,2)</f>
        <v>2068.02</v>
      </c>
      <c r="E6" s="2939">
        <f>E3-E5</f>
        <v>2541.1799999999998</v>
      </c>
      <c r="F6" s="2929"/>
      <c r="G6" s="2941" t="s">
        <v>570</v>
      </c>
      <c r="H6" s="2942" t="s">
        <v>566</v>
      </c>
      <c r="I6" s="2993">
        <f>ROUND(F31/D31,2)</f>
        <v>1.05</v>
      </c>
      <c r="J6" s="2929"/>
      <c r="K6" s="2929"/>
      <c r="L6" s="2929"/>
      <c r="M6" s="2929"/>
      <c r="N6" s="2929"/>
      <c r="O6" s="2929"/>
      <c r="P6" s="2929"/>
    </row>
    <row r="7" spans="1:16" ht="15">
      <c r="A7" s="3511"/>
      <c r="B7" s="3512"/>
      <c r="C7" s="3513"/>
      <c r="D7" s="2934" t="s">
        <v>560</v>
      </c>
      <c r="E7" s="2943" t="s">
        <v>571</v>
      </c>
      <c r="F7" s="2929"/>
      <c r="G7" s="2944" t="s">
        <v>572</v>
      </c>
      <c r="H7" s="2945"/>
      <c r="I7" s="2994"/>
      <c r="J7" s="2929"/>
      <c r="K7" s="2929"/>
      <c r="L7" s="2929"/>
      <c r="M7" s="2929"/>
      <c r="N7" s="2929"/>
      <c r="O7" s="2929"/>
      <c r="P7" s="2929"/>
    </row>
    <row r="8" spans="1:16">
      <c r="A8" s="2937" t="s">
        <v>573</v>
      </c>
      <c r="B8" s="2946" t="s">
        <v>574</v>
      </c>
      <c r="C8" s="2938" t="s">
        <v>575</v>
      </c>
      <c r="D8" s="2938">
        <f t="shared" ref="D8:D15" si="0">ROUND($D$3*E8/$E$3,2)</f>
        <v>1759.67</v>
      </c>
      <c r="E8" s="2947">
        <f>SUMIF('数据-基础表'!BB10:BK10,"地上",'数据-基础表'!BB5:BK5)</f>
        <v>2162.2800000000002</v>
      </c>
      <c r="F8" s="2929"/>
      <c r="G8" s="2948"/>
      <c r="H8" s="2948"/>
      <c r="I8" s="2929"/>
      <c r="J8" s="2929"/>
      <c r="K8" s="2929"/>
      <c r="L8" s="2929"/>
      <c r="M8" s="2929"/>
      <c r="N8" s="2929"/>
      <c r="O8" s="2929"/>
      <c r="P8" s="2929"/>
    </row>
    <row r="9" spans="1:16">
      <c r="A9" s="2949"/>
      <c r="B9" s="2950"/>
      <c r="C9" s="2938" t="s">
        <v>576</v>
      </c>
      <c r="D9" s="2938">
        <f t="shared" si="0"/>
        <v>0</v>
      </c>
      <c r="E9" s="2951">
        <v>0</v>
      </c>
      <c r="F9" s="2929"/>
      <c r="G9" s="2948"/>
      <c r="H9" s="2948"/>
      <c r="I9" s="2929"/>
      <c r="J9" s="2929"/>
      <c r="K9" s="2929"/>
      <c r="L9" s="2929"/>
      <c r="M9" s="2929"/>
      <c r="N9" s="2929"/>
      <c r="O9" s="2929"/>
      <c r="P9" s="2929"/>
    </row>
    <row r="10" spans="1:16">
      <c r="A10" s="2949"/>
      <c r="B10" s="2950"/>
      <c r="C10" s="2938" t="s">
        <v>577</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578</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579</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580</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581</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582</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583</v>
      </c>
      <c r="D16" s="2946">
        <f>SUM(D8:D15)</f>
        <v>1759.67</v>
      </c>
      <c r="E16" s="2952">
        <f>SUM(E8:E15)</f>
        <v>2162.2800000000002</v>
      </c>
      <c r="F16" s="2929"/>
      <c r="G16" s="2948"/>
      <c r="H16" s="2953" t="s">
        <v>584</v>
      </c>
      <c r="I16" s="2995"/>
      <c r="J16" s="2429"/>
      <c r="K16" s="3514" t="s">
        <v>584</v>
      </c>
      <c r="L16" s="3515"/>
      <c r="M16" s="3515"/>
      <c r="N16" s="3515"/>
      <c r="O16" s="3515"/>
      <c r="P16" s="3516"/>
    </row>
    <row r="17" spans="1:19" ht="15">
      <c r="A17" s="2888" t="s">
        <v>585</v>
      </c>
      <c r="B17" s="2954" t="s">
        <v>586</v>
      </c>
      <c r="C17" s="2887" t="s">
        <v>587</v>
      </c>
      <c r="D17" s="2955" t="s">
        <v>560</v>
      </c>
      <c r="E17" s="2956" t="s">
        <v>561</v>
      </c>
      <c r="F17" s="2957"/>
      <c r="G17" s="2958"/>
      <c r="H17" s="2959" t="s">
        <v>588</v>
      </c>
      <c r="I17" s="2996" t="s">
        <v>589</v>
      </c>
      <c r="J17" s="2429"/>
      <c r="K17" s="3517" t="s">
        <v>590</v>
      </c>
      <c r="L17" s="3518"/>
      <c r="M17" s="3519"/>
      <c r="N17" s="3517" t="s">
        <v>591</v>
      </c>
      <c r="O17" s="3518"/>
      <c r="P17" s="3519"/>
      <c r="R17" s="3009" t="s">
        <v>592</v>
      </c>
      <c r="S17" s="2370"/>
    </row>
    <row r="18" spans="1:19" ht="15">
      <c r="A18" s="2949"/>
      <c r="B18" s="2960"/>
      <c r="C18" s="2961"/>
      <c r="D18" s="2962"/>
      <c r="E18" s="2963" t="s">
        <v>593</v>
      </c>
      <c r="F18" s="2964" t="s">
        <v>566</v>
      </c>
      <c r="G18" s="2965" t="s">
        <v>594</v>
      </c>
      <c r="H18" s="2893" t="s">
        <v>595</v>
      </c>
      <c r="I18" s="2997" t="s">
        <v>596</v>
      </c>
      <c r="J18" s="2429"/>
      <c r="K18" s="2893" t="s">
        <v>597</v>
      </c>
      <c r="L18" s="2591" t="s">
        <v>598</v>
      </c>
      <c r="M18" s="2992" t="s">
        <v>599</v>
      </c>
      <c r="N18" s="2893" t="s">
        <v>597</v>
      </c>
      <c r="O18" s="2591" t="s">
        <v>598</v>
      </c>
      <c r="P18" s="2992" t="s">
        <v>599</v>
      </c>
      <c r="R18" s="2381" t="s">
        <v>595</v>
      </c>
      <c r="S18" s="2381" t="s">
        <v>596</v>
      </c>
    </row>
    <row r="19" spans="1:19">
      <c r="A19" s="2966"/>
      <c r="B19" s="2946" t="s">
        <v>600</v>
      </c>
      <c r="C19" s="2967" t="s">
        <v>601</v>
      </c>
      <c r="D19" s="2938">
        <f>ROUND($D$3*E19/$E$3,2)</f>
        <v>2068.02</v>
      </c>
      <c r="E19" s="2968">
        <f t="shared" ref="E19:E26" si="1">SUM(F19:G19)</f>
        <v>2541.1799999999998</v>
      </c>
      <c r="F19" s="2969">
        <f>'数据-基础表'!I13+'数据-基础表'!I14</f>
        <v>2162.2800000000002</v>
      </c>
      <c r="G19" s="2970">
        <f>'数据-基础表'!K13</f>
        <v>378.9</v>
      </c>
      <c r="H19" s="2877">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2068.02</v>
      </c>
      <c r="S19" s="3010">
        <f t="shared" si="5"/>
        <v>2541.1799999999998</v>
      </c>
    </row>
    <row r="20" spans="1:19">
      <c r="A20" s="2971"/>
      <c r="B20" s="2946" t="s">
        <v>600</v>
      </c>
      <c r="C20" s="2967"/>
      <c r="D20" s="2938">
        <f t="shared" ref="D20:D26" si="6">ROUND($D$3*E20/$E$3,2)</f>
        <v>0</v>
      </c>
      <c r="E20" s="2968">
        <f t="shared" si="1"/>
        <v>0</v>
      </c>
      <c r="F20" s="2969"/>
      <c r="G20" s="2970"/>
      <c r="H20" s="2877">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600</v>
      </c>
      <c r="C21" s="2967"/>
      <c r="D21" s="2938">
        <f t="shared" si="6"/>
        <v>0</v>
      </c>
      <c r="E21" s="2968">
        <f t="shared" si="1"/>
        <v>0</v>
      </c>
      <c r="F21" s="2969"/>
      <c r="G21" s="2970"/>
      <c r="H21" s="2877">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600</v>
      </c>
      <c r="C22" s="2972"/>
      <c r="D22" s="2938">
        <f t="shared" si="6"/>
        <v>0</v>
      </c>
      <c r="E22" s="2968">
        <f t="shared" si="1"/>
        <v>0</v>
      </c>
      <c r="F22" s="2973"/>
      <c r="G22" s="2974"/>
      <c r="H22" s="2877">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600</v>
      </c>
      <c r="C23" s="2972"/>
      <c r="D23" s="2938">
        <f t="shared" si="6"/>
        <v>0</v>
      </c>
      <c r="E23" s="2968">
        <f t="shared" si="1"/>
        <v>0</v>
      </c>
      <c r="F23" s="2973"/>
      <c r="G23" s="2974"/>
      <c r="H23" s="2877">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600</v>
      </c>
      <c r="C24" s="2972"/>
      <c r="D24" s="2938">
        <f t="shared" si="6"/>
        <v>0</v>
      </c>
      <c r="E24" s="2968">
        <f t="shared" si="1"/>
        <v>0</v>
      </c>
      <c r="F24" s="2973"/>
      <c r="G24" s="2974"/>
      <c r="H24" s="2877">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600</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600</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602</v>
      </c>
      <c r="D27" s="2976">
        <f>SUM(D19:D26)</f>
        <v>2068.02</v>
      </c>
      <c r="E27" s="2977">
        <f>IF(SUM(E19:E26)='数据-基础表'!BA5,SUM(E19:E26),IF(F27="地上面积有误","面积有误","地下面积有误"))</f>
        <v>2541.1799999999998</v>
      </c>
      <c r="F27" s="2976">
        <f>IF(SUM(F19:F26)=E8,SUM(F19:F26),"地上面积有误")</f>
        <v>2162.2800000000002</v>
      </c>
      <c r="G27" s="2978">
        <f>SUM(G19:G26)</f>
        <v>378.9</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2068.02</v>
      </c>
      <c r="S27" s="2381">
        <f>IF(SUM(S19:S26)=$E$3,SUM(S19:S26),SUM(S19:S26)&amp;"误差"&amp;ROUND(SUM(S19:S26)-E3,2))</f>
        <v>2541.1799999999998</v>
      </c>
    </row>
    <row r="28" spans="1:19">
      <c r="A28" s="2971"/>
      <c r="B28" s="2946" t="s">
        <v>603</v>
      </c>
      <c r="C28" s="2896" t="s">
        <v>604</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603</v>
      </c>
      <c r="C29" s="2427" t="s">
        <v>605</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602</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606</v>
      </c>
      <c r="D31" s="2986">
        <f>D27+D30</f>
        <v>2068.02</v>
      </c>
      <c r="E31" s="2986">
        <f>E27+E30</f>
        <v>2541.1799999999998</v>
      </c>
      <c r="F31" s="2987">
        <f>F27+F30</f>
        <v>2162.2800000000002</v>
      </c>
      <c r="G31" s="2988">
        <f>G27+G30</f>
        <v>378.9</v>
      </c>
      <c r="H31" s="2929"/>
      <c r="I31" s="2929"/>
      <c r="J31" s="2929"/>
      <c r="K31" s="2929"/>
      <c r="L31" s="2929"/>
      <c r="M31" s="2929"/>
      <c r="N31" s="2929"/>
      <c r="O31" s="2929"/>
      <c r="P31" s="2929"/>
    </row>
    <row r="32" spans="1:19">
      <c r="A32" s="2989"/>
      <c r="B32" s="2989" t="s">
        <v>607</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U7" sqref="U7"/>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8" width="8.875" style="2727" customWidth="1"/>
    <col min="9" max="9" width="10.625" style="2727" customWidth="1"/>
    <col min="10"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608</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609</v>
      </c>
      <c r="B2" s="2734">
        <f>项目基本情况!D3</f>
        <v>45422</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610</v>
      </c>
      <c r="B4" s="2388"/>
      <c r="C4" s="2739"/>
      <c r="D4" s="2740"/>
      <c r="E4" s="2739" t="s">
        <v>611</v>
      </c>
      <c r="F4" s="2739"/>
      <c r="G4" s="2739"/>
      <c r="H4" s="2739"/>
      <c r="I4" s="2739"/>
      <c r="J4" s="2833"/>
      <c r="K4" s="2834"/>
      <c r="L4" s="2835"/>
      <c r="M4" s="2739"/>
      <c r="N4" s="2739" t="s">
        <v>612</v>
      </c>
      <c r="O4" s="2739"/>
      <c r="P4" s="2739"/>
      <c r="Q4" s="2739"/>
      <c r="R4" s="2739"/>
      <c r="S4" s="2833"/>
      <c r="T4" s="2860" t="str">
        <f>'数据-汇总表'!I17</f>
        <v>按面积比例</v>
      </c>
      <c r="U4" s="2388" t="s">
        <v>613</v>
      </c>
      <c r="V4" s="2739"/>
      <c r="W4" s="2739"/>
      <c r="X4" s="2739"/>
      <c r="Y4" s="2833"/>
      <c r="Z4" s="2887" t="s">
        <v>614</v>
      </c>
      <c r="AA4" s="2887"/>
      <c r="AB4" s="2887"/>
      <c r="AC4" s="2887"/>
      <c r="AD4" s="2887"/>
      <c r="AE4" s="2888" t="s">
        <v>615</v>
      </c>
      <c r="AF4" s="2887"/>
      <c r="AG4" s="2900"/>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587</v>
      </c>
      <c r="B5" s="2742" t="s">
        <v>586</v>
      </c>
      <c r="C5" s="2743" t="s">
        <v>616</v>
      </c>
      <c r="D5" s="2744" t="s">
        <v>617</v>
      </c>
      <c r="E5" s="2745" t="s">
        <v>618</v>
      </c>
      <c r="F5" s="2746" t="s">
        <v>619</v>
      </c>
      <c r="G5" s="2745" t="s">
        <v>620</v>
      </c>
      <c r="H5" s="2745" t="s">
        <v>621</v>
      </c>
      <c r="I5" s="2745" t="s">
        <v>622</v>
      </c>
      <c r="J5" s="2836" t="s">
        <v>623</v>
      </c>
      <c r="K5" s="2837" t="s">
        <v>596</v>
      </c>
      <c r="L5" s="2838" t="s">
        <v>624</v>
      </c>
      <c r="M5" s="2839" t="s">
        <v>625</v>
      </c>
      <c r="N5" s="2840" t="s">
        <v>626</v>
      </c>
      <c r="O5" s="2838" t="s">
        <v>627</v>
      </c>
      <c r="P5" s="2841" t="s">
        <v>628</v>
      </c>
      <c r="Q5" s="1416" t="s">
        <v>629</v>
      </c>
      <c r="R5" s="2861" t="s">
        <v>630</v>
      </c>
      <c r="S5" s="2862" t="s">
        <v>631</v>
      </c>
      <c r="T5" s="2863" t="s">
        <v>632</v>
      </c>
      <c r="U5" s="2864" t="s">
        <v>633</v>
      </c>
      <c r="V5" s="2745" t="s">
        <v>634</v>
      </c>
      <c r="W5" s="2745" t="s">
        <v>635</v>
      </c>
      <c r="X5" s="1102"/>
      <c r="Y5" s="1546" t="s">
        <v>636</v>
      </c>
      <c r="Z5" s="2889" t="s">
        <v>633</v>
      </c>
      <c r="AA5" s="2745" t="s">
        <v>634</v>
      </c>
      <c r="AB5" s="2745" t="s">
        <v>635</v>
      </c>
      <c r="AC5" s="1102"/>
      <c r="AD5" s="1102" t="s">
        <v>636</v>
      </c>
      <c r="AE5" s="2864" t="s">
        <v>637</v>
      </c>
      <c r="AF5" s="2745" t="s">
        <v>638</v>
      </c>
      <c r="AG5" s="1546" t="s">
        <v>639</v>
      </c>
      <c r="AH5" s="2864" t="s">
        <v>640</v>
      </c>
      <c r="AI5" s="2889" t="s">
        <v>641</v>
      </c>
      <c r="AJ5" s="2889" t="s">
        <v>642</v>
      </c>
      <c r="AK5" s="2745" t="s">
        <v>643</v>
      </c>
      <c r="AL5" s="2745" t="s">
        <v>644</v>
      </c>
      <c r="AM5" s="1546" t="s">
        <v>645</v>
      </c>
      <c r="AN5" s="2901" t="s">
        <v>646</v>
      </c>
      <c r="AO5" s="2919" t="s">
        <v>647</v>
      </c>
      <c r="AP5" s="2920" t="s">
        <v>648</v>
      </c>
      <c r="AQ5" s="2921" t="s">
        <v>649</v>
      </c>
      <c r="AR5" s="2921" t="s">
        <v>650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拱辰大街51号</v>
      </c>
      <c r="B6" s="2748" t="str">
        <f>IF(A6=0,"","经营性")</f>
        <v>经营性</v>
      </c>
      <c r="C6" s="2749" t="s">
        <v>408</v>
      </c>
      <c r="D6" s="2750">
        <f>SUMIF(项目基本情况!C$12:I$12,C6,项目基本情况!C$14:I$14)</f>
        <v>50</v>
      </c>
      <c r="E6" s="2751">
        <f>IF(B6="","",SUMIF(项目基本情况!C$12:I$12,C6,项目基本情况!C$13:I$13))</f>
        <v>57583</v>
      </c>
      <c r="F6" s="2752">
        <f>SUMIF(项目基本情况!C$12:I$12,C6,项目基本情况!C$15:I$15)</f>
        <v>33.31</v>
      </c>
      <c r="G6" s="2753">
        <f>IF(ISERROR(ROUND(POWER(1+H6,D6-F6)*(POWER(1+H6,F6)-1)/(POWER(1+H6,D6)-1),3)),0,ROUND(POWER(1+H6,D6-F6)*(POWER(1+H6,F6)-1)/(POWER(1+H6,D6)-1),3))</f>
        <v>0.86499999999999999</v>
      </c>
      <c r="H6" s="2754">
        <v>4.4999999999999998E-2</v>
      </c>
      <c r="I6" s="2754">
        <v>0.05</v>
      </c>
      <c r="J6" s="2755">
        <v>7.0000000000000007E-2</v>
      </c>
      <c r="K6" s="2842">
        <f>SUMIF('数据-汇总表'!C$19:C$33,A6,'数据-汇总表'!E$19:E$33)</f>
        <v>2541.1799999999998</v>
      </c>
      <c r="L6" s="2843">
        <v>2700</v>
      </c>
      <c r="M6" s="2844">
        <f t="shared" ref="M6:M14" si="0">ROUND(K6*L6/10000,0)</f>
        <v>686</v>
      </c>
      <c r="N6" s="2845">
        <v>0.6</v>
      </c>
      <c r="O6" s="2844" t="str">
        <f>IF($N$5="成新度","——",ROUND(M6*N6,0))</f>
        <v>——</v>
      </c>
      <c r="P6" s="2846" t="str">
        <f>IF($N$5="成新度","——",M6-O6)</f>
        <v>——</v>
      </c>
      <c r="Q6" s="2865">
        <v>0.08</v>
      </c>
      <c r="R6" s="2866">
        <f ca="1">SUMIF('数据-汇总表'!C$19:C$33,A6,'数据-汇总表'!R$19:R$27)</f>
        <v>2068.02</v>
      </c>
      <c r="S6" s="2867">
        <f>IF('数据-汇总表'!$I$17="按面积比例",SUMIF('数据-汇总表'!C$19:C$33,A6,'数据-汇总表'!K$19:K$33),SUMIF('数据-汇总表'!C$19:C$33,A6,'数据-汇总表'!N$19:N$33))</f>
        <v>0</v>
      </c>
      <c r="T6" s="2868">
        <f>ROUND($L$14*S6/10000,0)</f>
        <v>0</v>
      </c>
      <c r="U6" s="2869">
        <v>1.5</v>
      </c>
      <c r="V6" s="2870">
        <v>0.02</v>
      </c>
      <c r="W6" s="2870">
        <v>0.1</v>
      </c>
      <c r="X6" s="2871"/>
      <c r="Y6" s="2890">
        <f>N6</f>
        <v>0.6</v>
      </c>
      <c r="Z6" s="2891"/>
      <c r="AA6" s="2755"/>
      <c r="AB6" s="2755"/>
      <c r="AC6" s="2871"/>
      <c r="AD6" s="2892"/>
      <c r="AE6" s="2893">
        <f ca="1">IF(AN6="",0,SUMIF(INDIRECT("'"&amp;AN6&amp;"'"&amp;"!E:E"),$AE$5,INDIRECT("'"&amp;AN6&amp;"'"&amp;"!F:F")))</f>
        <v>33.31</v>
      </c>
      <c r="AF6" s="2367"/>
      <c r="AG6" s="1720">
        <f>IF(AF6="",0,AE6-AF6)</f>
        <v>0</v>
      </c>
      <c r="AH6" s="2902"/>
      <c r="AI6" s="2903">
        <v>365</v>
      </c>
      <c r="AJ6" s="2904"/>
      <c r="AK6" s="2905">
        <v>2E-3</v>
      </c>
      <c r="AL6" s="2906">
        <v>1E-3</v>
      </c>
      <c r="AM6" s="2907">
        <v>5.0000000000000001E-3</v>
      </c>
      <c r="AN6" s="2908" t="s">
        <v>266</v>
      </c>
      <c r="AO6" s="1294">
        <f ca="1">SUMIF(INDIRECT("'"&amp;AN6&amp;"'"&amp;"!A:A"),"总价",INDIRECT("'"&amp;AN6&amp;"'"&amp;"!B:B"))</f>
        <v>2087.6934999999999</v>
      </c>
      <c r="AP6" s="2922">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5"/>
      <c r="AB7" s="2755"/>
      <c r="AC7" s="2871"/>
      <c r="AD7" s="2892"/>
      <c r="AE7" s="2893">
        <f t="shared" ref="AE7:AE13" ca="1" si="6">IF(AN7="",0,SUMIF(INDIRECT("'"&amp;AN7&amp;"'"&amp;"!E:E"),$AE$5,INDIRECT("'"&amp;AN7&amp;"'"&amp;"!F:F")))</f>
        <v>0</v>
      </c>
      <c r="AF7" s="2367"/>
      <c r="AG7" s="1720">
        <f t="shared" ref="AG7:AG13" si="7">IF(AF7="",0,AE7-AF7)</f>
        <v>0</v>
      </c>
      <c r="AH7" s="2902"/>
      <c r="AI7" s="2903"/>
      <c r="AJ7" s="2904"/>
      <c r="AK7" s="2905"/>
      <c r="AL7" s="2906"/>
      <c r="AM7" s="2907"/>
      <c r="AN7" s="2908"/>
      <c r="AO7" s="1294" t="e">
        <f t="shared" ref="AO7:AO13" ca="1" si="8">SUMIF(INDIRECT("'"&amp;AN7&amp;"'"&amp;"!A:A"),"总价",INDIRECT("'"&amp;AN7&amp;"'"&amp;"!B:B"))</f>
        <v>#REF!</v>
      </c>
      <c r="AP7" s="2922">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5"/>
      <c r="AB8" s="2755"/>
      <c r="AC8" s="2871"/>
      <c r="AD8" s="2892"/>
      <c r="AE8" s="2893">
        <f t="shared" ca="1" si="6"/>
        <v>0</v>
      </c>
      <c r="AF8" s="2367"/>
      <c r="AG8" s="1720">
        <f t="shared" si="7"/>
        <v>0</v>
      </c>
      <c r="AH8" s="2909"/>
      <c r="AI8" s="2903"/>
      <c r="AJ8" s="2904"/>
      <c r="AK8" s="2910"/>
      <c r="AL8" s="2911"/>
      <c r="AM8" s="2912"/>
      <c r="AN8" s="2908"/>
      <c r="AO8" s="1294" t="e">
        <f t="shared" ca="1" si="8"/>
        <v>#REF!</v>
      </c>
      <c r="AP8" s="2922">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5"/>
      <c r="AB9" s="2755"/>
      <c r="AC9" s="2871"/>
      <c r="AD9" s="2892"/>
      <c r="AE9" s="2893">
        <f t="shared" ca="1" si="6"/>
        <v>0</v>
      </c>
      <c r="AF9" s="2367"/>
      <c r="AG9" s="1720">
        <f t="shared" si="7"/>
        <v>0</v>
      </c>
      <c r="AH9" s="2902"/>
      <c r="AI9" s="2903"/>
      <c r="AJ9" s="2904"/>
      <c r="AK9" s="2905"/>
      <c r="AL9" s="2906"/>
      <c r="AM9" s="2907"/>
      <c r="AN9" s="2908"/>
      <c r="AO9" s="1294" t="e">
        <f t="shared" ca="1" si="8"/>
        <v>#REF!</v>
      </c>
      <c r="AP9" s="2922">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5"/>
      <c r="AB10" s="2755"/>
      <c r="AC10" s="2871"/>
      <c r="AD10" s="2892"/>
      <c r="AE10" s="2893">
        <f t="shared" ca="1" si="6"/>
        <v>0</v>
      </c>
      <c r="AF10" s="2367"/>
      <c r="AG10" s="1720">
        <f t="shared" si="7"/>
        <v>0</v>
      </c>
      <c r="AH10" s="2902"/>
      <c r="AI10" s="2903"/>
      <c r="AJ10" s="2904"/>
      <c r="AK10" s="2905"/>
      <c r="AL10" s="2906"/>
      <c r="AM10" s="2907"/>
      <c r="AN10" s="2908"/>
      <c r="AO10" s="1294" t="e">
        <f t="shared" ca="1" si="8"/>
        <v>#REF!</v>
      </c>
      <c r="AP10" s="2922">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5"/>
      <c r="W11" s="2755"/>
      <c r="X11" s="2871"/>
      <c r="Y11" s="2890"/>
      <c r="Z11" s="2894"/>
      <c r="AA11" s="2755"/>
      <c r="AB11" s="2755"/>
      <c r="AC11" s="2871"/>
      <c r="AD11" s="2892"/>
      <c r="AE11" s="2893">
        <f t="shared" ca="1" si="6"/>
        <v>0</v>
      </c>
      <c r="AF11" s="2367"/>
      <c r="AG11" s="1720">
        <f t="shared" si="7"/>
        <v>0</v>
      </c>
      <c r="AH11" s="2902"/>
      <c r="AI11" s="2903"/>
      <c r="AJ11" s="2904"/>
      <c r="AK11" s="2913"/>
      <c r="AL11" s="2914"/>
      <c r="AM11" s="2915"/>
      <c r="AN11" s="2908"/>
      <c r="AO11" s="1294" t="e">
        <f t="shared" ca="1" si="8"/>
        <v>#REF!</v>
      </c>
      <c r="AP11" s="2922">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5"/>
      <c r="W12" s="2755"/>
      <c r="X12" s="2871"/>
      <c r="Y12" s="2890"/>
      <c r="Z12" s="2894"/>
      <c r="AA12" s="2755"/>
      <c r="AB12" s="2755"/>
      <c r="AC12" s="2871"/>
      <c r="AD12" s="2892"/>
      <c r="AE12" s="2893">
        <f t="shared" ca="1" si="6"/>
        <v>0</v>
      </c>
      <c r="AF12" s="2367"/>
      <c r="AG12" s="1720">
        <f t="shared" si="7"/>
        <v>0</v>
      </c>
      <c r="AH12" s="2902"/>
      <c r="AI12" s="2903"/>
      <c r="AJ12" s="2904"/>
      <c r="AK12" s="2913"/>
      <c r="AL12" s="2914"/>
      <c r="AM12" s="2915"/>
      <c r="AN12" s="2908"/>
      <c r="AO12" s="1294" t="e">
        <f t="shared" ca="1" si="8"/>
        <v>#REF!</v>
      </c>
      <c r="AP12" s="2922">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5"/>
      <c r="AB13" s="2755"/>
      <c r="AC13" s="2871"/>
      <c r="AD13" s="2892"/>
      <c r="AE13" s="2893">
        <f t="shared" ca="1" si="6"/>
        <v>0</v>
      </c>
      <c r="AF13" s="2367"/>
      <c r="AG13" s="1720">
        <f t="shared" si="7"/>
        <v>0</v>
      </c>
      <c r="AH13" s="2902"/>
      <c r="AI13" s="2903"/>
      <c r="AJ13" s="2904"/>
      <c r="AK13" s="2905"/>
      <c r="AL13" s="2906"/>
      <c r="AM13" s="2907"/>
      <c r="AN13" s="2908"/>
      <c r="AO13" s="1294" t="e">
        <f t="shared" ca="1" si="8"/>
        <v>#REF!</v>
      </c>
      <c r="AP13" s="2922">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604</v>
      </c>
      <c r="B14" s="2748" t="s">
        <v>603</v>
      </c>
      <c r="C14" s="2757" t="s">
        <v>604</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6"/>
      <c r="R14" s="2866"/>
      <c r="S14" s="2867"/>
      <c r="T14" s="2868"/>
      <c r="U14" s="2877"/>
      <c r="V14" s="2878"/>
      <c r="W14" s="2878"/>
      <c r="X14" s="2879"/>
      <c r="Y14" s="2895"/>
      <c r="Z14" s="2896"/>
      <c r="AA14" s="2897"/>
      <c r="AB14" s="2897"/>
      <c r="AC14" s="2871"/>
      <c r="AD14" s="2879"/>
      <c r="AE14" s="2893"/>
      <c r="AF14" s="1294"/>
      <c r="AG14" s="1720"/>
      <c r="AH14" s="2893"/>
      <c r="AI14" s="1282"/>
      <c r="AJ14" s="1293"/>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605</v>
      </c>
      <c r="B15" s="2748" t="s">
        <v>603</v>
      </c>
      <c r="C15" s="2757" t="s">
        <v>651</v>
      </c>
      <c r="D15" s="2750"/>
      <c r="E15" s="2751"/>
      <c r="F15" s="2752"/>
      <c r="G15" s="2753"/>
      <c r="H15" s="2758"/>
      <c r="I15" s="2758"/>
      <c r="J15" s="2758"/>
      <c r="K15" s="2842">
        <f>SUMIF('数据-汇总表'!C$19:C$33,A15,'数据-汇总表'!E$19:E$33)</f>
        <v>0</v>
      </c>
      <c r="L15" s="2849"/>
      <c r="M15" s="2844"/>
      <c r="N15" s="2850"/>
      <c r="O15" s="2844"/>
      <c r="P15" s="2846"/>
      <c r="Q15" s="2876"/>
      <c r="R15" s="2866"/>
      <c r="S15" s="2867"/>
      <c r="T15" s="2868"/>
      <c r="U15" s="2877"/>
      <c r="V15" s="2878"/>
      <c r="W15" s="2878"/>
      <c r="X15" s="2879"/>
      <c r="Y15" s="2895"/>
      <c r="Z15" s="2896"/>
      <c r="AA15" s="2897"/>
      <c r="AB15" s="2897"/>
      <c r="AC15" s="2871"/>
      <c r="AD15" s="2879"/>
      <c r="AE15" s="2893"/>
      <c r="AF15" s="1294"/>
      <c r="AG15" s="1720"/>
      <c r="AH15" s="2893"/>
      <c r="AI15" s="1282"/>
      <c r="AJ15" s="1293"/>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606</v>
      </c>
      <c r="B16" s="2760"/>
      <c r="C16" s="2311"/>
      <c r="D16" s="2761"/>
      <c r="E16" s="2760"/>
      <c r="F16" s="2760"/>
      <c r="G16" s="2762">
        <f>ROUND(SUMPRODUCT(G6:G13,K6:K13)/SUMPRODUCT((G6:G13&gt;0)*(K6:K13)),3)</f>
        <v>0.86499999999999999</v>
      </c>
      <c r="H16" s="2763">
        <f>ROUND(SUMPRODUCT(H6:H13,K6:K13)/SUMPRODUCT((H6:H13&gt;0)*(K6:K13)),3)</f>
        <v>4.4999999999999998E-2</v>
      </c>
      <c r="I16" s="2851"/>
      <c r="J16" s="2851"/>
      <c r="K16" s="2852">
        <f>SUM(K6:K15)</f>
        <v>2541.1799999999998</v>
      </c>
      <c r="L16" s="2853">
        <f>ROUND(M16*10000/SUM(K6:K14),0)</f>
        <v>2700</v>
      </c>
      <c r="M16" s="2853">
        <f>SUM(M6:M14)</f>
        <v>686</v>
      </c>
      <c r="N16" s="2854">
        <f>ROUND(SUMPRODUCT(M6:M14,N6:N14)/M16,3)</f>
        <v>0.6</v>
      </c>
      <c r="O16" s="2853">
        <f>SUM(O6:O14)</f>
        <v>0</v>
      </c>
      <c r="P16" s="2853">
        <f>SUM(P6:P14)</f>
        <v>0</v>
      </c>
      <c r="Q16" s="2880">
        <f>ROUND(SUMPRODUCT(Q6:Q13,K6:K13)/SUMPRODUCT((Q6:Q13&gt;0)*(K6:K13)),2)</f>
        <v>0.08</v>
      </c>
      <c r="R16" s="2881">
        <f ca="1">SUM(R6:R13)</f>
        <v>2068.02</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652</v>
      </c>
      <c r="B18" s="2767"/>
      <c r="C18" s="2768"/>
      <c r="D18" s="2769"/>
      <c r="E18" s="2768"/>
      <c r="F18" s="2768"/>
      <c r="G18" s="2768"/>
      <c r="H18" s="2768"/>
      <c r="I18" s="2768"/>
      <c r="J18" s="2768"/>
      <c r="K18" s="2855"/>
      <c r="L18" s="2855"/>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653</v>
      </c>
      <c r="B19" s="2771">
        <v>0</v>
      </c>
      <c r="C19" s="2772" t="s">
        <v>654</v>
      </c>
      <c r="D19" s="2769"/>
      <c r="E19" s="2768"/>
      <c r="F19" s="2768"/>
      <c r="G19" s="2768"/>
      <c r="H19" s="2768"/>
      <c r="I19" s="2856" t="s">
        <v>655</v>
      </c>
      <c r="J19" s="2768">
        <v>1136.7</v>
      </c>
      <c r="K19" s="2855">
        <v>1000</v>
      </c>
      <c r="L19" s="2855"/>
      <c r="M19" s="2254"/>
      <c r="N19" s="2254">
        <v>1992</v>
      </c>
      <c r="O19" s="2254">
        <f>ROUND(1-(2024-N19)/50*0.98,2)</f>
        <v>0.37</v>
      </c>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656</v>
      </c>
      <c r="B20" s="2774">
        <v>1</v>
      </c>
      <c r="C20" s="2775" t="s">
        <v>657</v>
      </c>
      <c r="D20" s="2769"/>
      <c r="E20" s="2768"/>
      <c r="F20" s="2768"/>
      <c r="G20" s="2768"/>
      <c r="H20" s="2768"/>
      <c r="I20" s="2856" t="s">
        <v>658</v>
      </c>
      <c r="J20" s="2768">
        <v>378.9</v>
      </c>
      <c r="K20" s="2855">
        <v>2500</v>
      </c>
      <c r="L20" s="2855"/>
      <c r="M20" s="2254"/>
      <c r="N20" s="2254">
        <v>1992</v>
      </c>
      <c r="O20" s="2254">
        <f>ROUND(1-(2024-N20)/50*0.98,2)</f>
        <v>0.37</v>
      </c>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659</v>
      </c>
      <c r="B21" s="2774">
        <v>1</v>
      </c>
      <c r="C21" s="2768"/>
      <c r="D21" s="2769"/>
      <c r="E21" s="2768"/>
      <c r="F21" s="2768"/>
      <c r="G21" s="2768"/>
      <c r="H21" s="2768"/>
      <c r="I21" s="2856" t="s">
        <v>660</v>
      </c>
      <c r="J21" s="2768">
        <v>1025.58</v>
      </c>
      <c r="K21" s="2855">
        <v>1000</v>
      </c>
      <c r="L21" s="2855"/>
      <c r="M21" s="2254"/>
      <c r="N21" s="2857">
        <v>1980</v>
      </c>
      <c r="O21" s="2254">
        <f>ROUND(1-(2024-N21)/50*0.98,2)</f>
        <v>0.14000000000000001</v>
      </c>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661</v>
      </c>
      <c r="B22" s="2777">
        <f>B19+B20</f>
        <v>1</v>
      </c>
      <c r="C22" s="2768"/>
      <c r="D22" s="2769"/>
      <c r="E22" s="2768"/>
      <c r="F22" s="2768"/>
      <c r="G22" s="2768"/>
      <c r="H22" s="2768"/>
      <c r="I22" s="2768"/>
      <c r="J22" s="2768">
        <f>J19+J20+J21</f>
        <v>2541.1799999999998</v>
      </c>
      <c r="K22" s="2855">
        <f>ROUND(((J19+J21)*K19+J20*K20)/K16,0)</f>
        <v>1224</v>
      </c>
      <c r="L22" s="2855"/>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662</v>
      </c>
      <c r="B23" s="2777">
        <f>B19+B21</f>
        <v>1</v>
      </c>
      <c r="C23" s="2768"/>
      <c r="D23" s="2769"/>
      <c r="E23" s="2768"/>
      <c r="F23" s="2768"/>
      <c r="G23" s="2768"/>
      <c r="H23" s="2768"/>
      <c r="I23" s="2858" t="s">
        <v>663</v>
      </c>
      <c r="J23" s="2768"/>
      <c r="K23" s="2855">
        <v>600</v>
      </c>
      <c r="L23" s="2855"/>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858" t="s">
        <v>665</v>
      </c>
      <c r="J24" s="2768"/>
      <c r="K24" s="2855">
        <v>800</v>
      </c>
      <c r="L24" s="2855"/>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666</v>
      </c>
      <c r="B26" s="2780" t="s">
        <v>667</v>
      </c>
      <c r="C26" s="2781" t="s">
        <v>668</v>
      </c>
      <c r="D26" s="2769"/>
      <c r="E26" s="2768"/>
      <c r="F26" s="2768"/>
      <c r="G26" s="2768"/>
      <c r="H26" s="2768"/>
      <c r="I26" s="2768"/>
      <c r="J26" s="2768"/>
      <c r="K26" s="2855">
        <f>K22+K23+K24</f>
        <v>2624</v>
      </c>
      <c r="L26" s="285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669</v>
      </c>
      <c r="B27" s="2783">
        <v>160</v>
      </c>
      <c r="C27" s="2784" t="s">
        <v>670</v>
      </c>
      <c r="D27" s="2785"/>
      <c r="E27" s="1409"/>
      <c r="F27" s="1409"/>
      <c r="G27" s="2768"/>
      <c r="H27" s="2768"/>
      <c r="I27" s="2768"/>
      <c r="J27" s="2768"/>
      <c r="K27" s="2855"/>
      <c r="L27" s="285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671</v>
      </c>
      <c r="B28" s="2787">
        <v>200</v>
      </c>
      <c r="C28" s="2788"/>
      <c r="D28" s="2785"/>
      <c r="E28" s="1409"/>
      <c r="F28" s="1409"/>
      <c r="G28" s="2768"/>
      <c r="H28" s="2768"/>
      <c r="I28" s="2768"/>
      <c r="J28" s="2768"/>
      <c r="K28" s="2855"/>
      <c r="L28" s="285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672</v>
      </c>
      <c r="B29" s="2790"/>
      <c r="C29" s="2791" t="s">
        <v>673</v>
      </c>
      <c r="D29" s="2785"/>
      <c r="E29" s="1409"/>
      <c r="F29" s="1409"/>
      <c r="G29" s="2768"/>
      <c r="H29" s="2768"/>
      <c r="I29" s="2768"/>
      <c r="J29" s="2768"/>
      <c r="K29" s="2855"/>
      <c r="L29" s="285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674</v>
      </c>
      <c r="B30" s="2793">
        <v>200</v>
      </c>
      <c r="C30" s="2788"/>
      <c r="D30" s="2785"/>
      <c r="E30" s="1409"/>
      <c r="F30" s="1409"/>
      <c r="G30" s="2768"/>
      <c r="H30" s="2768"/>
      <c r="I30" s="2768"/>
      <c r="J30" s="2768"/>
      <c r="K30" s="2855"/>
      <c r="L30" s="285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675</v>
      </c>
      <c r="B31" s="2794">
        <f>B30-B32</f>
        <v>200</v>
      </c>
      <c r="C31" s="2795"/>
      <c r="D31" s="2785"/>
      <c r="E31" s="1409"/>
      <c r="F31" s="1409"/>
      <c r="G31" s="2768"/>
      <c r="H31" s="2768"/>
      <c r="I31" s="2768"/>
      <c r="J31" s="2768"/>
      <c r="K31" s="2855"/>
      <c r="L31" s="285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676</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677</v>
      </c>
      <c r="B33" s="2798">
        <v>0.03</v>
      </c>
      <c r="C33" s="2799" t="s">
        <v>678</v>
      </c>
      <c r="D33" s="2769"/>
      <c r="E33" s="2768"/>
      <c r="F33" s="2768"/>
      <c r="G33" s="2768"/>
      <c r="H33" s="2768"/>
      <c r="I33" s="2768"/>
      <c r="J33" s="2768"/>
      <c r="K33" s="2855"/>
      <c r="L33" s="285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679</v>
      </c>
      <c r="B34" s="2800">
        <v>0</v>
      </c>
      <c r="C34" s="2799" t="s">
        <v>680</v>
      </c>
      <c r="D34" s="2801" t="s">
        <v>681</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682</v>
      </c>
      <c r="B35" s="2787">
        <v>200</v>
      </c>
      <c r="C35" s="2799" t="s">
        <v>683</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684</v>
      </c>
      <c r="B36" s="2802">
        <v>0.02</v>
      </c>
      <c r="C36" s="2799" t="s">
        <v>685</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686</v>
      </c>
      <c r="B37" s="2803">
        <v>0.02</v>
      </c>
      <c r="C37" s="2799" t="s">
        <v>687</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688</v>
      </c>
      <c r="B38" s="2800">
        <v>0.02</v>
      </c>
      <c r="C38" s="2799" t="s">
        <v>687</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689</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690</v>
      </c>
      <c r="B40" s="2807">
        <f ca="1">IF(A40="利息：取LPR",存贷款利率!G1,存贷款利率!G1+C40)</f>
        <v>3.4500000000000003E-2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691</v>
      </c>
      <c r="B41" s="2809">
        <f>B42+B43</f>
        <v>5.5E-2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692</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693</v>
      </c>
      <c r="B43" s="2813">
        <f>B42*(B44+B45+B46)+B47</f>
        <v>5.0000000000000001E-3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694</v>
      </c>
      <c r="B44" s="2815">
        <v>0.05</v>
      </c>
      <c r="C44" s="2799" t="s">
        <v>695</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696</v>
      </c>
      <c r="B45" s="2811">
        <v>0.03</v>
      </c>
      <c r="C45" s="2791" t="s">
        <v>697</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698</v>
      </c>
      <c r="B46" s="2811">
        <v>0.02</v>
      </c>
      <c r="C46" s="2791" t="s">
        <v>699</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700</v>
      </c>
      <c r="B47" s="2817"/>
      <c r="C47" s="2818" t="s">
        <v>701</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702</v>
      </c>
      <c r="B48" s="2820">
        <v>0.03</v>
      </c>
      <c r="C48" s="2791" t="s">
        <v>697</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703</v>
      </c>
      <c r="B49" s="2811">
        <v>5.0000000000000001E-4</v>
      </c>
      <c r="C49" s="2791" t="s">
        <v>704</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705</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706</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707</v>
      </c>
      <c r="B52" s="2824">
        <f>SUMIF(A54:A63,B53,B54:B63)</f>
        <v>1.5</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708</v>
      </c>
      <c r="B53" s="2825" t="s">
        <v>273</v>
      </c>
      <c r="C53" s="1409" t="s">
        <v>709</v>
      </c>
      <c r="D53" s="2826" t="s">
        <v>710</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711</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712</v>
      </c>
      <c r="B55" s="2828"/>
      <c r="C55" s="1409">
        <v>24</v>
      </c>
      <c r="D55" s="2769"/>
      <c r="E55" s="2768"/>
      <c r="F55" s="2768"/>
      <c r="G55" s="2768"/>
      <c r="H55" s="2768"/>
      <c r="I55" s="2859"/>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713</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714</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715</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716</v>
      </c>
      <c r="B59" s="2828">
        <v>1.5</v>
      </c>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717</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718</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719</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720</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3"/>
      <c r="L69" s="1043"/>
    </row>
    <row r="70" spans="1:44" s="2326" customFormat="1">
      <c r="A70" s="2630"/>
      <c r="D70" s="2923"/>
      <c r="K70" s="1043"/>
      <c r="L70" s="1043"/>
    </row>
    <row r="71" spans="1:44" s="2326" customFormat="1">
      <c r="A71" s="2630"/>
      <c r="D71" s="2923"/>
      <c r="K71" s="1043"/>
      <c r="L71" s="1043"/>
    </row>
    <row r="72" spans="1:44" s="2326" customFormat="1">
      <c r="A72" s="2630"/>
      <c r="D72" s="2923"/>
      <c r="K72" s="1043"/>
      <c r="L72" s="1043"/>
    </row>
    <row r="73" spans="1:44" s="2326" customFormat="1">
      <c r="A73" s="2630"/>
      <c r="D73" s="2923"/>
      <c r="K73" s="1043"/>
      <c r="L73" s="1043"/>
    </row>
    <row r="74" spans="1:44" s="2326" customFormat="1">
      <c r="A74" s="2630"/>
      <c r="D74" s="2923"/>
      <c r="K74" s="1043"/>
      <c r="L74" s="1043"/>
    </row>
    <row r="75" spans="1:44" s="2326" customFormat="1">
      <c r="A75" s="2630"/>
      <c r="D75" s="2923"/>
      <c r="K75" s="1043"/>
      <c r="L75" s="1043"/>
    </row>
    <row r="76" spans="1:44" s="2326" customFormat="1">
      <c r="A76" s="2630"/>
      <c r="D76" s="2923"/>
      <c r="K76" s="1043"/>
      <c r="L76" s="1043"/>
    </row>
    <row r="77" spans="1:44" s="2326" customFormat="1">
      <c r="A77" s="2630"/>
      <c r="D77" s="2923"/>
      <c r="K77" s="1043"/>
      <c r="L77" s="1043"/>
    </row>
    <row r="78" spans="1:44" s="2326" customFormat="1">
      <c r="A78" s="2630"/>
      <c r="D78" s="2923"/>
      <c r="K78" s="1043"/>
      <c r="L78" s="1043"/>
    </row>
    <row r="79" spans="1:44" s="2326" customFormat="1">
      <c r="A79" s="2630"/>
      <c r="D79" s="2923"/>
      <c r="K79" s="1043"/>
      <c r="L79" s="1043"/>
    </row>
    <row r="80" spans="1:44" s="2326" customFormat="1">
      <c r="A80" s="2630"/>
      <c r="D80" s="2923"/>
      <c r="K80" s="1043"/>
      <c r="L80" s="1043"/>
    </row>
    <row r="81" spans="1:12" s="2326" customFormat="1">
      <c r="A81" s="2630"/>
      <c r="D81" s="2923"/>
      <c r="K81" s="1043"/>
      <c r="L81" s="1043"/>
    </row>
    <row r="82" spans="1:12" s="2326" customFormat="1">
      <c r="A82" s="2630"/>
      <c r="D82" s="2923"/>
      <c r="K82" s="1043"/>
      <c r="L82" s="1043"/>
    </row>
    <row r="83" spans="1:12" s="2326" customFormat="1">
      <c r="A83" s="2630"/>
      <c r="D83" s="2923"/>
      <c r="K83" s="1043"/>
      <c r="L83" s="1043"/>
    </row>
    <row r="84" spans="1:12" s="2326" customFormat="1">
      <c r="A84" s="2630"/>
      <c r="D84" s="2923"/>
      <c r="K84" s="1043"/>
      <c r="L84" s="1043"/>
    </row>
    <row r="85" spans="1:12" s="2326" customFormat="1">
      <c r="A85" s="2630"/>
      <c r="D85" s="2923"/>
      <c r="K85" s="1043"/>
      <c r="L85" s="1043"/>
    </row>
    <row r="86" spans="1:12" s="2326" customFormat="1">
      <c r="A86" s="2630"/>
      <c r="D86" s="2923"/>
      <c r="K86" s="1043"/>
      <c r="L86" s="1043"/>
    </row>
    <row r="87" spans="1:12" s="2326" customFormat="1">
      <c r="A87" s="2630"/>
      <c r="D87" s="2923"/>
      <c r="K87" s="1043"/>
      <c r="L87" s="1043"/>
    </row>
    <row r="88" spans="1:12" s="2326" customFormat="1">
      <c r="A88" s="2630"/>
      <c r="D88" s="2923"/>
      <c r="K88" s="1043"/>
      <c r="L88" s="1043"/>
    </row>
    <row r="89" spans="1:12" s="2326" customFormat="1">
      <c r="A89" s="2630"/>
      <c r="D89" s="2923"/>
      <c r="K89" s="1043"/>
      <c r="L89" s="1043"/>
    </row>
    <row r="90" spans="1:12" s="2326" customFormat="1">
      <c r="A90" s="2630"/>
      <c r="D90" s="2923"/>
      <c r="K90" s="1043"/>
      <c r="L90" s="1043"/>
    </row>
    <row r="91" spans="1:12" s="2326" customFormat="1">
      <c r="A91" s="2630"/>
      <c r="D91" s="2923"/>
      <c r="K91" s="1043"/>
      <c r="L91" s="1043"/>
    </row>
    <row r="92" spans="1:12" s="2326" customFormat="1">
      <c r="A92" s="2630"/>
      <c r="D92" s="2923"/>
      <c r="K92" s="1043"/>
      <c r="L92" s="1043"/>
    </row>
    <row r="93" spans="1:12" s="2326" customFormat="1">
      <c r="A93" s="2630"/>
      <c r="D93" s="2923"/>
      <c r="K93" s="1043"/>
      <c r="L93" s="1043"/>
    </row>
    <row r="94" spans="1:12" s="2326" customFormat="1">
      <c r="A94" s="2630"/>
      <c r="D94" s="2923"/>
      <c r="K94" s="1043"/>
      <c r="L94" s="1043"/>
    </row>
    <row r="95" spans="1:12" s="2326" customFormat="1">
      <c r="A95" s="2630"/>
      <c r="D95" s="2923"/>
      <c r="K95" s="1043"/>
      <c r="L95" s="1043"/>
    </row>
    <row r="96" spans="1:12" s="2326" customFormat="1">
      <c r="A96" s="2630"/>
      <c r="D96" s="2923"/>
      <c r="K96" s="1043"/>
      <c r="L96" s="1043"/>
    </row>
    <row r="97" spans="1:12" s="2326" customFormat="1">
      <c r="A97" s="2630"/>
      <c r="D97" s="2923"/>
      <c r="K97" s="1043"/>
      <c r="L97" s="1043"/>
    </row>
    <row r="98" spans="1:12" s="2326" customFormat="1">
      <c r="A98" s="2630"/>
      <c r="D98" s="2923"/>
      <c r="K98" s="1043"/>
      <c r="L98" s="1043"/>
    </row>
    <row r="99" spans="1:12" s="2326" customFormat="1">
      <c r="A99" s="2630"/>
      <c r="D99" s="2923"/>
      <c r="K99" s="1043"/>
      <c r="L99" s="1043"/>
    </row>
    <row r="100" spans="1:12" s="2326" customFormat="1">
      <c r="A100" s="2630"/>
      <c r="D100" s="2923"/>
      <c r="K100" s="1043"/>
      <c r="L100" s="1043"/>
    </row>
    <row r="101" spans="1:12" s="2326" customFormat="1">
      <c r="A101" s="2630"/>
      <c r="D101" s="2923"/>
      <c r="K101" s="1043"/>
      <c r="L101" s="1043"/>
    </row>
    <row r="102" spans="1:12" s="2326" customFormat="1">
      <c r="A102" s="2630"/>
      <c r="D102" s="2923"/>
      <c r="K102" s="1043"/>
      <c r="L102" s="1043"/>
    </row>
    <row r="103" spans="1:12" s="2326" customFormat="1">
      <c r="A103" s="2630"/>
      <c r="D103" s="2923"/>
      <c r="K103" s="1043"/>
      <c r="L103" s="1043"/>
    </row>
    <row r="104" spans="1:12" s="2326" customFormat="1">
      <c r="A104" s="2630"/>
      <c r="D104" s="2923"/>
      <c r="K104" s="1043"/>
      <c r="L104" s="1043"/>
    </row>
    <row r="105" spans="1:12" s="2326" customFormat="1">
      <c r="A105" s="2630"/>
      <c r="D105" s="2923"/>
      <c r="K105" s="1043"/>
      <c r="L105" s="1043"/>
    </row>
    <row r="106" spans="1:12" s="2326" customFormat="1">
      <c r="A106" s="2630"/>
      <c r="D106" s="2923"/>
      <c r="K106" s="1043"/>
      <c r="L106" s="1043"/>
    </row>
    <row r="107" spans="1:12" s="2326" customFormat="1">
      <c r="A107" s="2630"/>
      <c r="D107" s="2923"/>
      <c r="K107" s="1043"/>
      <c r="L107" s="1043"/>
    </row>
    <row r="108" spans="1:12" s="2326" customFormat="1">
      <c r="A108" s="2630"/>
      <c r="D108" s="2923"/>
      <c r="K108" s="1043"/>
      <c r="L108" s="1043"/>
    </row>
    <row r="109" spans="1:12" s="2326" customFormat="1">
      <c r="A109" s="2630"/>
      <c r="D109" s="2923"/>
      <c r="K109" s="1043"/>
      <c r="L109" s="1043"/>
    </row>
    <row r="110" spans="1:12" s="2326" customFormat="1">
      <c r="A110" s="2630"/>
      <c r="D110" s="2923"/>
      <c r="K110" s="1043"/>
      <c r="L110" s="1043"/>
    </row>
    <row r="111" spans="1:12" s="2326" customFormat="1">
      <c r="A111" s="2630"/>
      <c r="D111" s="2923"/>
      <c r="K111" s="1043"/>
      <c r="L111" s="1043"/>
    </row>
    <row r="112" spans="1:12" s="2326" customFormat="1">
      <c r="A112" s="2630"/>
      <c r="D112" s="2923"/>
      <c r="K112" s="1043"/>
      <c r="L112" s="1043"/>
    </row>
    <row r="113" spans="1:12" s="2326" customFormat="1">
      <c r="A113" s="2630"/>
      <c r="D113" s="2923"/>
      <c r="K113" s="1043"/>
      <c r="L113" s="1043"/>
    </row>
    <row r="114" spans="1:12" s="2326" customFormat="1">
      <c r="A114" s="2630"/>
      <c r="D114" s="2923"/>
      <c r="K114" s="1043"/>
      <c r="L114" s="1043"/>
    </row>
    <row r="115" spans="1:12" s="2326" customFormat="1">
      <c r="A115" s="2630"/>
      <c r="D115" s="2923"/>
      <c r="K115" s="1043"/>
      <c r="L115" s="1043"/>
    </row>
    <row r="116" spans="1:12" s="2326" customFormat="1">
      <c r="A116" s="2630"/>
      <c r="D116" s="2923"/>
      <c r="K116" s="1043"/>
      <c r="L116" s="1043"/>
    </row>
    <row r="117" spans="1:12" s="2326" customFormat="1">
      <c r="A117" s="2630"/>
      <c r="D117" s="2923"/>
      <c r="K117" s="1043"/>
      <c r="L117" s="1043"/>
    </row>
    <row r="118" spans="1:12" s="2326" customFormat="1">
      <c r="A118" s="2630"/>
      <c r="D118" s="2923"/>
      <c r="K118" s="1043"/>
      <c r="L118" s="1043"/>
    </row>
    <row r="119" spans="1:12" s="2326" customFormat="1">
      <c r="A119" s="2630"/>
      <c r="D119" s="2923"/>
      <c r="K119" s="1043"/>
      <c r="L119" s="1043"/>
    </row>
    <row r="120" spans="1:12" s="2326" customFormat="1">
      <c r="A120" s="2630"/>
      <c r="D120" s="2923"/>
      <c r="K120" s="1043"/>
      <c r="L120" s="1043"/>
    </row>
    <row r="121" spans="1:12" s="2326" customFormat="1">
      <c r="A121" s="2630"/>
      <c r="D121" s="2923"/>
      <c r="K121" s="1043"/>
      <c r="L121" s="1043"/>
    </row>
    <row r="122" spans="1:12" s="2326" customFormat="1">
      <c r="A122" s="2630"/>
      <c r="D122" s="2923"/>
      <c r="K122" s="1043"/>
      <c r="L122" s="1043"/>
    </row>
    <row r="123" spans="1:12" s="2326" customFormat="1">
      <c r="A123" s="2630"/>
      <c r="D123" s="2923"/>
      <c r="K123" s="1043"/>
      <c r="L123" s="1043"/>
    </row>
    <row r="124" spans="1:12" s="2326" customFormat="1">
      <c r="A124" s="2630"/>
      <c r="D124" s="2923"/>
      <c r="K124" s="1043"/>
      <c r="L124" s="1043"/>
    </row>
    <row r="125" spans="1:12" s="2326" customFormat="1">
      <c r="A125" s="2630"/>
      <c r="D125" s="2923"/>
      <c r="K125" s="1043"/>
      <c r="L125" s="1043"/>
    </row>
    <row r="126" spans="1:12" s="2326" customFormat="1">
      <c r="A126" s="2630"/>
      <c r="D126" s="2923"/>
      <c r="K126" s="1043"/>
      <c r="L126" s="1043"/>
    </row>
    <row r="127" spans="1:12" s="2326" customFormat="1">
      <c r="A127" s="2630"/>
      <c r="D127" s="2923"/>
      <c r="K127" s="1043"/>
      <c r="L127" s="1043"/>
    </row>
    <row r="128" spans="1:12" s="2326" customFormat="1">
      <c r="A128" s="2630"/>
      <c r="D128" s="2923"/>
      <c r="K128" s="1043"/>
      <c r="L128" s="1043"/>
    </row>
    <row r="129" spans="1:12" s="2326" customFormat="1">
      <c r="A129" s="2630"/>
      <c r="D129" s="2923"/>
      <c r="K129" s="1043"/>
      <c r="L129" s="1043"/>
    </row>
    <row r="130" spans="1:12" s="2326" customFormat="1">
      <c r="A130" s="2630"/>
      <c r="D130" s="2923"/>
      <c r="K130" s="1043"/>
      <c r="L130" s="1043"/>
    </row>
    <row r="131" spans="1:12" s="2326" customFormat="1">
      <c r="A131" s="2630"/>
      <c r="D131" s="2923"/>
      <c r="K131" s="1043"/>
      <c r="L131" s="1043"/>
    </row>
    <row r="132" spans="1:12" s="2326" customFormat="1">
      <c r="A132" s="2630"/>
      <c r="D132" s="2923"/>
      <c r="K132" s="1043"/>
      <c r="L132" s="1043"/>
    </row>
    <row r="133" spans="1:12" s="2326" customFormat="1">
      <c r="A133" s="2630"/>
      <c r="D133" s="2923"/>
      <c r="K133" s="1043"/>
      <c r="L133" s="1043"/>
    </row>
    <row r="134" spans="1:12" s="2725" customFormat="1">
      <c r="A134" s="2924"/>
      <c r="D134" s="2925"/>
      <c r="K134" s="947"/>
      <c r="L134" s="947"/>
    </row>
    <row r="135" spans="1:12" s="2725" customFormat="1">
      <c r="A135" s="2924"/>
      <c r="D135" s="2925"/>
      <c r="K135" s="947"/>
      <c r="L135" s="947"/>
    </row>
    <row r="136" spans="1:12" s="2725" customFormat="1">
      <c r="A136" s="2924"/>
      <c r="D136" s="2925"/>
      <c r="K136" s="947"/>
      <c r="L136" s="947"/>
    </row>
    <row r="137" spans="1:12" s="2725" customFormat="1">
      <c r="A137" s="2924"/>
      <c r="D137" s="2925"/>
      <c r="K137" s="947"/>
      <c r="L137" s="947"/>
    </row>
    <row r="138" spans="1:12" s="2725" customFormat="1">
      <c r="A138" s="2924"/>
      <c r="D138" s="2925"/>
      <c r="K138" s="947"/>
      <c r="L138" s="947"/>
    </row>
    <row r="139" spans="1:12" s="2725" customFormat="1">
      <c r="A139" s="2924"/>
      <c r="D139" s="2925"/>
      <c r="K139" s="947"/>
      <c r="L139" s="947"/>
    </row>
    <row r="140" spans="1:12" s="2725" customFormat="1">
      <c r="A140" s="2924"/>
      <c r="D140" s="2925"/>
      <c r="K140" s="947"/>
      <c r="L140" s="947"/>
    </row>
    <row r="141" spans="1:12" s="2725" customFormat="1">
      <c r="A141" s="2924"/>
      <c r="D141" s="2925"/>
      <c r="K141" s="947"/>
      <c r="L141" s="947"/>
    </row>
    <row r="142" spans="1:12" s="2725" customFormat="1">
      <c r="A142" s="2924"/>
      <c r="D142" s="2925"/>
      <c r="K142" s="947"/>
      <c r="L142" s="947"/>
    </row>
    <row r="143" spans="1:12" s="2725" customFormat="1">
      <c r="A143" s="2924"/>
      <c r="D143" s="2925"/>
      <c r="K143" s="947"/>
      <c r="L143" s="947"/>
    </row>
    <row r="144" spans="1:12" s="2725" customFormat="1">
      <c r="A144" s="2924"/>
      <c r="D144" s="2925"/>
      <c r="K144" s="947"/>
      <c r="L144" s="947"/>
    </row>
    <row r="145" spans="1:12" s="2725" customFormat="1">
      <c r="A145" s="2924"/>
      <c r="D145" s="2925"/>
      <c r="K145" s="947"/>
      <c r="L145" s="947"/>
    </row>
    <row r="146" spans="1:12" s="2725" customFormat="1">
      <c r="A146" s="2924"/>
      <c r="D146" s="2925"/>
      <c r="K146" s="947"/>
      <c r="L146" s="947"/>
    </row>
    <row r="147" spans="1:12" s="2725" customFormat="1">
      <c r="A147" s="2924"/>
      <c r="D147" s="2925"/>
      <c r="K147" s="947"/>
      <c r="L147" s="947"/>
    </row>
    <row r="148" spans="1:12" s="2725" customFormat="1">
      <c r="A148" s="2924"/>
      <c r="D148" s="2925"/>
      <c r="K148" s="947"/>
      <c r="L148" s="947"/>
    </row>
    <row r="149" spans="1:12" s="2725" customFormat="1">
      <c r="A149" s="2924"/>
      <c r="D149" s="2925"/>
      <c r="K149" s="947"/>
      <c r="L149" s="947"/>
    </row>
    <row r="150" spans="1:12" s="2725" customFormat="1">
      <c r="A150" s="2924"/>
      <c r="D150" s="2925"/>
      <c r="K150" s="947"/>
      <c r="L150" s="947"/>
    </row>
    <row r="151" spans="1:12" s="2725" customFormat="1">
      <c r="A151" s="2924"/>
      <c r="D151" s="2925"/>
      <c r="K151" s="947"/>
      <c r="L151" s="947"/>
    </row>
    <row r="152" spans="1:12" s="2725" customFormat="1">
      <c r="A152" s="2924"/>
      <c r="D152" s="2925"/>
      <c r="K152" s="947"/>
      <c r="L152" s="947"/>
    </row>
    <row r="153" spans="1:12" s="2725" customFormat="1">
      <c r="A153" s="2924"/>
      <c r="D153" s="2925"/>
      <c r="K153" s="947"/>
      <c r="L153" s="947"/>
    </row>
    <row r="154" spans="1:12" s="2725" customFormat="1">
      <c r="A154" s="2924"/>
      <c r="D154" s="2925"/>
      <c r="K154" s="947"/>
      <c r="L154" s="947"/>
    </row>
    <row r="155" spans="1:12" s="2725" customFormat="1">
      <c r="A155" s="2924"/>
      <c r="D155" s="2925"/>
      <c r="K155" s="947"/>
      <c r="L155" s="947"/>
    </row>
    <row r="156" spans="1:12" s="2725" customFormat="1">
      <c r="A156" s="2924"/>
      <c r="D156" s="2925"/>
      <c r="K156" s="947"/>
      <c r="L156" s="947"/>
    </row>
    <row r="157" spans="1:12" s="2725" customFormat="1">
      <c r="A157" s="2924"/>
      <c r="D157" s="2925"/>
      <c r="K157" s="947"/>
      <c r="L157" s="947"/>
    </row>
    <row r="158" spans="1:12" s="2725" customFormat="1">
      <c r="A158" s="2924"/>
      <c r="D158" s="2925"/>
      <c r="K158" s="947"/>
      <c r="L158" s="947"/>
    </row>
    <row r="159" spans="1:12" s="2725" customFormat="1">
      <c r="A159" s="2924"/>
      <c r="D159" s="2925"/>
      <c r="K159" s="947"/>
      <c r="L159" s="947"/>
    </row>
    <row r="160" spans="1:12" s="2725" customFormat="1">
      <c r="A160" s="2924"/>
      <c r="D160" s="2925"/>
      <c r="K160" s="947"/>
      <c r="L160" s="947"/>
    </row>
    <row r="161" spans="1:12" s="2725" customFormat="1">
      <c r="A161" s="2924"/>
      <c r="D161" s="2925"/>
      <c r="K161" s="947"/>
      <c r="L161" s="947"/>
    </row>
    <row r="162" spans="1:12" s="2725" customFormat="1">
      <c r="A162" s="2924"/>
      <c r="D162" s="2925"/>
      <c r="K162" s="947"/>
      <c r="L162" s="947"/>
    </row>
    <row r="163" spans="1:12" s="2725" customFormat="1">
      <c r="A163" s="2924"/>
      <c r="D163" s="2925"/>
      <c r="K163" s="947"/>
      <c r="L163" s="947"/>
    </row>
    <row r="164" spans="1:12" s="2725" customFormat="1">
      <c r="A164" s="2924"/>
      <c r="D164" s="2925"/>
      <c r="K164" s="947"/>
      <c r="L164" s="947"/>
    </row>
    <row r="165" spans="1:12" s="2725" customFormat="1">
      <c r="A165" s="2924"/>
      <c r="D165" s="2925"/>
      <c r="K165" s="947"/>
      <c r="L165" s="947"/>
    </row>
    <row r="166" spans="1:12" s="2725" customFormat="1">
      <c r="A166" s="2924"/>
      <c r="D166" s="2925"/>
      <c r="K166" s="947"/>
      <c r="L166" s="947"/>
    </row>
    <row r="167" spans="1:12" s="2725" customFormat="1">
      <c r="A167" s="2924"/>
      <c r="D167" s="2925"/>
      <c r="K167" s="947"/>
      <c r="L167" s="947"/>
    </row>
    <row r="168" spans="1:12" s="2725" customFormat="1">
      <c r="A168" s="2924"/>
      <c r="D168" s="2925"/>
      <c r="K168" s="947"/>
      <c r="L168" s="947"/>
    </row>
    <row r="169" spans="1:12" s="2725" customFormat="1">
      <c r="A169" s="2924"/>
      <c r="D169" s="2925"/>
      <c r="K169" s="947"/>
      <c r="L169" s="947"/>
    </row>
    <row r="170" spans="1:12" s="2725" customFormat="1">
      <c r="A170" s="2924"/>
      <c r="D170" s="2925"/>
      <c r="K170" s="947"/>
      <c r="L170" s="947"/>
    </row>
    <row r="171" spans="1:12" s="2725" customFormat="1">
      <c r="A171" s="2924"/>
      <c r="D171" s="2925"/>
      <c r="K171" s="947"/>
      <c r="L171" s="947"/>
    </row>
    <row r="172" spans="1:12" s="2725" customFormat="1">
      <c r="A172" s="2924"/>
      <c r="D172" s="2925"/>
      <c r="K172" s="947"/>
      <c r="L172" s="947"/>
    </row>
    <row r="173" spans="1:12" s="2725" customFormat="1">
      <c r="A173" s="2924"/>
      <c r="D173" s="2925"/>
      <c r="K173" s="947"/>
      <c r="L173" s="947"/>
    </row>
    <row r="174" spans="1:12" s="2725" customFormat="1">
      <c r="A174" s="2924"/>
      <c r="D174" s="2925"/>
      <c r="K174" s="947"/>
      <c r="L174" s="94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721</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722</v>
      </c>
      <c r="D2" s="2664"/>
      <c r="E2" s="2661"/>
      <c r="F2" s="2665"/>
      <c r="G2" s="2663" t="s">
        <v>723</v>
      </c>
      <c r="H2" s="2243"/>
      <c r="I2" s="2243"/>
      <c r="J2" s="2243"/>
      <c r="K2" s="2243"/>
      <c r="L2" s="2243"/>
      <c r="M2" s="2243"/>
      <c r="N2" s="2243"/>
      <c r="O2" s="2243"/>
      <c r="P2" s="2243"/>
      <c r="Q2" s="2243"/>
      <c r="R2" s="2243"/>
    </row>
    <row r="3" spans="1:29" ht="48">
      <c r="A3" s="2666" t="s">
        <v>724</v>
      </c>
      <c r="B3" s="2667" t="s">
        <v>725</v>
      </c>
      <c r="C3" s="2668" t="s">
        <v>726</v>
      </c>
      <c r="D3" s="2669"/>
      <c r="E3" s="2670" t="s">
        <v>724</v>
      </c>
      <c r="F3" s="2671" t="s">
        <v>727</v>
      </c>
      <c r="G3" s="2672" t="s">
        <v>728</v>
      </c>
      <c r="H3" s="2243"/>
      <c r="I3" s="2243"/>
      <c r="J3" s="2243"/>
      <c r="K3" s="2243"/>
      <c r="L3" s="2243"/>
      <c r="M3" s="2243"/>
      <c r="N3" s="2243"/>
      <c r="O3" s="2243"/>
      <c r="P3" s="2243"/>
      <c r="Q3" s="2243"/>
      <c r="R3" s="2243"/>
    </row>
    <row r="4" spans="1:29" ht="36.75">
      <c r="A4" s="2670"/>
      <c r="B4" s="2024" t="s">
        <v>729</v>
      </c>
      <c r="C4" s="2673" t="s">
        <v>730</v>
      </c>
      <c r="D4" s="2669"/>
      <c r="E4" s="2674"/>
      <c r="F4" s="2237" t="s">
        <v>731</v>
      </c>
      <c r="G4" s="2675" t="s">
        <v>732</v>
      </c>
      <c r="H4" s="2243"/>
      <c r="I4" s="2243"/>
      <c r="J4" s="2243"/>
      <c r="K4" s="2243"/>
      <c r="L4" s="2243"/>
      <c r="M4" s="2243"/>
      <c r="N4" s="2243"/>
      <c r="O4" s="2243"/>
      <c r="P4" s="2243"/>
      <c r="Q4" s="2243"/>
      <c r="R4" s="2243"/>
    </row>
    <row r="5" spans="1:29" ht="36.75">
      <c r="A5" s="2670"/>
      <c r="B5" s="2024" t="s">
        <v>733</v>
      </c>
      <c r="C5" s="2673" t="s">
        <v>734</v>
      </c>
      <c r="D5" s="2669"/>
      <c r="E5" s="2674"/>
      <c r="F5" s="2024" t="s">
        <v>547</v>
      </c>
      <c r="G5" s="2675" t="s">
        <v>735</v>
      </c>
      <c r="H5" s="2243"/>
      <c r="I5" s="2243"/>
      <c r="J5" s="2243"/>
      <c r="K5" s="2243"/>
      <c r="L5" s="2243"/>
      <c r="M5" s="2243"/>
      <c r="N5" s="2243"/>
      <c r="O5" s="2243"/>
      <c r="P5" s="2243"/>
      <c r="Q5" s="2243"/>
      <c r="R5" s="2243"/>
    </row>
    <row r="6" spans="1:29" ht="36">
      <c r="A6" s="2670"/>
      <c r="B6" s="2024" t="s">
        <v>731</v>
      </c>
      <c r="C6" s="2675" t="s">
        <v>732</v>
      </c>
      <c r="D6" s="2669"/>
      <c r="E6" s="2674"/>
      <c r="F6" s="2024" t="s">
        <v>736</v>
      </c>
      <c r="G6" s="2675" t="s">
        <v>737</v>
      </c>
      <c r="H6" s="2243"/>
      <c r="I6" s="2243"/>
      <c r="J6" s="2243"/>
      <c r="K6" s="2243"/>
      <c r="L6" s="2243"/>
      <c r="M6" s="2243"/>
      <c r="N6" s="2243"/>
      <c r="O6" s="2243"/>
      <c r="P6" s="2243"/>
      <c r="Q6" s="2243"/>
      <c r="R6" s="2243"/>
    </row>
    <row r="7" spans="1:29" ht="24">
      <c r="A7" s="2670"/>
      <c r="B7" s="2024" t="s">
        <v>547</v>
      </c>
      <c r="C7" s="2675" t="s">
        <v>735</v>
      </c>
      <c r="D7" s="2676"/>
      <c r="E7" s="2677"/>
      <c r="F7" s="2678" t="s">
        <v>738</v>
      </c>
      <c r="G7" s="2679" t="s">
        <v>739</v>
      </c>
      <c r="H7" s="2243"/>
      <c r="I7" s="2243"/>
      <c r="J7" s="2243"/>
      <c r="K7" s="2243"/>
      <c r="L7" s="2243"/>
      <c r="M7" s="2243"/>
      <c r="N7" s="2243"/>
      <c r="O7" s="2243"/>
      <c r="P7" s="2243"/>
      <c r="Q7" s="2243"/>
      <c r="R7" s="2243"/>
    </row>
    <row r="8" spans="1:29">
      <c r="A8" s="2670"/>
      <c r="B8" s="2024" t="s">
        <v>736</v>
      </c>
      <c r="C8" s="2675" t="s">
        <v>737</v>
      </c>
      <c r="D8" s="2676"/>
      <c r="E8" s="2676"/>
      <c r="F8" s="2146"/>
      <c r="G8" s="2146"/>
      <c r="H8" s="2243"/>
      <c r="I8" s="2243"/>
      <c r="J8" s="2243"/>
      <c r="K8" s="2243"/>
      <c r="L8" s="2243"/>
      <c r="M8" s="2243"/>
      <c r="N8" s="2243"/>
      <c r="O8" s="2243"/>
      <c r="P8" s="2243"/>
      <c r="Q8" s="2243"/>
      <c r="R8" s="2243"/>
    </row>
    <row r="9" spans="1:29" ht="24">
      <c r="A9" s="2670"/>
      <c r="B9" s="2024" t="s">
        <v>740</v>
      </c>
      <c r="C9" s="2673" t="s">
        <v>741</v>
      </c>
      <c r="D9" s="2669"/>
      <c r="E9" s="2676"/>
      <c r="F9" s="2146"/>
      <c r="G9" s="2146"/>
      <c r="H9" s="2243"/>
      <c r="I9" s="2243"/>
      <c r="J9" s="2243"/>
      <c r="K9" s="2243"/>
      <c r="L9" s="2243"/>
      <c r="M9" s="2243"/>
      <c r="N9" s="2243"/>
      <c r="O9" s="2243"/>
      <c r="P9" s="2243"/>
      <c r="Q9" s="2243"/>
      <c r="R9" s="2243"/>
    </row>
    <row r="10" spans="1:29" s="2652" customFormat="1">
      <c r="A10" s="2680"/>
      <c r="B10" s="2681" t="s">
        <v>742</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743</v>
      </c>
      <c r="B13" s="2686"/>
      <c r="C13" s="2686"/>
      <c r="D13" s="2684"/>
      <c r="E13" s="2686"/>
      <c r="F13" s="2686"/>
      <c r="G13" s="2686"/>
    </row>
    <row r="14" spans="1:29">
      <c r="A14" s="2689"/>
      <c r="B14" s="2689"/>
      <c r="C14" s="2690" t="s">
        <v>722</v>
      </c>
      <c r="D14" s="2669"/>
      <c r="E14" s="2691"/>
      <c r="F14" s="2691"/>
      <c r="G14" s="2663" t="s">
        <v>723</v>
      </c>
    </row>
    <row r="15" spans="1:29" ht="51">
      <c r="A15" s="2692" t="s">
        <v>724</v>
      </c>
      <c r="B15" s="2693" t="s">
        <v>725</v>
      </c>
      <c r="C15" s="2694" t="str">
        <f>C3</f>
        <v>估价对象周边居住用地比例、居住小区规模和社区发展完善程度，综合评价居住社区成熟度一般</v>
      </c>
      <c r="D15" s="2669"/>
      <c r="E15" s="2695" t="s">
        <v>724</v>
      </c>
      <c r="F15" s="2693" t="s">
        <v>727</v>
      </c>
      <c r="G15" s="2696" t="str">
        <f>G3</f>
        <v>估价对象位于XX开发区，园区建设成熟度XX，产业集聚程度XX</v>
      </c>
    </row>
    <row r="16" spans="1:29" ht="38.25">
      <c r="A16" s="2697"/>
      <c r="B16" s="2698" t="s">
        <v>729</v>
      </c>
      <c r="C16" s="2699" t="str">
        <f>C4</f>
        <v>估价对象位于XX商圈，周边商业氛围成熟，人流量大，商业繁华度好</v>
      </c>
      <c r="D16" s="2669"/>
      <c r="E16" s="2700"/>
      <c r="F16" s="2701" t="s">
        <v>731</v>
      </c>
      <c r="G16" s="2702" t="str">
        <f>G4</f>
        <v>估价对象周边道路状况、公共交通通达情况、停车便捷程度，综合评价交通便捷度较好</v>
      </c>
    </row>
    <row r="17" spans="1:18" ht="38.25">
      <c r="A17" s="2697"/>
      <c r="B17" s="2698" t="s">
        <v>733</v>
      </c>
      <c r="C17" s="2699" t="str">
        <f>C5</f>
        <v>估价对象位于XX商圈，周边办公楼项目较多，入驻率高，办公集聚程度较好</v>
      </c>
      <c r="D17" s="2676"/>
      <c r="E17" s="2700"/>
      <c r="F17" s="2701" t="s">
        <v>744</v>
      </c>
      <c r="G17" s="2703"/>
    </row>
    <row r="18" spans="1:18" ht="38.25">
      <c r="A18" s="2697"/>
      <c r="B18" s="2701" t="s">
        <v>731</v>
      </c>
      <c r="C18" s="2702" t="str">
        <f>C6</f>
        <v>估价对象周边道路状况、公共交通通达情况、停车便捷程度，综合评价交通便捷度较好</v>
      </c>
      <c r="D18" s="2676"/>
      <c r="E18" s="2700"/>
      <c r="F18" s="2701" t="s">
        <v>738</v>
      </c>
      <c r="G18" s="2702" t="str">
        <f>G7</f>
        <v>该园区内是否有污染型企业，绿化情况，卫生条件，整体环境状况判断</v>
      </c>
    </row>
    <row r="19" spans="1:18" ht="25.5">
      <c r="A19" s="2697"/>
      <c r="B19" s="2701" t="s">
        <v>744</v>
      </c>
      <c r="C19" s="2703"/>
      <c r="D19" s="2669"/>
      <c r="E19" s="2700"/>
      <c r="F19" s="2024" t="s">
        <v>547</v>
      </c>
      <c r="G19" s="2702" t="str">
        <f>G5</f>
        <v>估价对象所在区域公共配套设施齐备情况</v>
      </c>
    </row>
    <row r="20" spans="1:18" ht="25.5">
      <c r="A20" s="2697"/>
      <c r="B20" s="2701" t="s">
        <v>745</v>
      </c>
      <c r="C20" s="2699" t="str">
        <f>C9</f>
        <v>区域自然环境：；人文环境；综合评价环境状况一般</v>
      </c>
      <c r="D20" s="2676"/>
      <c r="E20" s="2700"/>
      <c r="F20" s="2024" t="s">
        <v>736</v>
      </c>
      <c r="G20" s="2702" t="str">
        <f>G6</f>
        <v>估价对象所在区域基础设施水平</v>
      </c>
    </row>
    <row r="21" spans="1:18" ht="25.5">
      <c r="A21" s="2697"/>
      <c r="B21" s="2024" t="s">
        <v>547</v>
      </c>
      <c r="C21" s="2702" t="str">
        <f>C7</f>
        <v>估价对象所在区域公共配套设施齐备情况</v>
      </c>
      <c r="D21" s="2669"/>
      <c r="E21" s="2700"/>
      <c r="F21" s="2701" t="s">
        <v>746</v>
      </c>
      <c r="G21" s="2704"/>
    </row>
    <row r="22" spans="1:18" ht="13.5" customHeight="1">
      <c r="A22" s="2697"/>
      <c r="B22" s="2024" t="s">
        <v>736</v>
      </c>
      <c r="C22" s="2702" t="str">
        <f>C8</f>
        <v>估价对象所在区域基础设施水平</v>
      </c>
      <c r="D22" s="2669"/>
      <c r="E22" s="2700"/>
      <c r="F22" s="2701" t="s">
        <v>742</v>
      </c>
      <c r="G22" s="2703"/>
    </row>
    <row r="23" spans="1:18" s="2243" customFormat="1">
      <c r="A23" s="2697"/>
      <c r="B23" s="2701" t="s">
        <v>746</v>
      </c>
      <c r="C23" s="2704"/>
      <c r="D23" s="2630"/>
      <c r="E23" s="2705"/>
      <c r="F23" s="2706" t="s">
        <v>495</v>
      </c>
      <c r="G23" s="2707"/>
      <c r="H23" s="2657"/>
      <c r="I23" s="2658"/>
      <c r="J23" s="2657"/>
      <c r="K23" s="2657"/>
      <c r="L23" s="2658"/>
      <c r="M23" s="2657"/>
      <c r="N23" s="2657"/>
      <c r="O23" s="2658"/>
      <c r="P23" s="2657"/>
      <c r="Q23" s="2657"/>
      <c r="R23" s="2659"/>
    </row>
    <row r="24" spans="1:18" s="2243" customFormat="1">
      <c r="A24" s="2708"/>
      <c r="B24" s="2706" t="s">
        <v>742</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635" customWidth="1"/>
    <col min="2" max="9" width="15.75" style="2635" customWidth="1"/>
    <col min="10" max="16384" width="9" style="2635"/>
  </cols>
  <sheetData>
    <row r="1" spans="1:11" ht="16.5">
      <c r="A1" s="2636" t="s">
        <v>747</v>
      </c>
      <c r="B1" s="2636">
        <f>SUM(B14:B23)</f>
        <v>2541.1799999999998</v>
      </c>
      <c r="C1" s="2637"/>
      <c r="D1" s="2637"/>
      <c r="E1" s="2637"/>
      <c r="F1" s="2637"/>
      <c r="G1" s="2638"/>
      <c r="H1" s="2639"/>
      <c r="I1" s="2639"/>
      <c r="J1" s="2639"/>
      <c r="K1" s="2639"/>
    </row>
    <row r="2" spans="1:11" ht="16.5">
      <c r="A2" s="2636" t="s">
        <v>748</v>
      </c>
      <c r="B2" s="2636">
        <f>SUM(C14:C23)</f>
        <v>2068.02</v>
      </c>
      <c r="C2" s="2637"/>
      <c r="D2" s="2637"/>
      <c r="E2" s="2637"/>
      <c r="F2" s="2637"/>
      <c r="G2" s="2638"/>
      <c r="H2" s="2639"/>
      <c r="I2" s="2639"/>
      <c r="J2" s="2639"/>
      <c r="K2" s="2639"/>
    </row>
    <row r="3" spans="1:11" ht="16.5">
      <c r="A3" s="2636" t="s">
        <v>749</v>
      </c>
      <c r="B3" s="2640">
        <f>项目基本情况!D3</f>
        <v>45422</v>
      </c>
      <c r="C3" s="2637"/>
      <c r="D3" s="2637"/>
      <c r="E3" s="2637"/>
      <c r="F3" s="2637"/>
      <c r="G3" s="2638"/>
      <c r="H3" s="2639"/>
      <c r="I3" s="2639"/>
      <c r="J3" s="2639"/>
      <c r="K3" s="2639"/>
    </row>
    <row r="4" spans="1:11" ht="33">
      <c r="A4" s="2636" t="s">
        <v>750</v>
      </c>
      <c r="B4" s="2636" t="s">
        <v>751</v>
      </c>
      <c r="C4" s="2636" t="s">
        <v>752</v>
      </c>
      <c r="D4" s="2636" t="s">
        <v>753</v>
      </c>
      <c r="E4" s="2637"/>
      <c r="F4" s="2638"/>
      <c r="G4" s="2638"/>
      <c r="H4" s="2639"/>
      <c r="I4" s="2639"/>
      <c r="J4" s="2639"/>
      <c r="K4" s="2639"/>
    </row>
    <row r="5" spans="1:11" ht="16.5">
      <c r="A5" s="2636" t="s">
        <v>754</v>
      </c>
      <c r="B5" s="2636">
        <f ca="1">SUM(D14:D23)</f>
        <v>1664</v>
      </c>
      <c r="C5" s="2636">
        <f ca="1">IF(B5=D14,结果表!H102,ROUND(B5*10000/$B$1,0))</f>
        <v>6549</v>
      </c>
      <c r="D5" s="2636">
        <f ca="1">ROUND(B5*10000/$B$2,0)</f>
        <v>8046</v>
      </c>
      <c r="E5" s="2637"/>
      <c r="F5" s="2638"/>
      <c r="G5" s="2638"/>
      <c r="H5" s="2639"/>
      <c r="I5" s="2639"/>
      <c r="J5" s="2639"/>
      <c r="K5" s="2639"/>
    </row>
    <row r="6" spans="1:11" ht="16.5">
      <c r="A6" s="2636" t="s">
        <v>755</v>
      </c>
      <c r="B6" s="2636">
        <f ca="1">SUM(G14:G23)</f>
        <v>1664</v>
      </c>
      <c r="C6" s="2636">
        <f ca="1">IF(B6=G14,结果表!H108,ROUND(B6*10000/$B$1,0))</f>
        <v>6549</v>
      </c>
      <c r="D6" s="2636">
        <f ca="1">ROUND(B6*10000/$B$2,0)</f>
        <v>8046</v>
      </c>
      <c r="E6" s="2637"/>
      <c r="F6" s="2638"/>
      <c r="G6" s="2638"/>
      <c r="H6" s="2639"/>
      <c r="I6" s="2639"/>
      <c r="J6" s="2639"/>
      <c r="K6" s="2639"/>
    </row>
    <row r="7" spans="1:11" ht="16.5">
      <c r="A7" s="2636" t="s">
        <v>756</v>
      </c>
      <c r="B7" s="2636">
        <f>SUM(H14:H23)</f>
        <v>0</v>
      </c>
      <c r="C7" s="2636" t="str">
        <f>IF(B7=H14,结果表!H110,ROUND(B7*10000/$B$1,0))</f>
        <v>——</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757</v>
      </c>
      <c r="B9" s="2641"/>
      <c r="C9" s="2637"/>
      <c r="D9" s="2637"/>
      <c r="E9" s="2637"/>
      <c r="F9" s="2638"/>
      <c r="G9" s="2638"/>
      <c r="H9" s="2639"/>
      <c r="I9" s="2639"/>
      <c r="J9" s="2639"/>
      <c r="K9" s="2639"/>
    </row>
    <row r="10" spans="1:11" ht="16.5">
      <c r="A10" s="2636" t="s">
        <v>758</v>
      </c>
      <c r="B10" s="2636">
        <f>IF(E10="",0,ROUND(B1*(E10*365/G10)/10000,0))</f>
        <v>0</v>
      </c>
      <c r="C10" s="2636" t="s">
        <v>759</v>
      </c>
      <c r="D10" s="2636" t="s">
        <v>758</v>
      </c>
      <c r="E10" s="2642"/>
      <c r="F10" s="2643" t="s">
        <v>760</v>
      </c>
      <c r="G10" s="2644"/>
      <c r="H10" s="2639"/>
      <c r="I10" s="2639"/>
      <c r="J10" s="2639"/>
      <c r="K10" s="2639"/>
    </row>
    <row r="11" spans="1:11" ht="16.5">
      <c r="A11" s="2636" t="s">
        <v>761</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762</v>
      </c>
      <c r="B13" s="2646" t="s">
        <v>747</v>
      </c>
      <c r="C13" s="2646" t="s">
        <v>748</v>
      </c>
      <c r="D13" s="2646" t="s">
        <v>763</v>
      </c>
      <c r="E13" s="2636" t="s">
        <v>752</v>
      </c>
      <c r="F13" s="2636" t="s">
        <v>753</v>
      </c>
      <c r="G13" s="2646" t="s">
        <v>764</v>
      </c>
      <c r="H13" s="2646" t="s">
        <v>765</v>
      </c>
      <c r="I13" s="2646" t="s">
        <v>766</v>
      </c>
      <c r="J13" s="2638"/>
      <c r="K13" s="2639"/>
    </row>
    <row r="14" spans="1:11" ht="16.5">
      <c r="A14" s="2647" t="s">
        <v>767</v>
      </c>
      <c r="B14" s="2648">
        <f>'数据-汇总表'!E31</f>
        <v>2541.1799999999998</v>
      </c>
      <c r="C14" s="2648">
        <f>'数据-汇总表'!D31</f>
        <v>2068.02</v>
      </c>
      <c r="D14" s="2648">
        <f ca="1">ROUND(B14*E14/10000,0)</f>
        <v>1664</v>
      </c>
      <c r="E14" s="2648">
        <f ca="1">结果表!G20</f>
        <v>6549</v>
      </c>
      <c r="F14" s="2648">
        <f ca="1">ROUND(D14*10000/C14,0)</f>
        <v>8046</v>
      </c>
      <c r="G14" s="2648">
        <f ca="1">D14</f>
        <v>1664</v>
      </c>
      <c r="H14" s="2648"/>
      <c r="I14" s="2648"/>
      <c r="J14" s="2638"/>
      <c r="K14" s="2639"/>
    </row>
    <row r="15" spans="1:11" ht="16.5">
      <c r="A15" s="2647" t="s">
        <v>768</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769</v>
      </c>
      <c r="B16" s="2649"/>
      <c r="C16" s="2649"/>
      <c r="D16" s="2649"/>
      <c r="E16" s="2648" t="e">
        <f t="shared" si="0"/>
        <v>#DIV/0!</v>
      </c>
      <c r="F16" s="2648" t="e">
        <f t="shared" si="1"/>
        <v>#DIV/0!</v>
      </c>
      <c r="G16" s="2650"/>
      <c r="H16" s="2650"/>
      <c r="I16" s="2649"/>
      <c r="J16" s="2639"/>
      <c r="K16" s="2639"/>
    </row>
    <row r="17" spans="1:11" ht="16.5">
      <c r="A17" s="2647" t="s">
        <v>770</v>
      </c>
      <c r="B17" s="2649"/>
      <c r="C17" s="2649"/>
      <c r="D17" s="2649"/>
      <c r="E17" s="2648" t="e">
        <f t="shared" si="0"/>
        <v>#DIV/0!</v>
      </c>
      <c r="F17" s="2648" t="e">
        <f t="shared" si="1"/>
        <v>#DIV/0!</v>
      </c>
      <c r="G17" s="2650"/>
      <c r="H17" s="2650"/>
      <c r="I17" s="2649"/>
      <c r="J17" s="2639"/>
      <c r="K17" s="2639"/>
    </row>
    <row r="18" spans="1:11" ht="16.5">
      <c r="A18" s="2647" t="s">
        <v>771</v>
      </c>
      <c r="B18" s="2649"/>
      <c r="C18" s="2649"/>
      <c r="D18" s="2649"/>
      <c r="E18" s="2648" t="e">
        <f t="shared" si="0"/>
        <v>#DIV/0!</v>
      </c>
      <c r="F18" s="2648" t="e">
        <f t="shared" si="1"/>
        <v>#DIV/0!</v>
      </c>
      <c r="G18" s="2649"/>
      <c r="H18" s="2649"/>
      <c r="I18" s="2649"/>
      <c r="J18" s="2639"/>
      <c r="K18" s="2639"/>
    </row>
    <row r="19" spans="1:11" ht="16.5">
      <c r="A19" s="2647" t="s">
        <v>772</v>
      </c>
      <c r="B19" s="2649"/>
      <c r="C19" s="2649"/>
      <c r="D19" s="2649"/>
      <c r="E19" s="2648" t="e">
        <f t="shared" si="0"/>
        <v>#DIV/0!</v>
      </c>
      <c r="F19" s="2648" t="e">
        <f t="shared" si="1"/>
        <v>#DIV/0!</v>
      </c>
      <c r="G19" s="2649"/>
      <c r="H19" s="2649"/>
      <c r="I19" s="2649"/>
      <c r="J19" s="2639"/>
      <c r="K19" s="2639"/>
    </row>
    <row r="20" spans="1:11" ht="16.5">
      <c r="A20" s="2647" t="s">
        <v>773</v>
      </c>
      <c r="B20" s="2649"/>
      <c r="C20" s="2649"/>
      <c r="D20" s="2649"/>
      <c r="E20" s="2648" t="e">
        <f t="shared" si="0"/>
        <v>#DIV/0!</v>
      </c>
      <c r="F20" s="2648" t="e">
        <f t="shared" si="1"/>
        <v>#DIV/0!</v>
      </c>
      <c r="G20" s="2649"/>
      <c r="H20" s="2649"/>
      <c r="I20" s="2649"/>
      <c r="J20" s="2639"/>
      <c r="K20" s="2639"/>
    </row>
    <row r="21" spans="1:11" ht="16.5">
      <c r="A21" s="2647" t="s">
        <v>774</v>
      </c>
      <c r="B21" s="2649"/>
      <c r="C21" s="2649"/>
      <c r="D21" s="2649"/>
      <c r="E21" s="2648" t="e">
        <f t="shared" si="0"/>
        <v>#DIV/0!</v>
      </c>
      <c r="F21" s="2648" t="e">
        <f t="shared" si="1"/>
        <v>#DIV/0!</v>
      </c>
      <c r="G21" s="2649"/>
      <c r="H21" s="2649"/>
      <c r="I21" s="2649"/>
      <c r="J21" s="2639"/>
      <c r="K21" s="2639"/>
    </row>
    <row r="22" spans="1:11" ht="16.5">
      <c r="A22" s="2647" t="s">
        <v>775</v>
      </c>
      <c r="B22" s="2649"/>
      <c r="C22" s="2649"/>
      <c r="D22" s="2649"/>
      <c r="E22" s="2648" t="e">
        <f t="shared" si="0"/>
        <v>#DIV/0!</v>
      </c>
      <c r="F22" s="2648" t="e">
        <f t="shared" si="1"/>
        <v>#DIV/0!</v>
      </c>
      <c r="G22" s="2649"/>
      <c r="H22" s="2649"/>
      <c r="I22" s="2649"/>
      <c r="J22" s="2639"/>
      <c r="K22" s="2639"/>
    </row>
    <row r="23" spans="1:11" ht="16.5">
      <c r="A23" s="2647" t="s">
        <v>776</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3" sqref="H23"/>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777</v>
      </c>
      <c r="B1" s="2356"/>
      <c r="C1" s="2357"/>
      <c r="D1" s="2356"/>
      <c r="E1" s="2356"/>
      <c r="F1" s="2358" t="s">
        <v>778</v>
      </c>
      <c r="G1" s="2359"/>
      <c r="H1" s="2360" t="str">
        <f>IF(G1="现房","——","估价对象范围")</f>
        <v>估价对象范围</v>
      </c>
      <c r="I1" s="2492"/>
    </row>
    <row r="2" spans="1:12" ht="21.75" customHeight="1">
      <c r="A2" s="3522" t="str">
        <f>项目基本情况!S2</f>
        <v>北京市房地产</v>
      </c>
      <c r="B2" s="3523"/>
      <c r="C2" s="3523"/>
      <c r="D2" s="3523"/>
      <c r="E2" s="3523"/>
      <c r="F2" s="3523"/>
      <c r="G2" s="3523"/>
      <c r="H2" s="3523"/>
      <c r="I2" s="3524"/>
    </row>
    <row r="3" spans="1:12" ht="12.75">
      <c r="A3" s="3525" t="s">
        <v>779</v>
      </c>
      <c r="B3" s="3526"/>
      <c r="C3" s="3526"/>
      <c r="D3" s="3526"/>
      <c r="E3" s="3526"/>
      <c r="F3" s="3526"/>
      <c r="G3" s="3526"/>
      <c r="H3" s="3526"/>
      <c r="I3" s="3526"/>
    </row>
    <row r="4" spans="1:12" ht="14.25">
      <c r="A4" s="2361" t="s">
        <v>780</v>
      </c>
      <c r="B4" s="2362" t="s">
        <v>781</v>
      </c>
      <c r="C4" s="2363" t="s">
        <v>240</v>
      </c>
      <c r="D4" s="2363" t="s">
        <v>266</v>
      </c>
      <c r="E4" s="3527" t="s">
        <v>782</v>
      </c>
      <c r="F4" s="3528"/>
      <c r="G4" s="3528"/>
      <c r="H4" s="3528"/>
      <c r="I4" s="352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1" t="s">
        <v>783</v>
      </c>
      <c r="B5" s="3597">
        <v>25</v>
      </c>
      <c r="C5" s="3600"/>
      <c r="D5" s="3603"/>
      <c r="E5" s="2023" t="s">
        <v>784</v>
      </c>
      <c r="F5" s="2368"/>
      <c r="G5" s="2368"/>
      <c r="H5" s="2368"/>
      <c r="I5" s="2237"/>
    </row>
    <row r="6" spans="1:12" ht="12.75">
      <c r="A6" s="3581"/>
      <c r="B6" s="3597"/>
      <c r="C6" s="3601"/>
      <c r="D6" s="3603"/>
      <c r="E6" s="2023" t="s">
        <v>785</v>
      </c>
      <c r="F6" s="2368"/>
      <c r="G6" s="2368"/>
      <c r="H6" s="2368"/>
      <c r="I6" s="2237"/>
    </row>
    <row r="7" spans="1:12" ht="12.75">
      <c r="A7" s="3581"/>
      <c r="B7" s="3597"/>
      <c r="C7" s="3602"/>
      <c r="D7" s="3603"/>
      <c r="E7" s="2023" t="s">
        <v>786</v>
      </c>
      <c r="F7" s="2368"/>
      <c r="G7" s="2368"/>
      <c r="H7" s="2368"/>
      <c r="I7" s="2237"/>
    </row>
    <row r="8" spans="1:12" ht="12.75">
      <c r="A8" s="3581" t="s">
        <v>787</v>
      </c>
      <c r="B8" s="3597">
        <v>15</v>
      </c>
      <c r="C8" s="3600"/>
      <c r="D8" s="3603"/>
      <c r="E8" s="2023" t="s">
        <v>788</v>
      </c>
      <c r="F8" s="2368"/>
      <c r="G8" s="2368"/>
      <c r="H8" s="2368"/>
      <c r="I8" s="2237"/>
    </row>
    <row r="9" spans="1:12" ht="12.75">
      <c r="A9" s="3581"/>
      <c r="B9" s="3597"/>
      <c r="C9" s="3602"/>
      <c r="D9" s="3603"/>
      <c r="E9" s="2023" t="s">
        <v>789</v>
      </c>
      <c r="F9" s="2368"/>
      <c r="G9" s="2368"/>
      <c r="H9" s="2368"/>
      <c r="I9" s="2237"/>
    </row>
    <row r="10" spans="1:12" ht="12.75">
      <c r="A10" s="3581" t="s">
        <v>790</v>
      </c>
      <c r="B10" s="3597">
        <v>15</v>
      </c>
      <c r="C10" s="3600"/>
      <c r="D10" s="3603"/>
      <c r="E10" s="2023" t="s">
        <v>791</v>
      </c>
      <c r="F10" s="2368"/>
      <c r="G10" s="2368"/>
      <c r="H10" s="2368"/>
      <c r="I10" s="2237"/>
    </row>
    <row r="11" spans="1:12" ht="12.75">
      <c r="A11" s="3581"/>
      <c r="B11" s="3597"/>
      <c r="C11" s="3602"/>
      <c r="D11" s="3603"/>
      <c r="E11" s="2023" t="s">
        <v>792</v>
      </c>
      <c r="F11" s="2368"/>
      <c r="G11" s="2368"/>
      <c r="H11" s="2368"/>
      <c r="I11" s="2237"/>
    </row>
    <row r="12" spans="1:12" ht="12.75">
      <c r="A12" s="3581" t="s">
        <v>793</v>
      </c>
      <c r="B12" s="3597">
        <v>15</v>
      </c>
      <c r="C12" s="3600"/>
      <c r="D12" s="3603"/>
      <c r="E12" s="2023" t="s">
        <v>794</v>
      </c>
      <c r="F12" s="2368"/>
      <c r="G12" s="2368"/>
      <c r="H12" s="2368"/>
      <c r="I12" s="2237"/>
    </row>
    <row r="13" spans="1:12" ht="12.75">
      <c r="A13" s="3581"/>
      <c r="B13" s="3597"/>
      <c r="C13" s="3602"/>
      <c r="D13" s="3603"/>
      <c r="E13" s="2023" t="s">
        <v>795</v>
      </c>
      <c r="F13" s="2368"/>
      <c r="G13" s="2368"/>
      <c r="H13" s="2368"/>
      <c r="I13" s="2237"/>
    </row>
    <row r="14" spans="1:12" ht="12.75">
      <c r="A14" s="3581" t="s">
        <v>796</v>
      </c>
      <c r="B14" s="3597">
        <v>30</v>
      </c>
      <c r="C14" s="3600">
        <v>4</v>
      </c>
      <c r="D14" s="3603">
        <v>6</v>
      </c>
      <c r="E14" s="2023" t="s">
        <v>797</v>
      </c>
      <c r="F14" s="2368"/>
      <c r="G14" s="2368"/>
      <c r="H14" s="2368"/>
      <c r="I14" s="2237"/>
    </row>
    <row r="15" spans="1:12" ht="12.75">
      <c r="A15" s="3581"/>
      <c r="B15" s="3597"/>
      <c r="C15" s="3601"/>
      <c r="D15" s="3603"/>
      <c r="E15" s="2023" t="s">
        <v>798</v>
      </c>
      <c r="F15" s="2368"/>
      <c r="G15" s="2368"/>
      <c r="H15" s="2368"/>
      <c r="I15" s="2237"/>
    </row>
    <row r="16" spans="1:12" ht="12.75">
      <c r="A16" s="3581"/>
      <c r="B16" s="3597"/>
      <c r="C16" s="3602"/>
      <c r="D16" s="3603"/>
      <c r="E16" s="2023" t="s">
        <v>799</v>
      </c>
      <c r="F16" s="2368"/>
      <c r="G16" s="2368"/>
      <c r="H16" s="2368"/>
      <c r="I16" s="2237"/>
    </row>
    <row r="17" spans="1:36" ht="15">
      <c r="A17" s="2369" t="s">
        <v>800</v>
      </c>
      <c r="B17" s="2370"/>
      <c r="C17" s="2371">
        <f>SUM(C5:C16)</f>
        <v>4</v>
      </c>
      <c r="D17" s="2371">
        <f>SUM(D5:D16)</f>
        <v>6</v>
      </c>
      <c r="E17" s="991"/>
      <c r="F17" s="991"/>
      <c r="G17" s="991"/>
      <c r="H17" s="991"/>
      <c r="I17" s="991"/>
      <c r="K17" s="1983"/>
      <c r="L17" s="1983" t="s">
        <v>801</v>
      </c>
      <c r="M17" s="1983" t="s">
        <v>802</v>
      </c>
    </row>
    <row r="18" spans="1:36" ht="31.9" customHeight="1">
      <c r="A18" s="2372" t="s">
        <v>803</v>
      </c>
      <c r="B18" s="2373"/>
      <c r="C18" s="2374">
        <f>ROUND(C17/SUM(C17:D17),2)</f>
        <v>0.4</v>
      </c>
      <c r="D18" s="2374">
        <f>1-C18</f>
        <v>0.6</v>
      </c>
      <c r="E18" s="3530" t="s">
        <v>804</v>
      </c>
      <c r="F18" s="3531"/>
      <c r="G18" s="3531"/>
      <c r="H18" s="3531"/>
      <c r="I18" s="3531"/>
      <c r="K18" s="1983" t="s">
        <v>455</v>
      </c>
      <c r="L18" s="1983">
        <f>IF(C1="",'数据-汇总表'!E3,SUMIF(项目类型,C1,'数据-汇总表'!E17:E26)+SUMIF(项目类型,C1,'数据-汇总表'!I17:I26))</f>
        <v>2541.1799999999998</v>
      </c>
      <c r="M18" s="1983">
        <f>IF(C1="",'数据-汇总表'!E3,SUMIF(项目类型,C1,'数据-汇总表'!E17:E26))</f>
        <v>2541.1799999999998</v>
      </c>
    </row>
    <row r="19" spans="1:36" ht="15">
      <c r="A19" s="2375" t="s">
        <v>805</v>
      </c>
      <c r="B19" s="2376" t="s">
        <v>806</v>
      </c>
      <c r="C19" s="2377">
        <f ca="1">SUMIF(INDIRECT("'"&amp;C4&amp;"'"&amp;"!A:A"),结果表!B19,INDIRECT("'"&amp;C4&amp;"'"&amp;"!B:B"))</f>
        <v>1029.4888000000001</v>
      </c>
      <c r="D19" s="1431">
        <f ca="1">SUMIF(INDIRECT("'"&amp;D4&amp;"'"&amp;"!A:A"),结果表!B19,INDIRECT("'"&amp;D4&amp;"'"&amp;"!B:B"))</f>
        <v>2087.6934999999999</v>
      </c>
      <c r="E19" s="2375" t="s">
        <v>807</v>
      </c>
      <c r="F19" s="2376" t="s">
        <v>806</v>
      </c>
      <c r="G19" s="2378">
        <f ca="1">ROUND(C19*$C$18+D19*$D$18,0)</f>
        <v>1664</v>
      </c>
      <c r="H19" s="2379" t="s">
        <v>808</v>
      </c>
      <c r="I19" s="991"/>
      <c r="K19" s="1983" t="s">
        <v>459</v>
      </c>
      <c r="L19" s="1983">
        <f>IF(C1="",'数据-汇总表'!D3,SUMIF(项目类型,C1,'数据-汇总表'!D17:D26)+SUMIF(项目类型,C1,'数据-汇总表'!H17:H27))</f>
        <v>2068.02</v>
      </c>
      <c r="M19" s="1983">
        <f>IF(C1="",'数据-汇总表'!D3,SUMIF(项目类型,C1,'数据-汇总表'!D17:D26))</f>
        <v>2068.02</v>
      </c>
    </row>
    <row r="20" spans="1:36" ht="15">
      <c r="A20" s="2380"/>
      <c r="B20" s="2381" t="s">
        <v>809</v>
      </c>
      <c r="C20" s="1717">
        <f ca="1">SUMIF(INDIRECT("'"&amp;C4&amp;"'"&amp;"!A:A"),结果表!B20,INDIRECT("'"&amp;C4&amp;"'"&amp;"!B:B"))</f>
        <v>4051</v>
      </c>
      <c r="D20" s="1720">
        <f ca="1">SUMIF(INDIRECT("'"&amp;D4&amp;"'"&amp;"!A:A"),结果表!B20,INDIRECT("'"&amp;D4&amp;"'"&amp;"!B:B"))</f>
        <v>8215</v>
      </c>
      <c r="E20" s="2380"/>
      <c r="F20" s="2381" t="s">
        <v>809</v>
      </c>
      <c r="G20" s="2382">
        <f ca="1">ROUND(C20*$C$18+D20*$D$18,0)</f>
        <v>6549</v>
      </c>
      <c r="H20" s="2139" t="s">
        <v>810</v>
      </c>
      <c r="I20" s="991"/>
    </row>
    <row r="21" spans="1:36" ht="15" customHeight="1">
      <c r="A21" s="2318"/>
      <c r="B21" s="2383" t="s">
        <v>811</v>
      </c>
      <c r="C21" s="2384">
        <f ca="1">ROUND(C19*10000/L19,0)</f>
        <v>4978</v>
      </c>
      <c r="D21" s="2385">
        <f ca="1">ROUND(D19*10000/L19,0)</f>
        <v>10095</v>
      </c>
      <c r="E21" s="2318"/>
      <c r="F21" s="2383" t="s">
        <v>811</v>
      </c>
      <c r="G21" s="2386">
        <f ca="1">ROUND(G19*10000/L19,0)</f>
        <v>8046</v>
      </c>
      <c r="H21" s="2387" t="s">
        <v>810</v>
      </c>
      <c r="I21" s="991"/>
    </row>
    <row r="22" spans="1:36" ht="14.25">
      <c r="A22" s="2388" t="s">
        <v>812</v>
      </c>
      <c r="B22" s="2389"/>
      <c r="C22" s="2390"/>
      <c r="D22" s="2391">
        <f ca="1">IF(C19&lt;D19,D19/C19-1,C19/D19-1)</f>
        <v>1.027893358334738</v>
      </c>
      <c r="E22" s="991"/>
      <c r="F22" s="991"/>
      <c r="G22" s="991"/>
      <c r="H22" s="991"/>
      <c r="I22" s="991"/>
    </row>
    <row r="23" spans="1:36" ht="12.75">
      <c r="A23" s="2356"/>
      <c r="B23" s="2356"/>
      <c r="C23" s="2356"/>
      <c r="D23" s="2356"/>
      <c r="E23" s="991"/>
      <c r="F23" s="991"/>
      <c r="G23" s="991"/>
      <c r="H23" s="991"/>
      <c r="I23" s="991"/>
    </row>
    <row r="24" spans="1:36" ht="14.25">
      <c r="A24" s="3590" t="s">
        <v>813</v>
      </c>
      <c r="B24" s="2376" t="s">
        <v>806</v>
      </c>
      <c r="C24" s="2378">
        <f>IF(B30=0,0,D30)</f>
        <v>0</v>
      </c>
      <c r="D24" s="2392"/>
      <c r="E24" s="991"/>
      <c r="F24" s="991"/>
      <c r="G24" s="991"/>
      <c r="H24" s="991"/>
      <c r="I24" s="991"/>
    </row>
    <row r="25" spans="1:36" ht="14.25">
      <c r="A25" s="3591"/>
      <c r="B25" s="2381" t="s">
        <v>809</v>
      </c>
      <c r="C25" s="2393">
        <f>IF(B30=0,0,C30)</f>
        <v>0</v>
      </c>
      <c r="D25" s="2394"/>
      <c r="E25" s="991"/>
      <c r="F25" s="991"/>
      <c r="G25" s="991"/>
      <c r="H25" s="991"/>
      <c r="I25" s="991"/>
    </row>
    <row r="26" spans="1:36" ht="13.5" customHeight="1">
      <c r="A26" s="2395" t="s">
        <v>814</v>
      </c>
      <c r="B26" s="2396" t="s">
        <v>815</v>
      </c>
      <c r="C26" s="2396" t="s">
        <v>816</v>
      </c>
      <c r="D26" s="2397" t="s">
        <v>817</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818</v>
      </c>
      <c r="B30" s="2396"/>
      <c r="C30" s="2396"/>
      <c r="D30" s="2396"/>
      <c r="E30" s="2398" t="s">
        <v>819</v>
      </c>
      <c r="F30" s="991"/>
      <c r="G30" s="991"/>
      <c r="H30" s="991"/>
      <c r="I30" s="991"/>
    </row>
    <row r="31" spans="1:36" s="2350" customFormat="1" ht="26.45" customHeight="1">
      <c r="A31" s="2399"/>
      <c r="B31" s="2400"/>
      <c r="C31" s="2400"/>
      <c r="D31" s="2400"/>
      <c r="E31" s="2400"/>
      <c r="F31" s="2400"/>
      <c r="G31" s="2400"/>
      <c r="H31" s="2400"/>
      <c r="I31" s="2494" t="s">
        <v>820</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821</v>
      </c>
      <c r="B32" s="2402"/>
      <c r="C32" s="2403">
        <f ca="1">IF(D32="总价",G19-C24,G20-C25)</f>
        <v>6549</v>
      </c>
      <c r="D32" s="2404" t="s">
        <v>822</v>
      </c>
      <c r="E32" s="991"/>
      <c r="F32" s="991"/>
      <c r="G32" s="991"/>
      <c r="H32" s="991"/>
      <c r="I32" s="991"/>
    </row>
    <row r="33" spans="1:15" ht="15">
      <c r="A33" s="2259" t="s">
        <v>823</v>
      </c>
      <c r="B33" s="2405"/>
      <c r="C33" s="2406" t="s">
        <v>824</v>
      </c>
      <c r="D33" s="2407" t="s">
        <v>266</v>
      </c>
      <c r="E33" s="2408" t="s">
        <v>825</v>
      </c>
      <c r="F33" s="2409" t="str">
        <f>IF(D32="楼面单价","取值（单价）","取值（总价）")</f>
        <v>取值（单价）</v>
      </c>
      <c r="G33" s="991"/>
      <c r="H33" s="991"/>
      <c r="I33" s="991"/>
    </row>
    <row r="34" spans="1:15" ht="15">
      <c r="A34" s="2410"/>
      <c r="B34" s="2411" t="s">
        <v>826</v>
      </c>
      <c r="C34" s="2412">
        <f ca="1">IF(C33="自定义",F34,C32-C35)</f>
        <v>4015</v>
      </c>
      <c r="D34" s="2413">
        <f ca="1">IF(C33="自定义",ROUND(C34/C32,3),IF(C33="收益比率",SUMIF(INDIRECT("'"&amp;D33&amp;"'"&amp;"!b:b"),"土地收益比率",INDIRECT("'"&amp;D33&amp;"'"&amp;"!c:c")),SUMIF(INDIRECT("'"&amp;D33&amp;"'"&amp;"!b:b"),"土地成本比率",INDIRECT("'"&amp;D33&amp;"'"&amp;"!c:c"))))</f>
        <v>0.61299999999999999</v>
      </c>
      <c r="E34" s="2414" t="s">
        <v>827</v>
      </c>
      <c r="F34" s="2415"/>
      <c r="G34" s="991"/>
      <c r="H34" s="991"/>
      <c r="I34" s="991"/>
    </row>
    <row r="35" spans="1:15" ht="15">
      <c r="A35" s="2416"/>
      <c r="B35" s="2417" t="s">
        <v>828</v>
      </c>
      <c r="C35" s="2418">
        <f ca="1">IF(C33="自定义",F35,ROUND(C32*D35,0))</f>
        <v>2534</v>
      </c>
      <c r="D35" s="2419">
        <f ca="1">IF(C33="自定义",ROUND(C35/C32,3),IF(C33="收益比率",SUMIF(INDIRECT("'"&amp;D33&amp;"'"&amp;"!b:b"),"建筑物收益比率",INDIRECT("'"&amp;D33&amp;"'"&amp;"!c:c")),SUMIF(INDIRECT("'"&amp;D33&amp;"'"&amp;"!b:b"),"建筑物成本比率",INDIRECT("'"&amp;D33&amp;"'"&amp;"!c:c"))))</f>
        <v>0.38700000000000001</v>
      </c>
      <c r="E35" s="2420" t="s">
        <v>829</v>
      </c>
      <c r="F35" s="2421"/>
      <c r="G35" s="991"/>
      <c r="H35" s="991"/>
      <c r="I35" s="991"/>
    </row>
    <row r="36" spans="1:15" ht="15">
      <c r="A36" s="3592" t="s">
        <v>830</v>
      </c>
      <c r="B36" s="2422" t="s">
        <v>831</v>
      </c>
      <c r="C36" s="2423"/>
      <c r="D36" s="2424"/>
      <c r="E36" s="2425"/>
      <c r="F36" s="2426"/>
      <c r="G36" s="991"/>
      <c r="H36" s="991"/>
      <c r="I36" s="991"/>
    </row>
    <row r="37" spans="1:15" ht="15">
      <c r="A37" s="3593"/>
      <c r="B37" s="2427" t="s">
        <v>832</v>
      </c>
      <c r="C37" s="2428"/>
      <c r="D37" s="2429"/>
      <c r="E37" s="2429"/>
      <c r="F37" s="2426"/>
      <c r="G37" s="991"/>
      <c r="H37" s="991"/>
      <c r="I37" s="991"/>
    </row>
    <row r="38" spans="1:15" ht="15">
      <c r="A38" s="3594"/>
      <c r="B38" s="2430" t="s">
        <v>833</v>
      </c>
      <c r="C38" s="2431"/>
      <c r="D38" s="2432" t="s">
        <v>834</v>
      </c>
      <c r="E38" s="2429"/>
      <c r="F38" s="2426"/>
      <c r="G38" s="991"/>
      <c r="H38" s="991"/>
      <c r="I38" s="991"/>
    </row>
    <row r="39" spans="1:15" ht="15">
      <c r="A39" s="2380" t="s">
        <v>835</v>
      </c>
      <c r="B39" s="2433" t="s">
        <v>815</v>
      </c>
      <c r="C39" s="2434" t="s">
        <v>816</v>
      </c>
      <c r="D39" s="2434" t="s">
        <v>836</v>
      </c>
      <c r="E39" s="2435" t="s">
        <v>817</v>
      </c>
      <c r="F39" s="2426"/>
      <c r="G39" s="991"/>
      <c r="H39" s="991"/>
      <c r="I39" s="991"/>
    </row>
    <row r="40" spans="1:15" ht="14.25">
      <c r="A40" s="2436" t="s">
        <v>837</v>
      </c>
      <c r="B40" s="2437"/>
      <c r="C40" s="1009"/>
      <c r="D40" s="1009"/>
      <c r="E40" s="2438"/>
      <c r="F40" s="2426"/>
      <c r="G40" s="991"/>
      <c r="H40" s="991"/>
      <c r="I40" s="991"/>
    </row>
    <row r="41" spans="1:15" ht="14.25">
      <c r="A41" s="2436" t="s">
        <v>838</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839</v>
      </c>
      <c r="B44" s="2445"/>
      <c r="C44" s="2445"/>
      <c r="D44" s="2446"/>
      <c r="E44" s="2446"/>
      <c r="F44" s="2447"/>
      <c r="G44" s="2447"/>
      <c r="H44" s="2447"/>
      <c r="I44" s="2447"/>
      <c r="J44" s="2498" t="s">
        <v>840</v>
      </c>
      <c r="K44" s="2499"/>
      <c r="L44" s="2499"/>
      <c r="M44" s="2499"/>
      <c r="N44" s="2499"/>
      <c r="O44" s="2499"/>
    </row>
    <row r="45" spans="1:15" ht="14.25" customHeight="1">
      <c r="A45" s="3532" t="s">
        <v>841</v>
      </c>
      <c r="B45" s="3533"/>
      <c r="C45" s="3534"/>
      <c r="D45" s="1982">
        <f ca="1">ROUND(H101*F45,0)</f>
        <v>1664</v>
      </c>
      <c r="E45" s="2448" t="s">
        <v>842</v>
      </c>
      <c r="F45" s="2449">
        <v>1</v>
      </c>
      <c r="G45" s="2450" t="s">
        <v>843</v>
      </c>
      <c r="H45" s="991"/>
      <c r="I45" s="991"/>
      <c r="J45" s="3535" t="s">
        <v>844</v>
      </c>
      <c r="K45" s="3535"/>
      <c r="L45" s="3535"/>
      <c r="M45" s="3535"/>
      <c r="N45" s="3535"/>
      <c r="O45" s="3535"/>
    </row>
    <row r="46" spans="1:15" ht="14.25" customHeight="1">
      <c r="A46" s="3536" t="s">
        <v>845</v>
      </c>
      <c r="B46" s="3537"/>
      <c r="C46" s="3537"/>
      <c r="D46" s="3537"/>
      <c r="E46" s="3537"/>
      <c r="F46" s="3537"/>
      <c r="G46" s="3538"/>
      <c r="H46" s="2451"/>
      <c r="I46" s="992"/>
      <c r="J46" s="617">
        <v>1</v>
      </c>
      <c r="K46" s="3539" t="s">
        <v>846</v>
      </c>
      <c r="L46" s="3539"/>
      <c r="M46" s="3540"/>
      <c r="N46" s="3540"/>
      <c r="O46" s="3540"/>
    </row>
    <row r="47" spans="1:15" ht="12" customHeight="1">
      <c r="A47" s="2452" t="s">
        <v>847</v>
      </c>
      <c r="B47" s="2453"/>
      <c r="C47" s="2454"/>
      <c r="D47" s="2033" t="s">
        <v>848</v>
      </c>
      <c r="E47" s="1983" t="s">
        <v>849</v>
      </c>
      <c r="F47" s="2455" t="s">
        <v>850</v>
      </c>
      <c r="G47" s="2456" t="s">
        <v>851</v>
      </c>
      <c r="H47" s="2457"/>
      <c r="I47" s="992"/>
      <c r="J47" s="617">
        <v>2</v>
      </c>
      <c r="K47" s="3539" t="s">
        <v>852</v>
      </c>
      <c r="L47" s="3539"/>
      <c r="M47" s="3541">
        <f>'数据-取费表'!B2</f>
        <v>45422</v>
      </c>
      <c r="N47" s="3541"/>
      <c r="O47" s="3541"/>
    </row>
    <row r="48" spans="1:15" ht="25.5">
      <c r="A48" s="3542" t="s">
        <v>853</v>
      </c>
      <c r="B48" s="3543"/>
      <c r="C48" s="3543"/>
      <c r="D48" s="2137" t="b">
        <f>IF(H48="情况1",0,IF(H48="情况2",D52,IF(H48="情况3",D53,IF(H48="情况4",D54))))</f>
        <v>0</v>
      </c>
      <c r="E48" s="2037" t="str">
        <f>IF(H48="情况4","(销售额-原购置价)×税（费）率","销售额×税（费）率")</f>
        <v>销售额×税（费）率</v>
      </c>
      <c r="F48" s="2459">
        <f>IF(H48="情况1","免征",'数据-取费表'!B41)</f>
        <v>5.5E-2</v>
      </c>
      <c r="G48" s="2460" t="s">
        <v>854</v>
      </c>
      <c r="H48" s="2461"/>
      <c r="I48" s="2451"/>
      <c r="J48" s="617">
        <v>3</v>
      </c>
      <c r="K48" s="3539" t="s">
        <v>855</v>
      </c>
      <c r="L48" s="3539"/>
      <c r="M48" s="3544">
        <f ca="1">H101</f>
        <v>1664</v>
      </c>
      <c r="N48" s="3544"/>
      <c r="O48" s="3544"/>
    </row>
    <row r="49" spans="1:35" ht="25.5" customHeight="1">
      <c r="A49" s="2458" t="s">
        <v>856</v>
      </c>
      <c r="B49" s="3545" t="s">
        <v>857</v>
      </c>
      <c r="C49" s="3545"/>
      <c r="D49" s="2462">
        <v>0</v>
      </c>
      <c r="E49" s="2043" t="s">
        <v>858</v>
      </c>
      <c r="F49" s="2463" t="s">
        <v>124</v>
      </c>
      <c r="G49" s="3604"/>
      <c r="H49" s="2464" t="s">
        <v>859</v>
      </c>
      <c r="I49" s="2501"/>
      <c r="J49" s="617">
        <v>4</v>
      </c>
      <c r="K49" s="3539" t="str">
        <f>IF(项目基本情况!E8="房地产抵押价值","房地产抵押价值","抵押担保权已注销时的房地产抵押价值")</f>
        <v>房地产抵押价值</v>
      </c>
      <c r="L49" s="3539"/>
      <c r="M49" s="3544">
        <f ca="1">IF(项目基本情况!E8="房地产抵押价值",H107,H109)</f>
        <v>1664</v>
      </c>
      <c r="N49" s="3544"/>
      <c r="O49" s="3544"/>
    </row>
    <row r="50" spans="1:35" ht="25.5" customHeight="1">
      <c r="A50" s="2465"/>
      <c r="B50" s="3545" t="s">
        <v>860</v>
      </c>
      <c r="C50" s="3545"/>
      <c r="D50" s="2466"/>
      <c r="E50" s="2058"/>
      <c r="F50" s="2463"/>
      <c r="G50" s="3605"/>
      <c r="H50" s="2467" t="s">
        <v>861</v>
      </c>
      <c r="I50" s="2501"/>
      <c r="J50" s="3535" t="s">
        <v>862</v>
      </c>
      <c r="K50" s="3535"/>
      <c r="L50" s="3535"/>
      <c r="M50" s="3535"/>
      <c r="N50" s="3535"/>
      <c r="O50" s="3535"/>
    </row>
    <row r="51" spans="1:35" ht="20.45" customHeight="1">
      <c r="A51" s="2468"/>
      <c r="B51" s="3545" t="s">
        <v>863</v>
      </c>
      <c r="C51" s="3545"/>
      <c r="D51" s="2033"/>
      <c r="E51" s="2047"/>
      <c r="F51" s="2463"/>
      <c r="G51" s="3606"/>
      <c r="H51" s="2467" t="s">
        <v>864</v>
      </c>
      <c r="I51" s="2501"/>
      <c r="J51" s="2500" t="s">
        <v>865</v>
      </c>
      <c r="K51" s="3539" t="s">
        <v>866</v>
      </c>
      <c r="L51" s="3539"/>
      <c r="M51" s="2500" t="s">
        <v>867</v>
      </c>
      <c r="N51" s="2500" t="s">
        <v>868</v>
      </c>
      <c r="O51" s="2500" t="s">
        <v>869</v>
      </c>
    </row>
    <row r="52" spans="1:35" ht="24" customHeight="1">
      <c r="A52" s="2469" t="s">
        <v>870</v>
      </c>
      <c r="B52" s="3545" t="s">
        <v>871</v>
      </c>
      <c r="C52" s="3545"/>
      <c r="D52" s="2033">
        <f ca="1">ROUND(D45*'数据-取费表'!B41/(1+'数据-取费表'!C42),0)</f>
        <v>87</v>
      </c>
      <c r="E52" s="2037" t="s">
        <v>872</v>
      </c>
      <c r="F52" s="2470">
        <f>'数据-取费表'!B41</f>
        <v>5.5E-2</v>
      </c>
      <c r="G52" s="2471"/>
      <c r="H52" s="2152"/>
      <c r="I52" s="2502"/>
      <c r="J52" s="617">
        <v>1</v>
      </c>
      <c r="K52" s="3546" t="s">
        <v>873</v>
      </c>
      <c r="L52" s="3546"/>
      <c r="M52" s="2503" t="b">
        <f>D48</f>
        <v>0</v>
      </c>
      <c r="N52" s="617" t="str">
        <f>E48</f>
        <v>销售额×税（费）率</v>
      </c>
      <c r="O52" s="2504">
        <f>F48</f>
        <v>5.5E-2</v>
      </c>
    </row>
    <row r="53" spans="1:35" ht="12" customHeight="1">
      <c r="A53" s="2469" t="s">
        <v>874</v>
      </c>
      <c r="B53" s="3547" t="s">
        <v>875</v>
      </c>
      <c r="C53" s="3548"/>
      <c r="D53" s="2033">
        <f ca="1">ROUND(D45*'数据-取费表'!B41/(1+'数据-取费表'!C42),0)</f>
        <v>87</v>
      </c>
      <c r="E53" s="2037" t="s">
        <v>872</v>
      </c>
      <c r="F53" s="2470">
        <f>'数据-取费表'!B41</f>
        <v>5.5E-2</v>
      </c>
      <c r="G53" s="2471"/>
      <c r="H53" s="2152"/>
      <c r="I53" s="2502"/>
      <c r="J53" s="617">
        <v>2</v>
      </c>
      <c r="K53" s="3546" t="s">
        <v>876</v>
      </c>
      <c r="L53" s="3546"/>
      <c r="M53" s="2503">
        <f t="shared" ref="M53:O54" ca="1" si="0">D55</f>
        <v>1</v>
      </c>
      <c r="N53" s="617" t="str">
        <f t="shared" si="0"/>
        <v>销售额×税（费）率</v>
      </c>
      <c r="O53" s="2504" t="str">
        <f t="shared" si="0"/>
        <v>免征</v>
      </c>
    </row>
    <row r="54" spans="1:35" ht="12" customHeight="1">
      <c r="A54" s="2469" t="s">
        <v>877</v>
      </c>
      <c r="B54" s="3547" t="s">
        <v>878</v>
      </c>
      <c r="C54" s="3548"/>
      <c r="D54" s="2033">
        <f ca="1">C68</f>
        <v>87</v>
      </c>
      <c r="E54" s="2047" t="s">
        <v>879</v>
      </c>
      <c r="F54" s="2470">
        <f>'数据-取费表'!B41</f>
        <v>5.5E-2</v>
      </c>
      <c r="G54" s="2471"/>
      <c r="H54" s="2472"/>
      <c r="I54" s="2502"/>
      <c r="J54" s="617">
        <v>3</v>
      </c>
      <c r="K54" s="3546" t="s">
        <v>880</v>
      </c>
      <c r="L54" s="3546"/>
      <c r="M54" s="2503">
        <f t="shared" ca="1" si="0"/>
        <v>943</v>
      </c>
      <c r="N54" s="617" t="str">
        <f t="shared" si="0"/>
        <v>增值额×税（费）率</v>
      </c>
      <c r="O54" s="2505" t="str">
        <f t="shared" si="0"/>
        <v>免征</v>
      </c>
    </row>
    <row r="55" spans="1:35" ht="24" customHeight="1">
      <c r="A55" s="3549" t="s">
        <v>881</v>
      </c>
      <c r="B55" s="3543"/>
      <c r="C55" s="3543"/>
      <c r="D55" s="2137">
        <f ca="1">IF(H55="个人住宅",0,ROUND(D45*I55,0))</f>
        <v>1</v>
      </c>
      <c r="E55" s="2037" t="s">
        <v>882</v>
      </c>
      <c r="F55" s="2470" t="str">
        <f>IF(H55="正常",I55,"免征")</f>
        <v>免征</v>
      </c>
      <c r="G55" s="2471"/>
      <c r="H55" s="2461"/>
      <c r="I55" s="2506">
        <f>'数据-取费表'!B49</f>
        <v>5.0000000000000001E-4</v>
      </c>
      <c r="J55" s="617">
        <f>IF(H59="非个人房产","",4)</f>
        <v>4</v>
      </c>
      <c r="K55" s="3546" t="str">
        <f>IF(H59="非个人房产","——","个人所得税")</f>
        <v>个人所得税</v>
      </c>
      <c r="L55" s="3546"/>
      <c r="M55" s="2507">
        <f ca="1">D59</f>
        <v>16</v>
      </c>
      <c r="N55" s="598" t="str">
        <f>E59</f>
        <v>差额计税</v>
      </c>
      <c r="O55" s="2508">
        <f>F59</f>
        <v>0.01</v>
      </c>
    </row>
    <row r="56" spans="1:35" ht="24.75">
      <c r="A56" s="3549" t="s">
        <v>883</v>
      </c>
      <c r="B56" s="3543"/>
      <c r="C56" s="3543"/>
      <c r="D56" s="2137">
        <f ca="1">IF(H56="个人住宅",D57,D58)</f>
        <v>943</v>
      </c>
      <c r="E56" s="2037" t="s">
        <v>884</v>
      </c>
      <c r="F56" s="2470" t="str">
        <f>IF(H56="正常",F58,"免征")</f>
        <v>免征</v>
      </c>
      <c r="G56" s="2473" t="s">
        <v>885</v>
      </c>
      <c r="H56" s="2474"/>
      <c r="I56" s="2483"/>
      <c r="J56" s="617" t="str">
        <f>IF(项目基本情况!K6="上海银行",IF(J55="",4,J55+1),"")</f>
        <v/>
      </c>
      <c r="K56" s="3550" t="str">
        <f>IF(项目基本情况!K6="上海银行","其他处置费用","")</f>
        <v/>
      </c>
      <c r="L56" s="3551"/>
      <c r="M56" s="2503" t="str">
        <f>IF(项目基本情况!K6="上海银行",M69,"")</f>
        <v/>
      </c>
      <c r="N56" s="3550" t="str">
        <f>IF(项目基本情况!K6="上海银行","包含处置中涉及的律师、诉讼、拍卖、评估等费用","")</f>
        <v/>
      </c>
      <c r="O56" s="3552"/>
    </row>
    <row r="57" spans="1:35" ht="12.75">
      <c r="A57" s="2469" t="s">
        <v>856</v>
      </c>
      <c r="B57" s="3547" t="s">
        <v>886</v>
      </c>
      <c r="C57" s="3548"/>
      <c r="D57" s="2462">
        <v>0</v>
      </c>
      <c r="E57" s="2043" t="s">
        <v>858</v>
      </c>
      <c r="F57" s="1983"/>
      <c r="G57" s="2471"/>
      <c r="H57" s="2475"/>
      <c r="I57" s="2483"/>
      <c r="J57" s="3546">
        <f>IF(AND(J55="",J56=""),4,IF(项目基本情况!K6="上海银行",结果表!J56+1,结果表!J55+1))</f>
        <v>5</v>
      </c>
      <c r="K57" s="3546" t="s">
        <v>887</v>
      </c>
      <c r="L57" s="2509" t="s">
        <v>888</v>
      </c>
      <c r="M57" s="2510"/>
      <c r="N57" s="2511">
        <f ca="1">SUMIF(M52:M56,"&lt;9e307")</f>
        <v>960</v>
      </c>
      <c r="O57" s="2512"/>
      <c r="P57" s="2513">
        <f ca="1">N57/M49</f>
        <v>0.57692307692307687</v>
      </c>
    </row>
    <row r="58" spans="1:35" ht="24.75">
      <c r="A58" s="2469" t="s">
        <v>870</v>
      </c>
      <c r="B58" s="3547" t="s">
        <v>889</v>
      </c>
      <c r="C58" s="3545"/>
      <c r="D58" s="2137">
        <f ca="1">IF(H58="转让取得",C81,C97)</f>
        <v>943</v>
      </c>
      <c r="E58" s="2037" t="s">
        <v>884</v>
      </c>
      <c r="F58" s="1983" t="s">
        <v>124</v>
      </c>
      <c r="G58" s="2471"/>
      <c r="H58" s="2474"/>
      <c r="I58" s="2483"/>
      <c r="J58" s="3546"/>
      <c r="K58" s="3546"/>
      <c r="L58" s="2509" t="s">
        <v>890</v>
      </c>
      <c r="M58" s="2514"/>
      <c r="N58" s="2515" t="str">
        <f ca="1">NUMBERSTRING(INT(N57*10000),2)&amp;"元整"</f>
        <v>玖佰陆拾万元整</v>
      </c>
      <c r="O58" s="2516"/>
    </row>
    <row r="59" spans="1:35" ht="24">
      <c r="A59" s="3553" t="s">
        <v>891</v>
      </c>
      <c r="B59" s="3554"/>
      <c r="C59" s="3554"/>
      <c r="D59" s="2476">
        <f ca="1">IF(H59="非个人房产","——",IF(H59="个人住宅（满五唯一有凭证）",0,IF(H59="个人其他（无凭证）",ROUND(D45*F59,0),ROUND(C67*F59,0))))</f>
        <v>16</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885</v>
      </c>
      <c r="H59" s="2480"/>
      <c r="I59" s="2517" t="s">
        <v>892</v>
      </c>
      <c r="J59" s="3607">
        <f>J57+1</f>
        <v>6</v>
      </c>
      <c r="K59" s="3546" t="s">
        <v>893</v>
      </c>
      <c r="L59" s="617" t="s">
        <v>888</v>
      </c>
      <c r="M59" s="2518"/>
      <c r="N59" s="2519">
        <f ca="1">M49-N57</f>
        <v>704</v>
      </c>
      <c r="O59" s="2520"/>
    </row>
    <row r="60" spans="1:35" ht="12" customHeight="1">
      <c r="A60" s="2481"/>
      <c r="B60" s="2356"/>
      <c r="C60" s="2356"/>
      <c r="D60" s="2356"/>
      <c r="E60" s="2482"/>
      <c r="F60" s="2483"/>
      <c r="G60" s="2483"/>
      <c r="H60" s="2484"/>
      <c r="I60" s="991"/>
      <c r="J60" s="3608"/>
      <c r="K60" s="3546"/>
      <c r="L60" s="2509" t="s">
        <v>890</v>
      </c>
      <c r="M60" s="2514"/>
      <c r="N60" s="2515" t="str">
        <f ca="1">NUMBERSTRING(INT(N59*10000),2)&amp;"元整"</f>
        <v>柒佰零肆万元整</v>
      </c>
      <c r="O60" s="2516"/>
    </row>
    <row r="61" spans="1:35" ht="12.75">
      <c r="A61" s="3555" t="s">
        <v>894</v>
      </c>
      <c r="B61" s="3555"/>
      <c r="C61" s="3555"/>
      <c r="D61" s="3555"/>
      <c r="E61" s="3555"/>
      <c r="F61" s="2483"/>
      <c r="G61" s="2483"/>
      <c r="H61" s="2484"/>
      <c r="I61" s="991"/>
      <c r="J61" s="617">
        <f>J59+1</f>
        <v>7</v>
      </c>
      <c r="K61" s="3546" t="s">
        <v>895</v>
      </c>
      <c r="L61" s="3546"/>
      <c r="M61" s="2521"/>
      <c r="N61" s="2522">
        <f ca="1">ROUND(N59*10000/'数据-汇总表'!E3,0)</f>
        <v>2770</v>
      </c>
      <c r="O61" s="2523"/>
    </row>
    <row r="62" spans="1:35" ht="12.75">
      <c r="A62" s="3556" t="s">
        <v>896</v>
      </c>
      <c r="B62" s="3557"/>
      <c r="C62" s="568"/>
      <c r="D62" s="568" t="s">
        <v>897</v>
      </c>
      <c r="E62" s="2485" t="s">
        <v>851</v>
      </c>
      <c r="F62" s="2483"/>
      <c r="G62" s="2483"/>
      <c r="H62" s="2484"/>
      <c r="I62" s="991"/>
    </row>
    <row r="63" spans="1:35" ht="12.75">
      <c r="A63" s="2486" t="s">
        <v>898</v>
      </c>
      <c r="B63" s="627" t="s">
        <v>899</v>
      </c>
      <c r="C63" s="2487">
        <f ca="1">ROUND((C64+C65)/(1+'数据-取费表'!C42),0)</f>
        <v>1585</v>
      </c>
      <c r="D63" s="627"/>
      <c r="E63" s="2488"/>
      <c r="F63" s="2483"/>
      <c r="G63" s="2483"/>
      <c r="H63" s="2484"/>
      <c r="I63" s="991"/>
      <c r="J63" s="3609" t="s">
        <v>900</v>
      </c>
      <c r="K63" s="2524" t="s">
        <v>901</v>
      </c>
      <c r="L63" s="2524">
        <f ca="1">IF(M49&gt;10000,M49*0.5%,IF(AND(M49&gt;1000,M49&lt;=10000),M49*1%,IF(AND(M49&gt;100,M49&lt;=1000),M49*3%,IF(AND(M49&gt;10,M49&lt;=100),M49*5%,M49*8%))))</f>
        <v>16.64</v>
      </c>
      <c r="M63" s="1983">
        <f ca="1">ROUND(L63,1)</f>
        <v>16.600000000000001</v>
      </c>
      <c r="N63" s="2525"/>
      <c r="Z63" s="2353"/>
      <c r="AI63" s="2354"/>
    </row>
    <row r="64" spans="1:35" ht="14.25" customHeight="1">
      <c r="A64" s="2489" t="s">
        <v>902</v>
      </c>
      <c r="B64" s="554" t="s">
        <v>903</v>
      </c>
      <c r="C64" s="2490">
        <f ca="1">D45</f>
        <v>1664</v>
      </c>
      <c r="D64" s="554" t="s">
        <v>124</v>
      </c>
      <c r="E64" s="2491"/>
      <c r="F64" s="2483"/>
      <c r="G64" s="2483"/>
      <c r="H64" s="2484"/>
      <c r="I64" s="991"/>
      <c r="J64" s="3609"/>
      <c r="K64" s="2524" t="s">
        <v>904</v>
      </c>
      <c r="L64" s="2524">
        <f ca="1">IF(M49&gt;2000,M49*0.5%,IF(AND(M49&gt;1000,M49&lt;=2000),M49*0.6%,IF(AND(M49&gt;500,M49&lt;=1000),M49*0.7%,IF(AND(M49&gt;200,M49&lt;=500),M49*0.8%,IF(AND(M49&gt;100,M49&lt;=200),M49*0.9%,IF(AND(M49&gt;50,M49&lt;=100),M49*1%,IF(AND(M49&gt;20,M49&lt;=50),M49*1.5%,IF(AND(M49&gt;10,M49&lt;=20),M49*2%,IF(AND(M49&gt;1,M49&lt;=10),M49*2.5%)))))))))</f>
        <v>9.984</v>
      </c>
      <c r="M64" s="1983">
        <f t="shared" ref="M64:M65" ca="1" si="1">ROUND(L64,1)</f>
        <v>10</v>
      </c>
      <c r="N64" s="2152" t="s">
        <v>905</v>
      </c>
      <c r="Z64" s="2353"/>
      <c r="AI64" s="2354"/>
    </row>
    <row r="65" spans="1:35" ht="14.25" customHeight="1">
      <c r="A65" s="2489" t="s">
        <v>906</v>
      </c>
      <c r="B65" s="554" t="s">
        <v>907</v>
      </c>
      <c r="C65" s="2527"/>
      <c r="D65" s="554"/>
      <c r="E65" s="2491"/>
      <c r="F65" s="2483"/>
      <c r="G65" s="2483"/>
      <c r="H65" s="2484"/>
      <c r="I65" s="991"/>
      <c r="J65" s="3609"/>
      <c r="K65" s="2524" t="s">
        <v>908</v>
      </c>
      <c r="L65" s="2524">
        <f ca="1">IF(M49&gt;1000,M49*0.1%,IF(AND(M49&gt;500,M49&lt;=1000),M49*0.5%,IF(AND(M49&gt;50,M49&lt;=500),M49*1%,IF(AND(M49&gt;1,M49&lt;=50),M49*1.5%))))</f>
        <v>1.6640000000000001</v>
      </c>
      <c r="M65" s="1983">
        <f t="shared" ca="1" si="1"/>
        <v>1.7</v>
      </c>
      <c r="N65" s="2152" t="s">
        <v>905</v>
      </c>
      <c r="Z65" s="2353"/>
      <c r="AI65" s="2354"/>
    </row>
    <row r="66" spans="1:35" ht="14.25" customHeight="1">
      <c r="A66" s="2486" t="s">
        <v>909</v>
      </c>
      <c r="B66" s="2528" t="s">
        <v>910</v>
      </c>
      <c r="C66" s="2529"/>
      <c r="D66" s="2528" t="s">
        <v>124</v>
      </c>
      <c r="E66" s="2530" t="s">
        <v>911</v>
      </c>
      <c r="F66" s="2483"/>
      <c r="G66" s="2483"/>
      <c r="H66" s="2484"/>
      <c r="I66" s="991"/>
      <c r="J66" s="3609"/>
      <c r="K66" s="2524" t="s">
        <v>912</v>
      </c>
      <c r="L66" s="2524">
        <f ca="1">M49*0.5%</f>
        <v>8.32</v>
      </c>
      <c r="M66" s="1983">
        <f ca="1">IF(L66&gt;0.5,0.5,ROUND(L66,0))</f>
        <v>0.5</v>
      </c>
      <c r="N66" s="2152" t="s">
        <v>913</v>
      </c>
      <c r="Z66" s="2353"/>
      <c r="AI66" s="2354"/>
    </row>
    <row r="67" spans="1:35" ht="14.25" customHeight="1">
      <c r="A67" s="2486" t="s">
        <v>914</v>
      </c>
      <c r="B67" s="2528" t="s">
        <v>915</v>
      </c>
      <c r="C67" s="2531">
        <f ca="1">C63-C66</f>
        <v>1585</v>
      </c>
      <c r="D67" s="554" t="s">
        <v>124</v>
      </c>
      <c r="E67" s="2491"/>
      <c r="F67" s="2483"/>
      <c r="G67" s="2483"/>
      <c r="H67" s="2484"/>
      <c r="I67" s="991"/>
      <c r="J67" s="3609"/>
      <c r="K67" s="2524" t="s">
        <v>916</v>
      </c>
      <c r="L67" s="2524">
        <f ca="1">IF(M49&gt;=10000,(8.25+(M49-10000)*0.01%),IF(AND(M49&gt;=8000,M49&lt;10000),(7.85+(M49-8000)*0.02%),IF(AND(M49&gt;=5000,M49&lt;8000),(6.65+(M49-5000)*0.04%),IF(AND(M49&gt;=2000,M49&lt;5000),(4.25+(PM49-2000)*0.08%),IF(AND(M49&gt;=1000,M49&lt;2000),(2.75+(M49-1000)*0.15%),IF(AND(M49&gt;=100,M49&lt;1000),(0.5+(M49-100)*0.25%),IF(AND(M49&gt;0,M49&lt;100),M49*0.5%)))))))</f>
        <v>3.746</v>
      </c>
      <c r="M67" s="1983">
        <f ca="1">ROUND(L67*0.9,1)</f>
        <v>3.4</v>
      </c>
      <c r="N67" s="2525"/>
      <c r="Z67" s="2353"/>
      <c r="AI67" s="2354"/>
    </row>
    <row r="68" spans="1:35" ht="14.25" customHeight="1">
      <c r="A68" s="2532" t="s">
        <v>917</v>
      </c>
      <c r="B68" s="2533" t="s">
        <v>918</v>
      </c>
      <c r="C68" s="2534">
        <f ca="1">IF(C67&lt;=0,0,ROUND(C67*D68,0))</f>
        <v>87</v>
      </c>
      <c r="D68" s="820">
        <f>'数据-取费表'!B41</f>
        <v>5.5E-2</v>
      </c>
      <c r="E68" s="2535"/>
      <c r="F68" s="2483"/>
      <c r="G68" s="2483"/>
      <c r="H68" s="2484"/>
      <c r="I68" s="991"/>
      <c r="J68" s="3609"/>
      <c r="K68" s="2524" t="s">
        <v>919</v>
      </c>
      <c r="L68" s="2524">
        <f ca="1">IF(M49&gt;10000,M49*0.5%,IF(AND(M49&gt;5000,M49&lt;=10000),M49*1%,IF(AND(M49&gt;1000,M49&lt;=5000),M49*2%,IF(AND(M49&gt;200,M49&lt;=1000),M49*3%,M49*5%))))</f>
        <v>33.28</v>
      </c>
      <c r="M68" s="1983">
        <f ca="1">ROUND(L68,1)</f>
        <v>33.299999999999997</v>
      </c>
      <c r="N68" s="2525"/>
      <c r="Z68" s="2353"/>
      <c r="AI68" s="2354"/>
    </row>
    <row r="69" spans="1:35" s="2351" customFormat="1" ht="16.5" customHeight="1">
      <c r="A69" s="2536"/>
      <c r="B69" s="2537"/>
      <c r="C69" s="2538"/>
      <c r="D69" s="737"/>
      <c r="E69" s="2539"/>
      <c r="F69" s="2482"/>
      <c r="G69" s="2482"/>
      <c r="H69" s="2442"/>
      <c r="I69" s="2356"/>
      <c r="J69" s="3609"/>
      <c r="K69" s="2524" t="s">
        <v>920</v>
      </c>
      <c r="L69" s="2524"/>
      <c r="M69" s="1983">
        <f ca="1">ROUND(SUM(M63:M68),0)</f>
        <v>66</v>
      </c>
      <c r="N69" s="2602">
        <f ca="1">M69/M49</f>
        <v>3.9663461538461536E-2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58" t="s">
        <v>921</v>
      </c>
      <c r="B70" s="3559"/>
      <c r="C70" s="3559"/>
      <c r="D70" s="3559"/>
      <c r="E70" s="3559"/>
      <c r="F70" s="3559"/>
      <c r="G70" s="3559"/>
      <c r="H70" s="3559"/>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6" t="s">
        <v>896</v>
      </c>
      <c r="B71" s="3557"/>
      <c r="C71" s="568"/>
      <c r="D71" s="568" t="s">
        <v>897</v>
      </c>
      <c r="E71" s="2540" t="s">
        <v>851</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898</v>
      </c>
      <c r="B72" s="2528" t="s">
        <v>922</v>
      </c>
      <c r="C72" s="2531">
        <f ca="1">ROUND(D45/(1+'数据-取费表'!C42),0)</f>
        <v>1585</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909</v>
      </c>
      <c r="B73" s="2455" t="s">
        <v>923</v>
      </c>
      <c r="C73" s="2531">
        <f ca="1">C74+C78</f>
        <v>8</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902</v>
      </c>
      <c r="B74" s="554" t="s">
        <v>924</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925</v>
      </c>
      <c r="B75" s="554" t="s">
        <v>926</v>
      </c>
      <c r="C75" s="2544"/>
      <c r="D75" s="554" t="s">
        <v>124</v>
      </c>
      <c r="E75" s="2545" t="s">
        <v>927</v>
      </c>
      <c r="F75" s="2546"/>
      <c r="G75" s="2545" t="s">
        <v>928</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929</v>
      </c>
      <c r="B76" s="2548" t="s">
        <v>930</v>
      </c>
      <c r="C76" s="554">
        <f>IF(F75="购房发票",ROUND(C75*H75*D76,0),0)</f>
        <v>0</v>
      </c>
      <c r="D76" s="2549">
        <v>0.05</v>
      </c>
      <c r="E76" s="3547" t="s">
        <v>931</v>
      </c>
      <c r="F76" s="3545"/>
      <c r="G76" s="3545"/>
      <c r="H76" s="3560"/>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932</v>
      </c>
      <c r="B77" s="554" t="s">
        <v>933</v>
      </c>
      <c r="C77" s="554">
        <f>ROUND(IF(G77="个人住宅",0,IF(G77="2016年5月1日前购买",C75*D77,C75*D77/(1+'数据-取费表'!C42))),0)</f>
        <v>0</v>
      </c>
      <c r="D77" s="2551">
        <f>'数据-取费表'!B48+'数据-取费表'!B49</f>
        <v>3.0499999999999999E-2</v>
      </c>
      <c r="E77" s="2137" t="s">
        <v>934</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906</v>
      </c>
      <c r="B78" s="554" t="s">
        <v>935</v>
      </c>
      <c r="C78" s="2554">
        <f ca="1">ROUND(D45*D78/(1+'数据-取费表'!C42),0)</f>
        <v>8</v>
      </c>
      <c r="D78" s="2555">
        <f>'数据-取费表'!B43</f>
        <v>5.0000000000000001E-3</v>
      </c>
      <c r="E78" s="3561" t="s">
        <v>936</v>
      </c>
      <c r="F78" s="3562"/>
      <c r="G78" s="3562"/>
      <c r="H78" s="356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914</v>
      </c>
      <c r="B79" s="2528" t="s">
        <v>937</v>
      </c>
      <c r="C79" s="2531">
        <f ca="1">C72-C73</f>
        <v>1577</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917</v>
      </c>
      <c r="B80" s="2528" t="s">
        <v>938</v>
      </c>
      <c r="C80" s="2559">
        <f ca="1">IF(C79&lt;=0,0,C79/C73)</f>
        <v>197.125</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939</v>
      </c>
      <c r="B81" s="2533" t="s">
        <v>940</v>
      </c>
      <c r="C81" s="2560">
        <f ca="1">ROUND(IF(C79&lt;=0,0,IF(C80&gt;=200%,C79*60%-C73*35%,IF(C80&gt;=100%,C79*50%-C73*15%,IF(C80&gt;=50%,C79*40%-C73*5%,IF(C80&lt;50%,C79*30%,0))))),0)</f>
        <v>943</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8" t="s">
        <v>941</v>
      </c>
      <c r="B83" s="3559"/>
      <c r="C83" s="3559"/>
      <c r="D83" s="3559"/>
      <c r="E83" s="3559"/>
      <c r="F83" s="3559"/>
      <c r="G83" s="3559"/>
      <c r="H83" s="3559"/>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6" t="s">
        <v>896</v>
      </c>
      <c r="B84" s="3557"/>
      <c r="C84" s="568"/>
      <c r="D84" s="568" t="s">
        <v>897</v>
      </c>
      <c r="E84" s="2540" t="s">
        <v>851</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898</v>
      </c>
      <c r="B85" s="2528" t="s">
        <v>922</v>
      </c>
      <c r="C85" s="2531">
        <f ca="1">ROUND(D45/(1+'数据-取费表'!C42),0)</f>
        <v>1585</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909</v>
      </c>
      <c r="B86" s="2455" t="s">
        <v>923</v>
      </c>
      <c r="C86" s="2531">
        <f ca="1">IF(H88="仅含出让金",C87+C90+C91+C92+C93+C94,C87+C91+C92+C93+C94)</f>
        <v>8</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902</v>
      </c>
      <c r="B87" s="554" t="s">
        <v>942</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925</v>
      </c>
      <c r="B88" s="554" t="s">
        <v>943</v>
      </c>
      <c r="C88" s="2571"/>
      <c r="D88" s="2555"/>
      <c r="E88" s="2572" t="s">
        <v>944</v>
      </c>
      <c r="F88" s="2557"/>
      <c r="G88" s="2573" t="s">
        <v>945</v>
      </c>
      <c r="H88" s="2574"/>
      <c r="I88" s="839"/>
      <c r="J88" s="2608" t="s">
        <v>946</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929</v>
      </c>
      <c r="B89" s="554" t="s">
        <v>933</v>
      </c>
      <c r="C89" s="2554">
        <f>ROUND(C88*D89,0)</f>
        <v>0</v>
      </c>
      <c r="D89" s="2555">
        <f>'数据-取费表'!B48+'数据-取费表'!B49</f>
        <v>3.0499999999999999E-2</v>
      </c>
      <c r="E89" s="2572" t="s">
        <v>947</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906</v>
      </c>
      <c r="B90" s="554" t="s">
        <v>948</v>
      </c>
      <c r="C90" s="2571"/>
      <c r="D90" s="2555"/>
      <c r="E90" s="2572" t="str">
        <f>IF(H88="-","土地取得成本中已包含该笔费用"," ")</f>
        <v/>
      </c>
      <c r="F90" s="2557"/>
      <c r="G90" s="3564" t="s">
        <v>949</v>
      </c>
      <c r="H90" s="3565"/>
      <c r="I90" s="839"/>
      <c r="J90" s="2608" t="s">
        <v>950</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951</v>
      </c>
      <c r="B91" s="554" t="s">
        <v>952</v>
      </c>
      <c r="C91" s="2554">
        <f>IF(H91="——",成本法!C33,I91)</f>
        <v>0</v>
      </c>
      <c r="D91" s="2555"/>
      <c r="E91" s="3561" t="s">
        <v>953</v>
      </c>
      <c r="F91" s="3562"/>
      <c r="G91" s="3562"/>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954</v>
      </c>
      <c r="B92" s="554" t="s">
        <v>955</v>
      </c>
      <c r="C92" s="2554">
        <f>ROUND((C87+C90+C91)*D92,0)</f>
        <v>0</v>
      </c>
      <c r="D92" s="2576"/>
      <c r="E92" s="3561" t="s">
        <v>956</v>
      </c>
      <c r="F92" s="3562"/>
      <c r="G92" s="3562"/>
      <c r="H92" s="3563"/>
      <c r="I92" s="839"/>
      <c r="J92" s="2610" t="s">
        <v>957</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958</v>
      </c>
      <c r="B93" s="554" t="s">
        <v>935</v>
      </c>
      <c r="C93" s="2554">
        <f ca="1">ROUND(D45*D93/(1+'数据-取费表'!C42),0)</f>
        <v>8</v>
      </c>
      <c r="D93" s="2555">
        <f>'数据-取费表'!B43</f>
        <v>5.0000000000000001E-3</v>
      </c>
      <c r="E93" s="3561" t="s">
        <v>936</v>
      </c>
      <c r="F93" s="3562"/>
      <c r="G93" s="3562"/>
      <c r="H93" s="3563"/>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959</v>
      </c>
      <c r="B94" s="554" t="s">
        <v>960</v>
      </c>
      <c r="C94" s="2571">
        <f>ROUND((C87+C90+C91)*D94,0)</f>
        <v>0</v>
      </c>
      <c r="D94" s="2555">
        <v>0.2</v>
      </c>
      <c r="E94" s="3566" t="s">
        <v>961</v>
      </c>
      <c r="F94" s="3567"/>
      <c r="G94" s="3567"/>
      <c r="H94" s="356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914</v>
      </c>
      <c r="B95" s="2528" t="s">
        <v>937</v>
      </c>
      <c r="C95" s="2531">
        <f ca="1">ROUND(C85-C86,0)</f>
        <v>1577</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917</v>
      </c>
      <c r="B96" s="2528" t="s">
        <v>938</v>
      </c>
      <c r="C96" s="2559">
        <f ca="1">IF(C95&lt;=0,0,C95/C86)</f>
        <v>197.125</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939</v>
      </c>
      <c r="B97" s="2533" t="s">
        <v>940</v>
      </c>
      <c r="C97" s="2560">
        <f ca="1">ROUND(IF(C95&lt;=0,0,IF(C96&gt;=200%,C95*60%-C86*35%,IF(C96&gt;=100%,C95*50%-C86*15%,IF(C96&gt;=50%,C95*40%-C86*5%,IF(C96&lt;50%,C95*30%,0))))),0)</f>
        <v>943</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962</v>
      </c>
      <c r="B99" s="2356"/>
      <c r="C99" s="2356"/>
      <c r="D99" s="2356"/>
      <c r="E99" s="2482"/>
      <c r="F99" s="2482"/>
      <c r="G99" s="2482"/>
      <c r="H99" s="2442"/>
      <c r="I99" s="991"/>
    </row>
    <row r="100" spans="1:35" ht="18.75" customHeight="1">
      <c r="A100" s="3507" t="s">
        <v>963</v>
      </c>
      <c r="B100" s="3508"/>
      <c r="C100" s="3508"/>
      <c r="D100" s="3569"/>
      <c r="E100" s="3508" t="s">
        <v>964</v>
      </c>
      <c r="F100" s="3508"/>
      <c r="G100" s="3508"/>
      <c r="H100" s="3569"/>
      <c r="I100" s="991"/>
    </row>
    <row r="101" spans="1:35" ht="18.75" customHeight="1">
      <c r="A101" s="3570" t="s">
        <v>965</v>
      </c>
      <c r="B101" s="3571"/>
      <c r="C101" s="2579" t="str">
        <f>C4</f>
        <v>成本法 (元)</v>
      </c>
      <c r="D101" s="2580" t="str">
        <f>D4</f>
        <v>收益法 (元)</v>
      </c>
      <c r="E101" s="3610" t="s">
        <v>966</v>
      </c>
      <c r="F101" s="3611"/>
      <c r="G101" s="2582" t="s">
        <v>967</v>
      </c>
      <c r="H101" s="2583">
        <f ca="1">H118</f>
        <v>1664</v>
      </c>
      <c r="I101" s="991"/>
    </row>
    <row r="102" spans="1:35" ht="18.75" customHeight="1">
      <c r="A102" s="3595" t="s">
        <v>968</v>
      </c>
      <c r="B102" s="2584" t="s">
        <v>967</v>
      </c>
      <c r="C102" s="2579">
        <f ca="1">IF(D32="楼面单价",ROUND(C19,0),C19)</f>
        <v>1029</v>
      </c>
      <c r="D102" s="2580">
        <f ca="1">IF(D32="楼面单价",ROUND(D19,0),D19)</f>
        <v>2088</v>
      </c>
      <c r="E102" s="3610"/>
      <c r="F102" s="3611"/>
      <c r="G102" s="2582" t="s">
        <v>99</v>
      </c>
      <c r="H102" s="2471">
        <f ca="1">I118</f>
        <v>6549</v>
      </c>
      <c r="I102" s="991"/>
    </row>
    <row r="103" spans="1:35" ht="42.75" customHeight="1">
      <c r="A103" s="3595"/>
      <c r="B103" s="2584" t="s">
        <v>99</v>
      </c>
      <c r="C103" s="2585">
        <f ca="1">C20</f>
        <v>4051</v>
      </c>
      <c r="D103" s="2586">
        <f ca="1">D20</f>
        <v>8215</v>
      </c>
      <c r="E103" s="3572" t="s">
        <v>969</v>
      </c>
      <c r="F103" s="3573"/>
      <c r="G103" s="2587" t="s">
        <v>102</v>
      </c>
      <c r="H103" s="2583">
        <f>IF(D36="正常操作",H104+H105+H106,H105+H106)</f>
        <v>0</v>
      </c>
      <c r="I103" s="991"/>
    </row>
    <row r="104" spans="1:35" ht="18.75" customHeight="1">
      <c r="A104" s="3595" t="s">
        <v>970</v>
      </c>
      <c r="B104" s="2588" t="s">
        <v>967</v>
      </c>
      <c r="C104" s="2589">
        <f ca="1">H118</f>
        <v>1664</v>
      </c>
      <c r="D104" s="2590"/>
      <c r="E104" s="2427" t="s">
        <v>971</v>
      </c>
      <c r="F104" s="2591"/>
      <c r="G104" s="2587" t="s">
        <v>102</v>
      </c>
      <c r="H104" s="2592">
        <f>IF(D36="同一抵押权人同一抵押物续贷",C36&amp;"（续贷，未扣减，详见特别提示）",C36)</f>
        <v>0</v>
      </c>
      <c r="I104" s="991"/>
    </row>
    <row r="105" spans="1:35" ht="18.75" customHeight="1">
      <c r="A105" s="3596"/>
      <c r="B105" s="2593" t="s">
        <v>99</v>
      </c>
      <c r="C105" s="2594">
        <f ca="1">I118</f>
        <v>6549</v>
      </c>
      <c r="D105" s="2595"/>
      <c r="E105" s="2427" t="s">
        <v>972</v>
      </c>
      <c r="F105" s="2591"/>
      <c r="G105" s="2587" t="s">
        <v>102</v>
      </c>
      <c r="H105" s="2596">
        <f>C37</f>
        <v>0</v>
      </c>
      <c r="I105" s="991"/>
    </row>
    <row r="106" spans="1:35" ht="18.75" customHeight="1">
      <c r="A106" s="2356" t="s">
        <v>973</v>
      </c>
      <c r="B106" s="2356"/>
      <c r="C106" s="2356"/>
      <c r="D106" s="2356"/>
      <c r="E106" s="2597" t="s">
        <v>974</v>
      </c>
      <c r="F106" s="2591"/>
      <c r="G106" s="2587" t="s">
        <v>102</v>
      </c>
      <c r="H106" s="2596">
        <f>C38</f>
        <v>0</v>
      </c>
      <c r="I106" s="991"/>
    </row>
    <row r="107" spans="1:35" ht="18.75" customHeight="1">
      <c r="A107" s="991"/>
      <c r="B107" s="991"/>
      <c r="C107" s="991"/>
      <c r="D107" s="991"/>
      <c r="E107" s="3612" t="str">
        <f>IF(项目基本情况!E8="已注销","——","3.房地产抵押价值")</f>
        <v>3.房地产抵押价值</v>
      </c>
      <c r="F107" s="3611"/>
      <c r="G107" s="2582" t="s">
        <v>967</v>
      </c>
      <c r="H107" s="2583">
        <f ca="1">IF(E107="——","——",H101-H103)</f>
        <v>1664</v>
      </c>
      <c r="I107" s="991"/>
    </row>
    <row r="108" spans="1:35" ht="18.75" customHeight="1">
      <c r="A108" s="991"/>
      <c r="B108" s="991"/>
      <c r="C108" s="991"/>
      <c r="D108" s="991"/>
      <c r="E108" s="3612"/>
      <c r="F108" s="3611"/>
      <c r="G108" s="2582" t="s">
        <v>99</v>
      </c>
      <c r="H108" s="2471">
        <f ca="1">IF(H107=H101,H102,ROUND(H107*10000/'数据-汇总表'!E3,0))</f>
        <v>6549</v>
      </c>
      <c r="I108" s="991"/>
    </row>
    <row r="109" spans="1:35" ht="18.75" customHeight="1">
      <c r="A109" s="991"/>
      <c r="B109" s="991"/>
      <c r="C109" s="991"/>
      <c r="D109" s="991"/>
      <c r="E109" s="3612" t="str">
        <f>IF(项目基本情况!E8="已注销及未注销","4.抵押担保权已注销时的房地产抵押价值",IF(项目基本情况!E8="已注销","3.抵押担保权已注销时的房地产抵押价值","——"))</f>
        <v>——</v>
      </c>
      <c r="F109" s="3611"/>
      <c r="G109" s="2582" t="s">
        <v>967</v>
      </c>
      <c r="H109" s="2598" t="str">
        <f>IF(E109="——","——",H101-H105-H106)</f>
        <v>——</v>
      </c>
      <c r="I109" s="991"/>
    </row>
    <row r="110" spans="1:35" ht="18.75" customHeight="1">
      <c r="A110" s="991"/>
      <c r="B110" s="991"/>
      <c r="C110" s="991"/>
      <c r="D110" s="991"/>
      <c r="E110" s="3612"/>
      <c r="F110" s="3611"/>
      <c r="G110" s="2582" t="s">
        <v>99</v>
      </c>
      <c r="H110" s="2471" t="str">
        <f>IF(H109="——","——",ROUND(H109*10000/'数据-汇总表'!E3,0))</f>
        <v>——</v>
      </c>
      <c r="I110" s="991"/>
    </row>
    <row r="111" spans="1:35" ht="18.75" customHeight="1">
      <c r="A111" s="991"/>
      <c r="B111" s="991"/>
      <c r="C111" s="991"/>
      <c r="D111" s="991"/>
      <c r="E111" s="3613" t="str">
        <f>IF(项目基本情况!E9="抵押净值",IF(OR(项目基本情况!E8="已注销",项目基本情况!E8="房地产抵押价值"),"4.抵押净值","5.抵押净值"),"——")</f>
        <v>——</v>
      </c>
      <c r="F111" s="3588"/>
      <c r="G111" s="2582" t="s">
        <v>967</v>
      </c>
      <c r="H111" s="2583" t="str">
        <f>IF(E111="——","——",N59)</f>
        <v>——</v>
      </c>
      <c r="I111" s="991"/>
    </row>
    <row r="112" spans="1:35" ht="18.75" customHeight="1">
      <c r="A112" s="991"/>
      <c r="B112" s="991"/>
      <c r="C112" s="991"/>
      <c r="D112" s="991"/>
      <c r="E112" s="3614"/>
      <c r="F112" s="3615"/>
      <c r="G112" s="2599" t="s">
        <v>99</v>
      </c>
      <c r="H112" s="2600" t="str">
        <f>IF(E111="——","——",N61)</f>
        <v>——</v>
      </c>
      <c r="I112" s="991"/>
    </row>
    <row r="113" spans="1:27" ht="18.75" customHeight="1">
      <c r="A113" s="991"/>
      <c r="B113" s="991"/>
      <c r="C113" s="991"/>
      <c r="D113" s="991"/>
      <c r="E113" s="3574" t="s">
        <v>973</v>
      </c>
      <c r="F113" s="3574"/>
      <c r="G113" s="3574"/>
      <c r="H113" s="3574"/>
      <c r="I113" s="991"/>
    </row>
    <row r="114" spans="1:27" ht="3.75" customHeight="1">
      <c r="A114" s="2356"/>
      <c r="B114" s="2356"/>
      <c r="C114" s="2356"/>
      <c r="D114" s="2356"/>
      <c r="E114" s="2481"/>
      <c r="F114" s="2481"/>
      <c r="G114" s="2481"/>
      <c r="H114" s="2481"/>
      <c r="I114" s="2356"/>
    </row>
    <row r="115" spans="1:27" ht="18.75" customHeight="1">
      <c r="A115" s="3575" t="s">
        <v>975</v>
      </c>
      <c r="B115" s="3576"/>
      <c r="C115" s="3576"/>
      <c r="D115" s="3576"/>
      <c r="E115" s="3576"/>
      <c r="F115" s="3576"/>
      <c r="G115" s="3576"/>
      <c r="H115" s="3576"/>
      <c r="I115" s="3577"/>
    </row>
    <row r="116" spans="1:27" ht="27" customHeight="1">
      <c r="A116" s="3581" t="s">
        <v>976</v>
      </c>
      <c r="B116" s="3598" t="s">
        <v>977</v>
      </c>
      <c r="C116" s="3598" t="s">
        <v>978</v>
      </c>
      <c r="D116" s="3578" t="s">
        <v>979</v>
      </c>
      <c r="E116" s="3579"/>
      <c r="F116" s="3580" t="s">
        <v>980</v>
      </c>
      <c r="G116" s="3580"/>
      <c r="H116" s="3581" t="s">
        <v>981</v>
      </c>
      <c r="I116" s="3581"/>
    </row>
    <row r="117" spans="1:27" ht="18.75" customHeight="1">
      <c r="A117" s="3581"/>
      <c r="B117" s="3599"/>
      <c r="C117" s="3599"/>
      <c r="D117" s="2366" t="s">
        <v>982</v>
      </c>
      <c r="E117" s="2366" t="s">
        <v>809</v>
      </c>
      <c r="F117" s="2366" t="s">
        <v>982</v>
      </c>
      <c r="G117" s="2366" t="s">
        <v>809</v>
      </c>
      <c r="H117" s="2366" t="s">
        <v>982</v>
      </c>
      <c r="I117" s="2366" t="s">
        <v>809</v>
      </c>
    </row>
    <row r="118" spans="1:27" ht="24.75" customHeight="1">
      <c r="A118" s="2601" t="str">
        <f>项目基本情况!S2</f>
        <v>北京市房地产</v>
      </c>
      <c r="B118" s="2366">
        <f>M18</f>
        <v>2541.1799999999998</v>
      </c>
      <c r="C118" s="2366">
        <f>M19</f>
        <v>2068.02</v>
      </c>
      <c r="D118" s="2366">
        <f ca="1">ROUND(IF(D32="总价",C34,E118*B118/10000),0)</f>
        <v>1020</v>
      </c>
      <c r="E118" s="2366">
        <f ca="1">ROUND(IF(C33="自定义",IF(D32="楼面单价",C34,D118*10000/B118),I118-G118),0)</f>
        <v>4015</v>
      </c>
      <c r="F118" s="2366">
        <f ca="1">ROUND(IF(D32="总价",C35,G118*B118/10000),0)</f>
        <v>644</v>
      </c>
      <c r="G118" s="2366">
        <f ca="1">ROUND(IF(D32="楼面单价",C35,F118*10000/B118),0)</f>
        <v>2534</v>
      </c>
      <c r="H118" s="2366">
        <f ca="1">ROUND(IF(D32="总价",C32,I118*B118/10000),0)</f>
        <v>1664</v>
      </c>
      <c r="I118" s="2366">
        <f ca="1">ROUND(IF(D32="楼面单价",C32,H118*10000/B118),0)</f>
        <v>6549</v>
      </c>
    </row>
    <row r="119" spans="1:27" ht="18.75" customHeight="1">
      <c r="A119" s="3581" t="s">
        <v>983</v>
      </c>
      <c r="B119" s="3581"/>
      <c r="C119" s="3581"/>
      <c r="D119" s="3582" t="str">
        <f ca="1">NUMBERSTRING(INT(D118*10000),2)&amp;"元整"</f>
        <v>壹仟零贰拾万元整</v>
      </c>
      <c r="E119" s="3583"/>
      <c r="F119" s="3582" t="str">
        <f ca="1">NUMBERSTRING(INT(F118*10000),2)&amp;"元整"</f>
        <v>陆佰肆拾肆万元整</v>
      </c>
      <c r="G119" s="3583"/>
      <c r="H119" s="3582" t="str">
        <f ca="1">NUMBERSTRING(INT(H118*10000),2)&amp;"元整"</f>
        <v>壹仟陆佰陆拾肆万元整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983</v>
      </c>
      <c r="B121" s="3587"/>
      <c r="C121" s="3583"/>
      <c r="D121" s="3582" t="str">
        <f>IF(D120=0,"零元整",NUMBERSTRING(INT(D120*10000),2)&amp;"元整")</f>
        <v>零元整</v>
      </c>
      <c r="E121" s="3587"/>
      <c r="F121" s="3587"/>
      <c r="G121" s="3587"/>
      <c r="H121" s="3587"/>
      <c r="I121" s="3583"/>
      <c r="AA121" s="949"/>
    </row>
    <row r="122" spans="1:27" ht="18.75" customHeight="1">
      <c r="A122" s="3588" t="str">
        <f>IF(项目基本情况!B9="房地产市场价值","",MID(E107,3,LEN(E107)-2))</f>
        <v>房地产抵押价值</v>
      </c>
      <c r="B122" s="3588"/>
      <c r="C122" s="3588"/>
      <c r="D122" s="3584">
        <f ca="1">H107</f>
        <v>1664</v>
      </c>
      <c r="E122" s="3585"/>
      <c r="F122" s="3585"/>
      <c r="G122" s="3585"/>
      <c r="H122" s="3585"/>
      <c r="I122" s="3586"/>
      <c r="AA122" s="949"/>
    </row>
    <row r="123" spans="1:27" ht="18.75" customHeight="1">
      <c r="A123" s="3581" t="s">
        <v>983</v>
      </c>
      <c r="B123" s="3581"/>
      <c r="C123" s="3581"/>
      <c r="D123" s="3582" t="str">
        <f ca="1">NUMBERSTRING(INT(D122*10000),2)&amp;"元整"</f>
        <v>壹仟陆佰陆拾肆万元整</v>
      </c>
      <c r="E123" s="3587"/>
      <c r="F123" s="3587"/>
      <c r="G123" s="3587"/>
      <c r="H123" s="3587"/>
      <c r="I123" s="3583"/>
      <c r="AA123" s="949"/>
    </row>
    <row r="124" spans="1:27" ht="18.75" customHeight="1">
      <c r="A124" s="3588" t="str">
        <f>IF(项目基本情况!B9="房地产市场价值","",MID(E109,3,LEN(E109)-2))</f>
        <v/>
      </c>
      <c r="B124" s="3588"/>
      <c r="C124" s="3588"/>
      <c r="D124" s="3584" t="str">
        <f>H109</f>
        <v>——</v>
      </c>
      <c r="E124" s="3585"/>
      <c r="F124" s="3585"/>
      <c r="G124" s="3585"/>
      <c r="H124" s="3585"/>
      <c r="I124" s="3586"/>
      <c r="AA124" s="949"/>
    </row>
    <row r="125" spans="1:27" ht="18.75" customHeight="1">
      <c r="A125" s="3581" t="s">
        <v>983</v>
      </c>
      <c r="B125" s="3581"/>
      <c r="C125" s="3581"/>
      <c r="D125" s="3582" t="e">
        <f>NUMBERSTRING(INT(D124*10000),2)&amp;"元整"</f>
        <v>#VALUE!</v>
      </c>
      <c r="E125" s="3587"/>
      <c r="F125" s="3587"/>
      <c r="G125" s="3587"/>
      <c r="H125" s="3587"/>
      <c r="I125" s="3583"/>
      <c r="AA125" s="949"/>
    </row>
    <row r="126" spans="1:27" ht="18.75" customHeight="1">
      <c r="A126" s="3588" t="str">
        <f>IF(项目基本情况!B9="房地产市场价值","",MID(E111,3,LEN(E111)-2))</f>
        <v/>
      </c>
      <c r="B126" s="3588"/>
      <c r="C126" s="3588"/>
      <c r="D126" s="3584" t="str">
        <f>H111</f>
        <v>——</v>
      </c>
      <c r="E126" s="3585"/>
      <c r="F126" s="3585"/>
      <c r="G126" s="3585"/>
      <c r="H126" s="3585"/>
      <c r="I126" s="3586"/>
      <c r="AA126" s="949"/>
    </row>
    <row r="127" spans="1:27" ht="18.75" customHeight="1">
      <c r="A127" s="3581" t="s">
        <v>983</v>
      </c>
      <c r="B127" s="3581"/>
      <c r="C127" s="3581"/>
      <c r="D127" s="3582" t="e">
        <f>NUMBERSTRING(INT(D126*10000),2)&amp;"元整"</f>
        <v>#VALUE!</v>
      </c>
      <c r="E127" s="3587"/>
      <c r="F127" s="3587"/>
      <c r="G127" s="3587"/>
      <c r="H127" s="3587"/>
      <c r="I127" s="3583"/>
      <c r="AA127" s="949"/>
    </row>
    <row r="128" spans="1:27" ht="21.75" customHeight="1">
      <c r="A128" s="3589" t="s">
        <v>113</v>
      </c>
      <c r="B128" s="3589"/>
      <c r="C128" s="3589"/>
      <c r="D128" s="3589"/>
      <c r="E128" s="3589"/>
      <c r="F128" s="3589"/>
      <c r="G128" s="3589"/>
      <c r="H128" s="3589"/>
      <c r="I128" s="3589"/>
      <c r="AA128" s="949"/>
    </row>
    <row r="129" spans="1:35" ht="21.75" customHeight="1">
      <c r="A129" s="2612" t="s">
        <v>984</v>
      </c>
      <c r="B129" s="2613"/>
      <c r="C129" s="2614" t="s">
        <v>985</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986</v>
      </c>
      <c r="G135" s="2626"/>
      <c r="H135" s="2626"/>
      <c r="I135" s="2634" t="s">
        <v>987</v>
      </c>
    </row>
    <row r="136" spans="1:35" ht="21.75" customHeight="1">
      <c r="A136" s="949"/>
      <c r="B136" s="2627" t="s">
        <v>988</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989</v>
      </c>
    </row>
    <row r="139" spans="1:35" ht="21.75" customHeight="1">
      <c r="A139" s="949"/>
      <c r="B139" s="2627" t="s">
        <v>990</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989</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991</v>
      </c>
      <c r="B1" s="2335"/>
      <c r="C1" s="375"/>
      <c r="D1" s="375"/>
      <c r="E1" s="375"/>
      <c r="F1" s="375"/>
      <c r="G1" s="2337">
        <f>MATCH(B1,'数据-取费表'!A6:A16,0)+5</f>
        <v>7</v>
      </c>
    </row>
    <row r="2" spans="1:9" s="365" customFormat="1" ht="18" customHeight="1">
      <c r="A2" s="377" t="s">
        <v>992</v>
      </c>
      <c r="B2" s="378">
        <f ca="1">IF(D2="——",C52,C52-E2)</f>
        <v>622</v>
      </c>
      <c r="C2" s="376" t="s">
        <v>993</v>
      </c>
      <c r="D2" s="2339" t="s">
        <v>124</v>
      </c>
      <c r="E2" s="2340" t="e">
        <f ca="1">SUMIF(INDIRECT("'"&amp;G2&amp;"'"&amp;"!A:A"),"承租人权益价值",INDIRECT("'"&amp;G2&amp;"'"&amp;"!c:c"))</f>
        <v>#REF!</v>
      </c>
      <c r="F2" s="2341" t="s">
        <v>993</v>
      </c>
      <c r="G2" s="2342"/>
    </row>
    <row r="3" spans="1:9" s="365" customFormat="1" ht="18" customHeight="1">
      <c r="A3" s="380" t="s">
        <v>994</v>
      </c>
      <c r="B3" s="381">
        <f ca="1">ROUND(B2*10000/(IF(B1="",'数据-汇总表'!E3,INDIRECT("'数据-取费表'!k"&amp;$G$1))),0)</f>
        <v>2448</v>
      </c>
      <c r="C3" s="376" t="s">
        <v>995</v>
      </c>
      <c r="D3" s="376"/>
      <c r="E3" s="376"/>
      <c r="F3" s="376"/>
      <c r="G3" s="376"/>
    </row>
    <row r="4" spans="1:9" s="366" customFormat="1" ht="15.75">
      <c r="A4" s="382" t="s">
        <v>996</v>
      </c>
      <c r="B4" s="383"/>
      <c r="C4" s="383"/>
      <c r="D4" s="383"/>
      <c r="E4" s="383"/>
      <c r="F4" s="383"/>
      <c r="G4" s="384"/>
    </row>
    <row r="5" spans="1:9" s="367" customFormat="1" ht="13.5" customHeight="1">
      <c r="A5" s="385" t="s">
        <v>997</v>
      </c>
      <c r="B5" s="386" t="s">
        <v>998</v>
      </c>
      <c r="C5" s="387">
        <f>C6+C7+C8</f>
        <v>0</v>
      </c>
      <c r="D5" s="387" t="s">
        <v>999</v>
      </c>
      <c r="E5" s="388" t="s">
        <v>1000</v>
      </c>
      <c r="F5" s="388" t="s">
        <v>897</v>
      </c>
      <c r="G5" s="389"/>
    </row>
    <row r="6" spans="1:9" s="367" customFormat="1" ht="13.5" customHeight="1">
      <c r="A6" s="390" t="s">
        <v>1001</v>
      </c>
      <c r="B6" s="391" t="s">
        <v>1002</v>
      </c>
      <c r="C6" s="392"/>
      <c r="D6" s="393"/>
      <c r="E6" s="394"/>
      <c r="F6" s="394"/>
      <c r="G6" s="395"/>
    </row>
    <row r="7" spans="1:9" s="367" customFormat="1" ht="13.5" customHeight="1">
      <c r="A7" s="390" t="s">
        <v>1003</v>
      </c>
      <c r="B7" s="391" t="s">
        <v>1004</v>
      </c>
      <c r="C7" s="396">
        <f>ROUND(C6*F7,0)</f>
        <v>0</v>
      </c>
      <c r="D7" s="396"/>
      <c r="E7" s="394"/>
      <c r="F7" s="397">
        <f>IF(项目基本情况!B8="出让",0,'数据-取费表'!B48+'数据-取费表'!B49)</f>
        <v>3.0499999999999999E-2</v>
      </c>
      <c r="G7" s="395"/>
    </row>
    <row r="8" spans="1:9" s="368" customFormat="1">
      <c r="A8" s="390" t="s">
        <v>1005</v>
      </c>
      <c r="B8" s="391" t="s">
        <v>1006</v>
      </c>
      <c r="C8" s="396">
        <f>IF(G8="已包含在土地购买价格中","0",IF(B1="",'数据-取费表'!B29,IF(G9="全部缴纳",C9+C10,H9)))</f>
        <v>0</v>
      </c>
      <c r="D8" s="398"/>
      <c r="E8" s="396"/>
      <c r="F8" s="397"/>
      <c r="G8" s="2343"/>
    </row>
    <row r="9" spans="1:9" s="367" customFormat="1" ht="13.5" customHeight="1">
      <c r="A9" s="400" t="s">
        <v>1007</v>
      </c>
      <c r="B9" s="401" t="s">
        <v>1008</v>
      </c>
      <c r="C9" s="402">
        <f ca="1">ROUND(D9*E9/10000,0)</f>
        <v>0</v>
      </c>
      <c r="D9" s="403">
        <f ca="1">IF(B1="",'数据-汇总表'!E5,IF(INDIRECT("'数据-取费表'!c"&amp;$G$1)="住宅",INDIRECT("'数据-取费表'!k"&amp;$G$1),0))</f>
        <v>0</v>
      </c>
      <c r="E9" s="402">
        <f>'数据-取费表'!B27</f>
        <v>160</v>
      </c>
      <c r="F9" s="397"/>
      <c r="G9" s="2347"/>
      <c r="H9" s="2348"/>
      <c r="I9" s="2349" t="s">
        <v>1009</v>
      </c>
    </row>
    <row r="10" spans="1:9" s="367" customFormat="1" ht="13.5" customHeight="1">
      <c r="A10" s="400" t="s">
        <v>1010</v>
      </c>
      <c r="B10" s="401" t="s">
        <v>1011</v>
      </c>
      <c r="C10" s="402">
        <f ca="1">ROUND(D10*E10/10000,0)</f>
        <v>51</v>
      </c>
      <c r="D10" s="403">
        <f ca="1">IF(B1="",'数据-汇总表'!E6,IF(INDIRECT("'数据-取费表'!c"&amp;$G$1)="住宅",INDIRECT("'数据-取费表'!s"&amp;$G$1),INDIRECT("'数据-取费表'!k"&amp;$G$1)+INDIRECT("'数据-取费表'!s"&amp;$G$1)))</f>
        <v>2541.1799999999998</v>
      </c>
      <c r="E10" s="402">
        <f>'数据-取费表'!B28</f>
        <v>200</v>
      </c>
      <c r="F10" s="397"/>
      <c r="G10" s="404"/>
    </row>
    <row r="11" spans="1:9" s="367" customFormat="1" ht="13.5" hidden="1" customHeight="1">
      <c r="A11" s="405" t="s">
        <v>1012</v>
      </c>
      <c r="B11" s="391" t="s">
        <v>1013</v>
      </c>
      <c r="C11" s="387"/>
      <c r="D11" s="406"/>
      <c r="E11" s="394"/>
      <c r="F11" s="394"/>
      <c r="G11" s="395"/>
    </row>
    <row r="12" spans="1:9" s="367" customFormat="1" ht="13.5" hidden="1" customHeight="1">
      <c r="A12" s="405" t="s">
        <v>1014</v>
      </c>
      <c r="B12" s="391" t="s">
        <v>933</v>
      </c>
      <c r="C12" s="387">
        <v>0</v>
      </c>
      <c r="D12" s="406"/>
      <c r="E12" s="407"/>
      <c r="F12" s="397">
        <v>3.0499999999999999E-2</v>
      </c>
      <c r="G12" s="395"/>
    </row>
    <row r="13" spans="1:9" s="367" customFormat="1" ht="13.5" hidden="1" customHeight="1">
      <c r="A13" s="405" t="s">
        <v>1015</v>
      </c>
      <c r="B13" s="391" t="s">
        <v>1016</v>
      </c>
      <c r="C13" s="387"/>
      <c r="D13" s="406"/>
      <c r="E13" s="394"/>
      <c r="F13" s="394"/>
      <c r="G13" s="395"/>
    </row>
    <row r="14" spans="1:9" s="367" customFormat="1" ht="13.5" hidden="1" customHeight="1">
      <c r="A14" s="405" t="s">
        <v>1017</v>
      </c>
      <c r="B14" s="391" t="s">
        <v>1006</v>
      </c>
      <c r="C14" s="387"/>
      <c r="D14" s="406"/>
      <c r="E14" s="394"/>
      <c r="F14" s="394"/>
      <c r="G14" s="395" t="s">
        <v>1018</v>
      </c>
    </row>
    <row r="15" spans="1:9" s="367" customFormat="1" ht="13.5" hidden="1" customHeight="1">
      <c r="A15" s="405" t="s">
        <v>1019</v>
      </c>
      <c r="B15" s="391" t="s">
        <v>1020</v>
      </c>
      <c r="C15" s="396"/>
      <c r="D15" s="406"/>
      <c r="E15" s="394"/>
      <c r="F15" s="394"/>
      <c r="G15" s="395" t="s">
        <v>1021</v>
      </c>
    </row>
    <row r="16" spans="1:9" s="367" customFormat="1" ht="13.5" hidden="1" customHeight="1">
      <c r="A16" s="405" t="s">
        <v>1022</v>
      </c>
      <c r="B16" s="391" t="s">
        <v>1006</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f ca="1">IF(G19="已包含在土地取得成本中","0",ROUND(D19*E19/10000,0))</f>
        <v>51</v>
      </c>
      <c r="D19" s="411">
        <f ca="1">D9+D10</f>
        <v>2541.1799999999998</v>
      </c>
      <c r="E19" s="387">
        <f>'数据-取费表'!B31</f>
        <v>200</v>
      </c>
      <c r="F19" s="412"/>
      <c r="G19" s="2343"/>
    </row>
    <row r="20" spans="1:7" s="367" customFormat="1" ht="13.5" customHeight="1">
      <c r="A20" s="385" t="s">
        <v>1030</v>
      </c>
      <c r="B20" s="386" t="s">
        <v>1031</v>
      </c>
      <c r="C20" s="413">
        <f ca="1">ROUND((C5+C19)*F20,0)</f>
        <v>1</v>
      </c>
      <c r="D20" s="413"/>
      <c r="E20" s="413"/>
      <c r="F20" s="414">
        <f>'数据-取费表'!B37</f>
        <v>0.02</v>
      </c>
      <c r="G20" s="418" t="s">
        <v>1032</v>
      </c>
    </row>
    <row r="21" spans="1:7" s="367" customFormat="1" ht="13.5" customHeight="1">
      <c r="A21" s="385" t="s">
        <v>1033</v>
      </c>
      <c r="B21" s="386" t="s">
        <v>1034</v>
      </c>
      <c r="C21" s="416">
        <f>F21</f>
        <v>0.02</v>
      </c>
      <c r="D21" s="417" t="s">
        <v>1035</v>
      </c>
      <c r="E21" s="413"/>
      <c r="F21" s="414">
        <f>'数据-取费表'!B38</f>
        <v>0.02</v>
      </c>
      <c r="G21" s="418" t="s">
        <v>1036</v>
      </c>
    </row>
    <row r="22" spans="1:7" s="367" customFormat="1" ht="13.5" customHeight="1">
      <c r="A22" s="385" t="s">
        <v>1037</v>
      </c>
      <c r="B22" s="386" t="s">
        <v>1038</v>
      </c>
      <c r="C22" s="419">
        <f ca="1">ROUND(SUM(C23:C25),0)</f>
        <v>2</v>
      </c>
      <c r="D22" s="416">
        <f ca="1">C26</f>
        <v>2.9999999999999997E-4</v>
      </c>
      <c r="E22" s="417" t="s">
        <v>1035</v>
      </c>
      <c r="F22" s="420">
        <f ca="1">'数据-取费表'!B40</f>
        <v>3.4500000000000003E-2</v>
      </c>
      <c r="G22" s="418" t="str">
        <f>IF('数据-取费表'!B22&lt;=1,"单利计息","复利计息")</f>
        <v>单利计息</v>
      </c>
    </row>
    <row r="23" spans="1:7" s="367" customFormat="1" ht="13.5" customHeight="1">
      <c r="A23" s="421" t="s">
        <v>1001</v>
      </c>
      <c r="B23" s="391" t="s">
        <v>1039</v>
      </c>
      <c r="C23" s="422">
        <f ca="1">ROUND(IF('数据-取费表'!B22&lt;=1,C5*F22*'数据-取费表'!B23,C5*(POWER((1+F22),'数据-取费表'!B23)-1)),0)</f>
        <v>0</v>
      </c>
      <c r="D23" s="423"/>
      <c r="E23" s="423"/>
      <c r="F23" s="424"/>
      <c r="G23" s="425" t="s">
        <v>1040</v>
      </c>
    </row>
    <row r="24" spans="1:7" s="367" customFormat="1" ht="13.5" customHeight="1">
      <c r="A24" s="421" t="s">
        <v>1003</v>
      </c>
      <c r="B24" s="391" t="s">
        <v>1041</v>
      </c>
      <c r="C24" s="422">
        <f ca="1">ROUND(IF('数据-取费表'!B22&lt;=1,C19*F22*('数据-取费表'!B19/2+'数据-取费表'!B21),C19*(POWER((1+F22),('数据-取费表'!B19/2+'数据-取费表'!B21))-1)),0)</f>
        <v>2</v>
      </c>
      <c r="D24" s="423"/>
      <c r="E24" s="423"/>
      <c r="F24" s="424"/>
      <c r="G24" s="425" t="s">
        <v>1042</v>
      </c>
    </row>
    <row r="25" spans="1:7" s="367" customFormat="1" ht="24">
      <c r="A25" s="421" t="s">
        <v>1005</v>
      </c>
      <c r="B25" s="391" t="s">
        <v>1043</v>
      </c>
      <c r="C25" s="422">
        <f ca="1">ROUND(IF('数据-取费表'!B22&lt;=1,C20*F22*'数据-取费表'!B23/2,C20*(POWER((1+F22),'数据-取费表'!B23/2)-1)),0)</f>
        <v>0</v>
      </c>
      <c r="D25" s="423"/>
      <c r="E25" s="426"/>
      <c r="F25" s="424"/>
      <c r="G25" s="427" t="s">
        <v>1044</v>
      </c>
    </row>
    <row r="26" spans="1:7" s="367" customFormat="1">
      <c r="A26" s="421" t="s">
        <v>1045</v>
      </c>
      <c r="B26" s="391" t="s">
        <v>1046</v>
      </c>
      <c r="C26" s="423">
        <f ca="1">ROUND(IF('数据-取费表'!B22&lt;=1,F21*F22*'数据-取费表'!B23/2,F21*(POWER((1+F22),'数据-取费表'!B23/2)-1)),4)</f>
        <v>2.9999999999999997E-4</v>
      </c>
      <c r="D26" s="423"/>
      <c r="E26" s="426"/>
      <c r="F26" s="424"/>
      <c r="G26" s="428"/>
    </row>
    <row r="27" spans="1:7" s="367" customFormat="1" ht="24.75">
      <c r="A27" s="385" t="s">
        <v>1047</v>
      </c>
      <c r="B27" s="429" t="s">
        <v>1048</v>
      </c>
      <c r="C27" s="430">
        <f ca="1">C28</f>
        <v>4</v>
      </c>
      <c r="D27" s="416">
        <f ca="1">C29</f>
        <v>1.6000000000000001E-3</v>
      </c>
      <c r="E27" s="417" t="s">
        <v>1035</v>
      </c>
      <c r="F27" s="431">
        <f ca="1">IF(B1="",'数据-取费表'!Q16,INDIRECT("'数据-取费表'!q"&amp;$G$1))</f>
        <v>0.08</v>
      </c>
      <c r="G27" s="432" t="s">
        <v>1049</v>
      </c>
    </row>
    <row r="28" spans="1:7" s="367" customFormat="1" ht="13.5" customHeight="1">
      <c r="A28" s="421" t="s">
        <v>1001</v>
      </c>
      <c r="B28" s="433" t="s">
        <v>1050</v>
      </c>
      <c r="C28" s="434">
        <f ca="1">ROUND((C5+C19+C20)*F27*'数据-取费表'!B21/'数据-取费表'!B20,0)</f>
        <v>4</v>
      </c>
      <c r="D28" s="416"/>
      <c r="E28" s="417"/>
      <c r="F28" s="431"/>
      <c r="G28" s="432"/>
    </row>
    <row r="29" spans="1:7" s="367" customFormat="1" ht="13.5" customHeight="1">
      <c r="A29" s="421" t="s">
        <v>1003</v>
      </c>
      <c r="B29" s="433" t="s">
        <v>1051</v>
      </c>
      <c r="C29" s="423">
        <f ca="1">ROUND(C21*F27*'数据-取费表'!B21/'数据-取费表'!B20,4)</f>
        <v>1.6000000000000001E-3</v>
      </c>
      <c r="D29" s="416"/>
      <c r="E29" s="417"/>
      <c r="F29" s="431"/>
      <c r="G29" s="432"/>
    </row>
    <row r="30" spans="1:7" s="367" customFormat="1" ht="13.5" customHeight="1">
      <c r="A30" s="385" t="s">
        <v>1052</v>
      </c>
      <c r="B30" s="386" t="s">
        <v>1053</v>
      </c>
      <c r="C30" s="416">
        <f>ROUND(F30/(1+'数据-取费表'!C42),4)</f>
        <v>5.2400000000000002E-2</v>
      </c>
      <c r="D30" s="417" t="s">
        <v>1035</v>
      </c>
      <c r="E30" s="426"/>
      <c r="F30" s="420">
        <f>'数据-取费表'!B41</f>
        <v>5.5E-2</v>
      </c>
      <c r="G30" s="418" t="s">
        <v>1054</v>
      </c>
    </row>
    <row r="31" spans="1:7" ht="16.5" customHeight="1">
      <c r="A31" s="435">
        <v>1</v>
      </c>
      <c r="B31" s="386" t="s">
        <v>1055</v>
      </c>
      <c r="C31" s="387">
        <f ca="1">ROUND((C5+C19+C20+C22+C27)/(1-C21-D22-D27-C30),0)</f>
        <v>63</v>
      </c>
      <c r="D31" s="436"/>
      <c r="E31" s="387"/>
      <c r="F31" s="437"/>
      <c r="G31" s="418" t="s">
        <v>1056</v>
      </c>
    </row>
    <row r="32" spans="1:7" s="366" customFormat="1" ht="15.75">
      <c r="A32" s="438" t="s">
        <v>1057</v>
      </c>
      <c r="B32" s="439"/>
      <c r="C32" s="439"/>
      <c r="D32" s="439"/>
      <c r="E32" s="439"/>
      <c r="F32" s="439"/>
      <c r="G32" s="440"/>
    </row>
    <row r="33" spans="1:7" s="367" customFormat="1" ht="13.5" customHeight="1">
      <c r="A33" s="385" t="s">
        <v>997</v>
      </c>
      <c r="B33" s="386" t="s">
        <v>1058</v>
      </c>
      <c r="C33" s="441">
        <f ca="1">SUM(C34:C38)</f>
        <v>772</v>
      </c>
      <c r="D33" s="413"/>
      <c r="E33" s="388"/>
      <c r="F33" s="426"/>
      <c r="G33" s="418"/>
    </row>
    <row r="34" spans="1:7" s="369" customFormat="1" ht="13.5" customHeight="1">
      <c r="A34" s="421" t="s">
        <v>1001</v>
      </c>
      <c r="B34" s="391" t="s">
        <v>1059</v>
      </c>
      <c r="C34" s="396">
        <f ca="1">IF(B1="",IF(F34=100%,'数据-取费表'!M16,'数据-取费表'!O16),IF(F34=100%,INDIRECT("'数据-取费表'!m"&amp;$G$1)+INDIRECT("'数据-取费表'!t"&amp;$G$1),INDIRECT("'数据-取费表'!o"&amp;$G$1)+INDIRECT("'数据-取费表'!aq"&amp;$G$1)))</f>
        <v>686</v>
      </c>
      <c r="D34" s="393"/>
      <c r="E34" s="396"/>
      <c r="F34" s="442">
        <f ca="1">IF('数据-取费表'!B24=0,1,IF(B1="",'数据-取费表'!N16,INDIRECT("'数据-取费表'!n"&amp;$G$1)))</f>
        <v>1</v>
      </c>
      <c r="G34" s="395" t="s">
        <v>1060</v>
      </c>
    </row>
    <row r="35" spans="1:7" ht="13.5" customHeight="1">
      <c r="A35" s="421" t="s">
        <v>1003</v>
      </c>
      <c r="B35" s="391" t="s">
        <v>1061</v>
      </c>
      <c r="C35" s="396">
        <f ca="1">ROUND(C34*F35,0)</f>
        <v>21</v>
      </c>
      <c r="D35" s="396"/>
      <c r="E35" s="396"/>
      <c r="F35" s="443">
        <f>'数据-取费表'!B33</f>
        <v>0.03</v>
      </c>
      <c r="G35" s="395" t="s">
        <v>1062</v>
      </c>
    </row>
    <row r="36" spans="1:7" ht="24">
      <c r="A36" s="421" t="s">
        <v>1005</v>
      </c>
      <c r="B36" s="391" t="s">
        <v>1063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1064</v>
      </c>
    </row>
    <row r="37" spans="1:7" s="369" customFormat="1" ht="13.5" customHeight="1">
      <c r="A37" s="421" t="s">
        <v>1045</v>
      </c>
      <c r="B37" s="391" t="s">
        <v>1065</v>
      </c>
      <c r="C37" s="434">
        <f ca="1">ROUND(E37*D37*F34/10000,0)</f>
        <v>51</v>
      </c>
      <c r="D37" s="393">
        <f ca="1">D19</f>
        <v>2541.1799999999998</v>
      </c>
      <c r="E37" s="434">
        <f>'数据-取费表'!B35</f>
        <v>200</v>
      </c>
      <c r="F37" s="443"/>
      <c r="G37" s="445" t="s">
        <v>1066</v>
      </c>
    </row>
    <row r="38" spans="1:7" ht="13.5" customHeight="1">
      <c r="A38" s="421" t="s">
        <v>1067</v>
      </c>
      <c r="B38" s="391" t="s">
        <v>933</v>
      </c>
      <c r="C38" s="396">
        <f ca="1">ROUND(C34*F38,0)</f>
        <v>14</v>
      </c>
      <c r="D38" s="396"/>
      <c r="E38" s="396"/>
      <c r="F38" s="443">
        <f>'数据-取费表'!B36</f>
        <v>0.02</v>
      </c>
      <c r="G38" s="395" t="s">
        <v>1062</v>
      </c>
    </row>
    <row r="39" spans="1:7" s="367" customFormat="1" ht="13.5" customHeight="1">
      <c r="A39" s="385" t="s">
        <v>1028</v>
      </c>
      <c r="B39" s="386" t="s">
        <v>1031</v>
      </c>
      <c r="C39" s="413">
        <f ca="1">ROUND(C33*F20,0)</f>
        <v>15</v>
      </c>
      <c r="D39" s="413"/>
      <c r="E39" s="413"/>
      <c r="F39" s="414">
        <f>F20</f>
        <v>0.02</v>
      </c>
      <c r="G39" s="418" t="s">
        <v>1068</v>
      </c>
    </row>
    <row r="40" spans="1:7" s="367" customFormat="1" ht="13.5" customHeight="1">
      <c r="A40" s="385" t="s">
        <v>1030</v>
      </c>
      <c r="B40" s="386" t="s">
        <v>1034</v>
      </c>
      <c r="C40" s="2346">
        <f>F21</f>
        <v>0.02</v>
      </c>
      <c r="D40" s="417" t="s">
        <v>1069</v>
      </c>
      <c r="E40" s="413"/>
      <c r="F40" s="414">
        <f>F21</f>
        <v>0.02</v>
      </c>
      <c r="G40" s="418" t="s">
        <v>1070</v>
      </c>
    </row>
    <row r="41" spans="1:7" s="367" customFormat="1" ht="13.5" customHeight="1">
      <c r="A41" s="385" t="s">
        <v>1033</v>
      </c>
      <c r="B41" s="386" t="s">
        <v>1038</v>
      </c>
      <c r="C41" s="413">
        <f ca="1">ROUND(SUM(C42:C43),0)</f>
        <v>13</v>
      </c>
      <c r="D41" s="416">
        <f ca="1">C44</f>
        <v>2.9999999999999997E-4</v>
      </c>
      <c r="E41" s="417" t="s">
        <v>1069</v>
      </c>
      <c r="F41" s="420">
        <f ca="1">F22</f>
        <v>3.4500000000000003E-2</v>
      </c>
      <c r="G41" s="418" t="str">
        <f>IF('数据-取费表'!B22&lt;=1,"单利计息","复利计息")</f>
        <v>单利计息</v>
      </c>
    </row>
    <row r="42" spans="1:7" ht="13.5" customHeight="1">
      <c r="A42" s="421" t="s">
        <v>1001</v>
      </c>
      <c r="B42" s="391" t="s">
        <v>1039</v>
      </c>
      <c r="C42" s="423">
        <f ca="1">ROUND(IF('数据-取费表'!B22&lt;=1,C33*F22*'数据-取费表'!B21/2,C33*(POWER((1+F22),'数据-取费表'!B21/2)-1)),0)</f>
        <v>13</v>
      </c>
      <c r="D42" s="423"/>
      <c r="E42" s="423"/>
      <c r="F42" s="424"/>
      <c r="G42" s="3616" t="s">
        <v>1071</v>
      </c>
    </row>
    <row r="43" spans="1:7" ht="13.5" customHeight="1">
      <c r="A43" s="421" t="s">
        <v>1003</v>
      </c>
      <c r="B43" s="391" t="s">
        <v>1041</v>
      </c>
      <c r="C43" s="423">
        <f ca="1">ROUND(IF('数据-取费表'!B22&lt;=1,C39*F22*'数据-取费表'!B21/2,C39*(POWER((1+F22),'数据-取费表'!B21/2)-1)),0)</f>
        <v>0</v>
      </c>
      <c r="D43" s="423"/>
      <c r="E43" s="423"/>
      <c r="F43" s="424"/>
      <c r="G43" s="3617"/>
    </row>
    <row r="44" spans="1:7" ht="13.5" customHeight="1">
      <c r="A44" s="421" t="s">
        <v>1005</v>
      </c>
      <c r="B44" s="391" t="s">
        <v>1043</v>
      </c>
      <c r="C44" s="423">
        <f ca="1">ROUND(IF('数据-取费表'!B22&lt;=1,C40*F22*'数据-取费表'!B21/2,C40*(POWER((1+F22),'数据-取费表'!B21/2)-1)),4)</f>
        <v>2.9999999999999997E-4</v>
      </c>
      <c r="D44" s="423"/>
      <c r="E44" s="423"/>
      <c r="F44" s="424"/>
      <c r="G44" s="3618"/>
    </row>
    <row r="45" spans="1:7" s="367" customFormat="1" ht="13.5" customHeight="1">
      <c r="A45" s="385" t="s">
        <v>1037</v>
      </c>
      <c r="B45" s="429" t="s">
        <v>1048</v>
      </c>
      <c r="C45" s="430">
        <f ca="1">C46</f>
        <v>63</v>
      </c>
      <c r="D45" s="416">
        <f ca="1">C47</f>
        <v>1.6000000000000001E-3</v>
      </c>
      <c r="E45" s="417" t="s">
        <v>1069</v>
      </c>
      <c r="F45" s="431">
        <f ca="1">F27</f>
        <v>0.08</v>
      </c>
      <c r="G45" s="432" t="s">
        <v>1072</v>
      </c>
    </row>
    <row r="46" spans="1:7" s="367" customFormat="1" ht="13.5" customHeight="1">
      <c r="A46" s="421" t="s">
        <v>1001</v>
      </c>
      <c r="B46" s="433" t="s">
        <v>1073</v>
      </c>
      <c r="C46" s="434">
        <f ca="1">ROUND((C33+C39)*F27,0)</f>
        <v>63</v>
      </c>
      <c r="D46" s="447"/>
      <c r="E46" s="417"/>
      <c r="F46" s="431"/>
      <c r="G46" s="432"/>
    </row>
    <row r="47" spans="1:7" s="367" customFormat="1" ht="13.5" customHeight="1">
      <c r="A47" s="421" t="s">
        <v>1003</v>
      </c>
      <c r="B47" s="433" t="s">
        <v>1074</v>
      </c>
      <c r="C47" s="423">
        <f ca="1">ROUND(C40*F27,4)</f>
        <v>1.6000000000000001E-3</v>
      </c>
      <c r="D47" s="447"/>
      <c r="E47" s="417"/>
      <c r="F47" s="431"/>
      <c r="G47" s="432"/>
    </row>
    <row r="48" spans="1:7" s="367" customFormat="1" ht="13.5" customHeight="1">
      <c r="A48" s="385" t="s">
        <v>1047</v>
      </c>
      <c r="B48" s="386" t="s">
        <v>1053</v>
      </c>
      <c r="C48" s="2346">
        <f>ROUND(F30/(1+'数据-取费表'!C42),4)</f>
        <v>5.2400000000000002E-2</v>
      </c>
      <c r="D48" s="417" t="s">
        <v>1069</v>
      </c>
      <c r="E48" s="413"/>
      <c r="F48" s="420">
        <f>F30</f>
        <v>5.5E-2</v>
      </c>
      <c r="G48" s="418" t="s">
        <v>1075</v>
      </c>
    </row>
    <row r="49" spans="1:7" ht="16.5" customHeight="1">
      <c r="A49" s="385" t="s">
        <v>1052</v>
      </c>
      <c r="B49" s="386" t="s">
        <v>1076</v>
      </c>
      <c r="C49" s="413">
        <f ca="1">ROUND((C33+C39+C41+C45)/(1-C40-D41-D45-C48),0)</f>
        <v>932</v>
      </c>
      <c r="D49" s="413"/>
      <c r="E49" s="413"/>
      <c r="F49" s="448"/>
      <c r="G49" s="418" t="s">
        <v>1077</v>
      </c>
    </row>
    <row r="50" spans="1:7" s="369" customFormat="1" ht="24">
      <c r="A50" s="385" t="s">
        <v>1078</v>
      </c>
      <c r="B50" s="386" t="s">
        <v>1079</v>
      </c>
      <c r="C50" s="413"/>
      <c r="D50" s="413"/>
      <c r="E50" s="413"/>
      <c r="F50" s="448">
        <f>IF('数据-取费表'!B24=0,'数据-取费表'!N16,1)</f>
        <v>0.6</v>
      </c>
      <c r="G50" s="432" t="s">
        <v>1080</v>
      </c>
    </row>
    <row r="51" spans="1:7" ht="16.5" customHeight="1">
      <c r="A51" s="385" t="s">
        <v>1081</v>
      </c>
      <c r="B51" s="386" t="s">
        <v>1082</v>
      </c>
      <c r="C51" s="413">
        <f ca="1">ROUND(C49*F50,0)</f>
        <v>559</v>
      </c>
      <c r="D51" s="413"/>
      <c r="E51" s="413"/>
      <c r="F51" s="448"/>
      <c r="G51" s="418" t="s">
        <v>1083</v>
      </c>
    </row>
    <row r="52" spans="1:7" s="366" customFormat="1" ht="15.75">
      <c r="A52" s="449" t="s">
        <v>1084</v>
      </c>
      <c r="B52" s="450"/>
      <c r="C52" s="451">
        <f ca="1">C31+C51</f>
        <v>622</v>
      </c>
      <c r="D52" s="450"/>
      <c r="E52" s="450"/>
      <c r="F52" s="450"/>
      <c r="G52" s="452"/>
    </row>
    <row r="55" spans="1:7" ht="15">
      <c r="B55" s="453" t="s">
        <v>1085</v>
      </c>
      <c r="C55" s="454"/>
    </row>
    <row r="56" spans="1:7">
      <c r="B56" s="455" t="s">
        <v>1086</v>
      </c>
      <c r="C56" s="457">
        <f ca="1">1-C57</f>
        <v>0.10099999999999998</v>
      </c>
    </row>
    <row r="57" spans="1:7">
      <c r="B57" s="455" t="s">
        <v>1087</v>
      </c>
      <c r="C57" s="456">
        <f ca="1">ROUND(C51/C52,3)</f>
        <v>0.89900000000000002</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8" sqref="H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991</v>
      </c>
      <c r="B1" s="2335" t="s">
        <v>601</v>
      </c>
      <c r="C1" s="2336" t="s">
        <v>1088</v>
      </c>
      <c r="D1" s="375"/>
      <c r="E1" s="375"/>
      <c r="F1" s="375"/>
      <c r="G1" s="2337">
        <f>MATCH(B1,'数据-取费表'!A6:A16,0)+5</f>
        <v>6</v>
      </c>
      <c r="H1" s="1703" t="str">
        <f>IF(ISERROR(FIND("住宅",B1)),"非住宅","住宅")</f>
        <v>非住宅</v>
      </c>
    </row>
    <row r="2" spans="1:8" s="365" customFormat="1" ht="18" customHeight="1">
      <c r="A2" s="377" t="s">
        <v>992</v>
      </c>
      <c r="B2" s="2338">
        <f ca="1">ROUND(IF(D2="——",C52/10000,C52/10000-E2),4)</f>
        <v>1029.4888000000001</v>
      </c>
      <c r="C2" s="376" t="s">
        <v>993</v>
      </c>
      <c r="D2" s="2339" t="s">
        <v>124</v>
      </c>
      <c r="E2" s="2340" t="e">
        <f ca="1">SUMIF(INDIRECT("'"&amp;G2&amp;"'"&amp;"!A:A"),"承租人权益价值",INDIRECT("'"&amp;G2&amp;"'"&amp;"!c:c"))</f>
        <v>#REF!</v>
      </c>
      <c r="F2" s="2341" t="s">
        <v>993</v>
      </c>
      <c r="G2" s="2342"/>
    </row>
    <row r="3" spans="1:8" s="365" customFormat="1" ht="18" customHeight="1">
      <c r="A3" s="380" t="s">
        <v>994</v>
      </c>
      <c r="B3" s="381">
        <f ca="1">ROUND(B2*10000/(IF(B1="",'数据-汇总表'!E3,INDIRECT("'数据-取费表'!k"&amp;$G$1))),0)</f>
        <v>4051</v>
      </c>
      <c r="C3" s="376" t="s">
        <v>995</v>
      </c>
      <c r="D3" s="376"/>
      <c r="E3" s="376"/>
      <c r="F3" s="376"/>
      <c r="G3" s="376"/>
    </row>
    <row r="4" spans="1:8" s="366" customFormat="1" ht="15.75">
      <c r="A4" s="382" t="s">
        <v>996</v>
      </c>
      <c r="B4" s="383"/>
      <c r="C4" s="383"/>
      <c r="D4" s="383"/>
      <c r="E4" s="383"/>
      <c r="F4" s="383"/>
      <c r="G4" s="384"/>
    </row>
    <row r="5" spans="1:8" s="367" customFormat="1" ht="13.5" customHeight="1">
      <c r="A5" s="385" t="s">
        <v>997</v>
      </c>
      <c r="B5" s="386" t="s">
        <v>998</v>
      </c>
      <c r="C5" s="387">
        <f ca="1">C6+C7+C8</f>
        <v>3828531.1</v>
      </c>
      <c r="D5" s="387" t="s">
        <v>999</v>
      </c>
      <c r="E5" s="388" t="s">
        <v>1000</v>
      </c>
      <c r="F5" s="388" t="s">
        <v>897</v>
      </c>
      <c r="G5" s="389"/>
    </row>
    <row r="6" spans="1:8" s="367" customFormat="1" ht="13.5" customHeight="1">
      <c r="A6" s="390" t="s">
        <v>1001</v>
      </c>
      <c r="B6" s="391" t="s">
        <v>1002</v>
      </c>
      <c r="C6" s="392">
        <f>基准地价修正!D33*基准地价修正!C33+基准地价修正!D41*基准地价修正!C41</f>
        <v>3222023.1</v>
      </c>
      <c r="D6" s="393"/>
      <c r="E6" s="394"/>
      <c r="F6" s="394"/>
      <c r="G6" s="395"/>
    </row>
    <row r="7" spans="1:8" s="367" customFormat="1" ht="13.5" customHeight="1">
      <c r="A7" s="390" t="s">
        <v>1003</v>
      </c>
      <c r="B7" s="391" t="s">
        <v>1004</v>
      </c>
      <c r="C7" s="396">
        <f>ROUND(C6*F7,0)</f>
        <v>98272</v>
      </c>
      <c r="D7" s="396"/>
      <c r="E7" s="394"/>
      <c r="F7" s="397">
        <f>IF(项目基本情况!B8="出让",0,'数据-取费表'!B48+'数据-取费表'!B49)</f>
        <v>3.0499999999999999E-2</v>
      </c>
      <c r="G7" s="395"/>
    </row>
    <row r="8" spans="1:8" s="368" customFormat="1">
      <c r="A8" s="390" t="s">
        <v>1005</v>
      </c>
      <c r="B8" s="391" t="s">
        <v>1006</v>
      </c>
      <c r="C8" s="396">
        <f ca="1">IF(G8="已包含在土地购买价格中",0,C9+C10)</f>
        <v>508236</v>
      </c>
      <c r="D8" s="398"/>
      <c r="E8" s="396"/>
      <c r="F8" s="397"/>
      <c r="G8" s="2343" t="s">
        <v>1089</v>
      </c>
    </row>
    <row r="9" spans="1:8" s="367" customFormat="1" ht="13.5" customHeight="1">
      <c r="A9" s="400" t="s">
        <v>1007</v>
      </c>
      <c r="B9" s="401" t="s">
        <v>1008</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1010</v>
      </c>
      <c r="B10" s="401" t="s">
        <v>1011</v>
      </c>
      <c r="C10" s="402">
        <f ca="1">ROUND(D10*E10,0)</f>
        <v>508236</v>
      </c>
      <c r="D10" s="403">
        <f ca="1">IF(B1="",'数据-汇总表'!E6,IF(INDIRECT("'数据-取费表'!c"&amp;$G$1)="住宅",INDIRECT("'数据-取费表'!s"&amp;$G$1),INDIRECT("'数据-取费表'!k"&amp;$G$1)+INDIRECT("'数据-取费表'!s"&amp;$G$1)))</f>
        <v>2541.1799999999998</v>
      </c>
      <c r="E10" s="402">
        <f>'数据-取费表'!B28</f>
        <v>200</v>
      </c>
      <c r="F10" s="397"/>
      <c r="G10" s="404"/>
    </row>
    <row r="11" spans="1:8" s="367" customFormat="1" ht="13.5" hidden="1" customHeight="1">
      <c r="A11" s="405" t="s">
        <v>1012</v>
      </c>
      <c r="B11" s="391" t="s">
        <v>1013</v>
      </c>
      <c r="C11" s="387"/>
      <c r="D11" s="406"/>
      <c r="E11" s="394"/>
      <c r="F11" s="394"/>
      <c r="G11" s="395"/>
    </row>
    <row r="12" spans="1:8" s="367" customFormat="1" ht="13.5" hidden="1" customHeight="1">
      <c r="A12" s="405" t="s">
        <v>1014</v>
      </c>
      <c r="B12" s="391" t="s">
        <v>933</v>
      </c>
      <c r="C12" s="387">
        <v>0</v>
      </c>
      <c r="D12" s="406"/>
      <c r="E12" s="407"/>
      <c r="F12" s="397">
        <v>3.0499999999999999E-2</v>
      </c>
      <c r="G12" s="395"/>
    </row>
    <row r="13" spans="1:8" s="367" customFormat="1" ht="13.5" hidden="1" customHeight="1">
      <c r="A13" s="405" t="s">
        <v>1015</v>
      </c>
      <c r="B13" s="391" t="s">
        <v>1016</v>
      </c>
      <c r="C13" s="387"/>
      <c r="D13" s="406"/>
      <c r="E13" s="394"/>
      <c r="F13" s="394"/>
      <c r="G13" s="395"/>
    </row>
    <row r="14" spans="1:8" s="367" customFormat="1" ht="13.5" hidden="1" customHeight="1">
      <c r="A14" s="405" t="s">
        <v>1017</v>
      </c>
      <c r="B14" s="391" t="s">
        <v>1006</v>
      </c>
      <c r="C14" s="387"/>
      <c r="D14" s="406"/>
      <c r="E14" s="394"/>
      <c r="F14" s="394"/>
      <c r="G14" s="395" t="s">
        <v>1018</v>
      </c>
    </row>
    <row r="15" spans="1:8" s="367" customFormat="1" ht="13.5" hidden="1" customHeight="1">
      <c r="A15" s="405" t="s">
        <v>1019</v>
      </c>
      <c r="B15" s="391" t="s">
        <v>1020</v>
      </c>
      <c r="C15" s="396"/>
      <c r="D15" s="406"/>
      <c r="E15" s="394"/>
      <c r="F15" s="394"/>
      <c r="G15" s="395" t="s">
        <v>1021</v>
      </c>
    </row>
    <row r="16" spans="1:8" s="367" customFormat="1" ht="13.5" hidden="1" customHeight="1">
      <c r="A16" s="405" t="s">
        <v>1022</v>
      </c>
      <c r="B16" s="391" t="s">
        <v>1006</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t="str">
        <f>IF(G19="已包含在土地取得成本中","0",ROUND(D19*E19,0))</f>
        <v>0</v>
      </c>
      <c r="D19" s="411">
        <f ca="1">D9+D10</f>
        <v>2541.1799999999998</v>
      </c>
      <c r="E19" s="387">
        <f>'数据-取费表'!B31</f>
        <v>200</v>
      </c>
      <c r="F19" s="412"/>
      <c r="G19" s="2343" t="s">
        <v>1090</v>
      </c>
    </row>
    <row r="20" spans="1:7" s="367" customFormat="1" ht="13.5" customHeight="1">
      <c r="A20" s="385" t="s">
        <v>1030</v>
      </c>
      <c r="B20" s="386" t="s">
        <v>1031</v>
      </c>
      <c r="C20" s="413">
        <f ca="1">ROUND((C5+C19)*F20,0)</f>
        <v>76571</v>
      </c>
      <c r="D20" s="413"/>
      <c r="E20" s="413"/>
      <c r="F20" s="414">
        <f>'数据-取费表'!B37</f>
        <v>0.02</v>
      </c>
      <c r="G20" s="418" t="s">
        <v>1032</v>
      </c>
    </row>
    <row r="21" spans="1:7" s="367" customFormat="1" ht="13.5" customHeight="1">
      <c r="A21" s="385" t="s">
        <v>1033</v>
      </c>
      <c r="B21" s="386" t="s">
        <v>1034</v>
      </c>
      <c r="C21" s="416">
        <f>F21</f>
        <v>0.02</v>
      </c>
      <c r="D21" s="417" t="s">
        <v>1035</v>
      </c>
      <c r="E21" s="413"/>
      <c r="F21" s="414">
        <f>'数据-取费表'!B38</f>
        <v>0.02</v>
      </c>
      <c r="G21" s="418" t="s">
        <v>1036</v>
      </c>
    </row>
    <row r="22" spans="1:7" s="367" customFormat="1" ht="13.5" customHeight="1">
      <c r="A22" s="385" t="s">
        <v>1037</v>
      </c>
      <c r="B22" s="386" t="s">
        <v>1038</v>
      </c>
      <c r="C22" s="2344">
        <f ca="1">ROUND(SUM(C23:C25),0)</f>
        <v>133405</v>
      </c>
      <c r="D22" s="416">
        <f ca="1">C26</f>
        <v>2.9999999999999997E-4</v>
      </c>
      <c r="E22" s="417" t="s">
        <v>1035</v>
      </c>
      <c r="F22" s="420">
        <f ca="1">'数据-取费表'!B40</f>
        <v>3.4500000000000003E-2</v>
      </c>
      <c r="G22" s="418" t="str">
        <f>IF('数据-取费表'!B22&lt;=1,"单利计息","复利计息")</f>
        <v>单利计息</v>
      </c>
    </row>
    <row r="23" spans="1:7" s="367" customFormat="1" ht="13.5" customHeight="1">
      <c r="A23" s="421" t="s">
        <v>1001</v>
      </c>
      <c r="B23" s="391" t="s">
        <v>1039</v>
      </c>
      <c r="C23" s="2345">
        <f ca="1">ROUND(IF('数据-取费表'!B22&lt;=1,C5*F22*'数据-取费表'!B22,C5*(POWER((1+F22),'数据-取费表'!B22)-1)),0)</f>
        <v>132084</v>
      </c>
      <c r="D23" s="423"/>
      <c r="E23" s="423"/>
      <c r="F23" s="424"/>
      <c r="G23" s="425" t="s">
        <v>1040</v>
      </c>
    </row>
    <row r="24" spans="1:7" s="367" customFormat="1" ht="13.5" customHeight="1">
      <c r="A24" s="421" t="s">
        <v>1003</v>
      </c>
      <c r="B24" s="391" t="s">
        <v>1041</v>
      </c>
      <c r="C24" s="2345">
        <f ca="1">ROUND(IF('数据-取费表'!B22&lt;=1,C19*F22*('数据-取费表'!B19/2+'数据-取费表'!B20),C19*(POWER((1+F22),('数据-取费表'!B19/2+'数据-取费表'!B20))-1)),0)</f>
        <v>0</v>
      </c>
      <c r="D24" s="423"/>
      <c r="E24" s="423"/>
      <c r="F24" s="424"/>
      <c r="G24" s="425" t="s">
        <v>1042</v>
      </c>
    </row>
    <row r="25" spans="1:7" s="367" customFormat="1" ht="24">
      <c r="A25" s="421" t="s">
        <v>1005</v>
      </c>
      <c r="B25" s="391" t="s">
        <v>1043</v>
      </c>
      <c r="C25" s="2345">
        <f ca="1">ROUND(IF('数据-取费表'!B22&lt;=1,C20*F22*'数据-取费表'!B22/2,C20*(POWER((1+F22),'数据-取费表'!B22/2)-1)),0)</f>
        <v>1321</v>
      </c>
      <c r="D25" s="423"/>
      <c r="E25" s="426"/>
      <c r="F25" s="424"/>
      <c r="G25" s="427" t="s">
        <v>1044</v>
      </c>
    </row>
    <row r="26" spans="1:7" s="367" customFormat="1">
      <c r="A26" s="421" t="s">
        <v>1045</v>
      </c>
      <c r="B26" s="391" t="s">
        <v>1046</v>
      </c>
      <c r="C26" s="423">
        <f ca="1">ROUND(IF('数据-取费表'!B22&lt;=1,F21*F22*'数据-取费表'!B22/2,F21*(POWER((1+F22),'数据-取费表'!B22/2)-1)),4)</f>
        <v>2.9999999999999997E-4</v>
      </c>
      <c r="D26" s="423"/>
      <c r="E26" s="426"/>
      <c r="F26" s="424"/>
      <c r="G26" s="428"/>
    </row>
    <row r="27" spans="1:7" s="367" customFormat="1" ht="24.75">
      <c r="A27" s="385" t="s">
        <v>1047</v>
      </c>
      <c r="B27" s="429" t="s">
        <v>1048</v>
      </c>
      <c r="C27" s="430">
        <f ca="1">C28</f>
        <v>312408</v>
      </c>
      <c r="D27" s="416">
        <f ca="1">C29</f>
        <v>1.6000000000000001E-3</v>
      </c>
      <c r="E27" s="417" t="s">
        <v>1035</v>
      </c>
      <c r="F27" s="431">
        <f ca="1">IF(B1="",'数据-取费表'!Q16,INDIRECT("'数据-取费表'!q"&amp;$G$1))</f>
        <v>0.08</v>
      </c>
      <c r="G27" s="432" t="s">
        <v>1049</v>
      </c>
    </row>
    <row r="28" spans="1:7" s="367" customFormat="1" ht="13.5" customHeight="1">
      <c r="A28" s="421" t="s">
        <v>1001</v>
      </c>
      <c r="B28" s="433" t="s">
        <v>1050</v>
      </c>
      <c r="C28" s="434">
        <f ca="1">ROUND((C5+C19+C20)*F27,0)</f>
        <v>312408</v>
      </c>
      <c r="D28" s="416"/>
      <c r="E28" s="417"/>
      <c r="F28" s="431"/>
      <c r="G28" s="432"/>
    </row>
    <row r="29" spans="1:7" s="367" customFormat="1" ht="13.5" customHeight="1">
      <c r="A29" s="421" t="s">
        <v>1003</v>
      </c>
      <c r="B29" s="433" t="s">
        <v>1051</v>
      </c>
      <c r="C29" s="423">
        <f ca="1">ROUND(C21*F27,4)</f>
        <v>1.6000000000000001E-3</v>
      </c>
      <c r="D29" s="416"/>
      <c r="E29" s="417"/>
      <c r="F29" s="431"/>
      <c r="G29" s="432"/>
    </row>
    <row r="30" spans="1:7" s="367" customFormat="1" ht="13.5" customHeight="1">
      <c r="A30" s="385" t="s">
        <v>1052</v>
      </c>
      <c r="B30" s="386" t="s">
        <v>1053</v>
      </c>
      <c r="C30" s="416">
        <f>ROUND(F30/(1+'数据-取费表'!C42),4)</f>
        <v>5.2400000000000002E-2</v>
      </c>
      <c r="D30" s="417" t="s">
        <v>1035</v>
      </c>
      <c r="E30" s="426"/>
      <c r="F30" s="420">
        <f>'数据-取费表'!B41</f>
        <v>5.5E-2</v>
      </c>
      <c r="G30" s="418" t="s">
        <v>1054</v>
      </c>
    </row>
    <row r="31" spans="1:7" ht="16.5" customHeight="1">
      <c r="A31" s="435">
        <v>1</v>
      </c>
      <c r="B31" s="386" t="s">
        <v>1055</v>
      </c>
      <c r="C31" s="387">
        <f ca="1">ROUND((C5+C19+C20+C22+C27)/(1-C21-D22-D27-C30),0)</f>
        <v>4700135</v>
      </c>
      <c r="D31" s="436"/>
      <c r="E31" s="387"/>
      <c r="F31" s="437"/>
      <c r="G31" s="418" t="s">
        <v>1056</v>
      </c>
    </row>
    <row r="32" spans="1:7" s="366" customFormat="1" ht="15.75">
      <c r="A32" s="438" t="s">
        <v>1091</v>
      </c>
      <c r="B32" s="439"/>
      <c r="C32" s="439"/>
      <c r="D32" s="439"/>
      <c r="E32" s="439"/>
      <c r="F32" s="439"/>
      <c r="G32" s="440"/>
    </row>
    <row r="33" spans="1:7" s="367" customFormat="1" ht="13.5" customHeight="1">
      <c r="A33" s="385" t="s">
        <v>997</v>
      </c>
      <c r="B33" s="386" t="s">
        <v>1092</v>
      </c>
      <c r="C33" s="441">
        <f ca="1">SUM(C34:C38)</f>
        <v>7712482</v>
      </c>
      <c r="D33" s="413"/>
      <c r="E33" s="388"/>
      <c r="F33" s="426"/>
      <c r="G33" s="418"/>
    </row>
    <row r="34" spans="1:7" s="369" customFormat="1" ht="13.5" customHeight="1">
      <c r="A34" s="421" t="s">
        <v>1001</v>
      </c>
      <c r="B34" s="391" t="s">
        <v>1059</v>
      </c>
      <c r="C34" s="396">
        <f ca="1">ROUND(IF(B1="",SUMPRODUCT('数据-取费表'!K6:K14,'数据-取费表'!L6:L14),INDIRECT("'数据-取费表'!l"&amp;$G$1)*INDIRECT("'数据-取费表'!k"&amp;$G$1)+'数据-取费表'!L14*INDIRECT("'数据-取费表'!S"&amp;$G$1)),0)</f>
        <v>6861186</v>
      </c>
      <c r="D34" s="393"/>
      <c r="E34" s="396"/>
      <c r="F34" s="442"/>
      <c r="G34" s="395"/>
    </row>
    <row r="35" spans="1:7" ht="13.5" customHeight="1">
      <c r="A35" s="421" t="s">
        <v>1003</v>
      </c>
      <c r="B35" s="391" t="s">
        <v>1061</v>
      </c>
      <c r="C35" s="396">
        <f ca="1">ROUND(C34*F35,0)</f>
        <v>205836</v>
      </c>
      <c r="D35" s="396"/>
      <c r="E35" s="396"/>
      <c r="F35" s="443">
        <f>'数据-取费表'!B33</f>
        <v>0.03</v>
      </c>
      <c r="G35" s="395" t="s">
        <v>1062</v>
      </c>
    </row>
    <row r="36" spans="1:7" ht="24">
      <c r="A36" s="421" t="s">
        <v>1005</v>
      </c>
      <c r="B36" s="391" t="s">
        <v>1063</v>
      </c>
      <c r="C36" s="396">
        <f ca="1">ROUND(IF(B1="",SUM('数据-取费表'!AP6:AP13)*F36,IF(INDIRECT("'数据-取费表'!c"&amp;$G$1)="住宅",INDIRECT("'数据-取费表'!k"&amp;$G$1)*INDIRECT("'数据-取费表'!l"&amp;$G$1)*F36,0)),0)</f>
        <v>0</v>
      </c>
      <c r="D36" s="396"/>
      <c r="E36" s="396"/>
      <c r="F36" s="443">
        <f>'数据-取费表'!B34</f>
        <v>0</v>
      </c>
      <c r="G36" s="444" t="s">
        <v>1064</v>
      </c>
    </row>
    <row r="37" spans="1:7" s="369" customFormat="1" ht="13.5" customHeight="1">
      <c r="A37" s="421" t="s">
        <v>1045</v>
      </c>
      <c r="B37" s="391" t="s">
        <v>1065</v>
      </c>
      <c r="C37" s="434">
        <f ca="1">ROUND(E37*D37,0)</f>
        <v>508236</v>
      </c>
      <c r="D37" s="393">
        <f ca="1">D19</f>
        <v>2541.1799999999998</v>
      </c>
      <c r="E37" s="434">
        <f>'数据-取费表'!B35</f>
        <v>200</v>
      </c>
      <c r="F37" s="443"/>
      <c r="G37" s="445"/>
    </row>
    <row r="38" spans="1:7" ht="13.5" customHeight="1">
      <c r="A38" s="421" t="s">
        <v>1067</v>
      </c>
      <c r="B38" s="391" t="s">
        <v>933</v>
      </c>
      <c r="C38" s="396">
        <f ca="1">ROUND(C34*F38,0)</f>
        <v>137224</v>
      </c>
      <c r="D38" s="396"/>
      <c r="E38" s="396"/>
      <c r="F38" s="443">
        <f>'数据-取费表'!B36</f>
        <v>0.02</v>
      </c>
      <c r="G38" s="395" t="s">
        <v>1062</v>
      </c>
    </row>
    <row r="39" spans="1:7" s="367" customFormat="1" ht="13.5" customHeight="1">
      <c r="A39" s="385" t="s">
        <v>1028</v>
      </c>
      <c r="B39" s="386" t="s">
        <v>1031</v>
      </c>
      <c r="C39" s="413">
        <f ca="1">ROUND(C33*F20,0)</f>
        <v>154250</v>
      </c>
      <c r="D39" s="413"/>
      <c r="E39" s="413"/>
      <c r="F39" s="414">
        <f>F20</f>
        <v>0.02</v>
      </c>
      <c r="G39" s="418" t="s">
        <v>1068</v>
      </c>
    </row>
    <row r="40" spans="1:7" s="367" customFormat="1" ht="13.5" customHeight="1">
      <c r="A40" s="385" t="s">
        <v>1030</v>
      </c>
      <c r="B40" s="386" t="s">
        <v>1034</v>
      </c>
      <c r="C40" s="2346">
        <f>F21</f>
        <v>0.02</v>
      </c>
      <c r="D40" s="417" t="s">
        <v>1069</v>
      </c>
      <c r="E40" s="413"/>
      <c r="F40" s="414">
        <f>F21</f>
        <v>0.02</v>
      </c>
      <c r="G40" s="418" t="s">
        <v>1070</v>
      </c>
    </row>
    <row r="41" spans="1:7" s="367" customFormat="1" ht="13.5" customHeight="1">
      <c r="A41" s="385" t="s">
        <v>1033</v>
      </c>
      <c r="B41" s="386" t="s">
        <v>1038</v>
      </c>
      <c r="C41" s="413">
        <f ca="1">ROUND(SUM(C42:C43),0)</f>
        <v>135701</v>
      </c>
      <c r="D41" s="416">
        <f ca="1">C44</f>
        <v>2.9999999999999997E-4</v>
      </c>
      <c r="E41" s="417" t="s">
        <v>1069</v>
      </c>
      <c r="F41" s="420">
        <f ca="1">F22</f>
        <v>3.4500000000000003E-2</v>
      </c>
      <c r="G41" s="418" t="str">
        <f>IF('数据-取费表'!B22&lt;=1,"单利计息","复利计息")</f>
        <v>单利计息</v>
      </c>
    </row>
    <row r="42" spans="1:7" ht="13.5" customHeight="1">
      <c r="A42" s="421" t="s">
        <v>1001</v>
      </c>
      <c r="B42" s="391" t="s">
        <v>1039</v>
      </c>
      <c r="C42" s="423">
        <f ca="1">ROUND(IF('数据-取费表'!B22&lt;=1,C33*F22*'数据-取费表'!B20/2,C33*(POWER((1+F22),'数据-取费表'!B20/2)-1)),0)</f>
        <v>133040</v>
      </c>
      <c r="D42" s="423"/>
      <c r="E42" s="423"/>
      <c r="F42" s="424"/>
      <c r="G42" s="3616" t="s">
        <v>1093</v>
      </c>
    </row>
    <row r="43" spans="1:7" ht="13.5" customHeight="1">
      <c r="A43" s="421" t="s">
        <v>1003</v>
      </c>
      <c r="B43" s="391" t="s">
        <v>1041</v>
      </c>
      <c r="C43" s="423">
        <f ca="1">ROUND(IF('数据-取费表'!B22&lt;=1,C39*F22*'数据-取费表'!B20/2,C39*(POWER((1+F22),'数据-取费表'!B20/2)-1)),0)</f>
        <v>2661</v>
      </c>
      <c r="D43" s="423"/>
      <c r="E43" s="423"/>
      <c r="F43" s="424"/>
      <c r="G43" s="3617"/>
    </row>
    <row r="44" spans="1:7" ht="13.5" customHeight="1">
      <c r="A44" s="421" t="s">
        <v>1005</v>
      </c>
      <c r="B44" s="391" t="s">
        <v>1043</v>
      </c>
      <c r="C44" s="423">
        <f ca="1">ROUND(IF('数据-取费表'!B22&lt;=1,C40*F22*'数据-取费表'!B20/2,C40*(POWER((1+F22),'数据-取费表'!B20/2)-1)),4)</f>
        <v>2.9999999999999997E-4</v>
      </c>
      <c r="D44" s="423"/>
      <c r="E44" s="423"/>
      <c r="F44" s="424"/>
      <c r="G44" s="3618"/>
    </row>
    <row r="45" spans="1:7" s="367" customFormat="1" ht="13.5" customHeight="1">
      <c r="A45" s="385" t="s">
        <v>1037</v>
      </c>
      <c r="B45" s="429" t="s">
        <v>1048</v>
      </c>
      <c r="C45" s="430">
        <f ca="1">C46</f>
        <v>629339</v>
      </c>
      <c r="D45" s="416">
        <f ca="1">C47</f>
        <v>1.6000000000000001E-3</v>
      </c>
      <c r="E45" s="417" t="s">
        <v>1069</v>
      </c>
      <c r="F45" s="431">
        <f ca="1">F27</f>
        <v>0.08</v>
      </c>
      <c r="G45" s="432" t="s">
        <v>1072</v>
      </c>
    </row>
    <row r="46" spans="1:7" s="367" customFormat="1" ht="13.5" customHeight="1">
      <c r="A46" s="421" t="s">
        <v>1001</v>
      </c>
      <c r="B46" s="433" t="s">
        <v>1073</v>
      </c>
      <c r="C46" s="434">
        <f ca="1">ROUND((C33+C39)*F27,0)</f>
        <v>629339</v>
      </c>
      <c r="D46" s="447"/>
      <c r="E46" s="417"/>
      <c r="F46" s="431"/>
      <c r="G46" s="432"/>
    </row>
    <row r="47" spans="1:7" s="367" customFormat="1" ht="13.5" customHeight="1">
      <c r="A47" s="421" t="s">
        <v>1003</v>
      </c>
      <c r="B47" s="433" t="s">
        <v>1074</v>
      </c>
      <c r="C47" s="423">
        <f ca="1">ROUND(C40*F27,4)</f>
        <v>1.6000000000000001E-3</v>
      </c>
      <c r="D47" s="447"/>
      <c r="E47" s="417"/>
      <c r="F47" s="431"/>
      <c r="G47" s="432"/>
    </row>
    <row r="48" spans="1:7" s="367" customFormat="1" ht="13.5" customHeight="1">
      <c r="A48" s="385" t="s">
        <v>1047</v>
      </c>
      <c r="B48" s="386" t="s">
        <v>1053</v>
      </c>
      <c r="C48" s="446">
        <f>ROUND(F30/(1+'数据-取费表'!C42),4)</f>
        <v>5.2400000000000002E-2</v>
      </c>
      <c r="D48" s="417" t="s">
        <v>1069</v>
      </c>
      <c r="E48" s="413"/>
      <c r="F48" s="420">
        <f>F30</f>
        <v>5.5E-2</v>
      </c>
      <c r="G48" s="418" t="s">
        <v>1075</v>
      </c>
    </row>
    <row r="49" spans="1:7" ht="16.5" customHeight="1">
      <c r="A49" s="385" t="s">
        <v>1052</v>
      </c>
      <c r="B49" s="386" t="s">
        <v>1094</v>
      </c>
      <c r="C49" s="413">
        <f ca="1">ROUND((C33+C39+C41+C45)/(1-C40-D41-D45-C48),0)</f>
        <v>9324589</v>
      </c>
      <c r="D49" s="413"/>
      <c r="E49" s="413"/>
      <c r="F49" s="448"/>
      <c r="G49" s="418" t="s">
        <v>1077</v>
      </c>
    </row>
    <row r="50" spans="1:7" s="369" customFormat="1">
      <c r="A50" s="385" t="s">
        <v>1078</v>
      </c>
      <c r="B50" s="386" t="s">
        <v>1079</v>
      </c>
      <c r="C50" s="413"/>
      <c r="D50" s="413"/>
      <c r="E50" s="413"/>
      <c r="F50" s="448">
        <f>IF('数据-取费表'!B24=0,'数据-取费表'!N16,1)</f>
        <v>0.6</v>
      </c>
      <c r="G50" s="432"/>
    </row>
    <row r="51" spans="1:7" ht="16.5" customHeight="1">
      <c r="A51" s="385" t="s">
        <v>1081</v>
      </c>
      <c r="B51" s="386" t="s">
        <v>1095</v>
      </c>
      <c r="C51" s="413">
        <f ca="1">ROUND(C49*F50,0)</f>
        <v>5594753</v>
      </c>
      <c r="D51" s="413"/>
      <c r="E51" s="413"/>
      <c r="F51" s="448"/>
      <c r="G51" s="418" t="s">
        <v>1083</v>
      </c>
    </row>
    <row r="52" spans="1:7" s="366" customFormat="1" ht="15.75">
      <c r="A52" s="449" t="s">
        <v>1084</v>
      </c>
      <c r="B52" s="450"/>
      <c r="C52" s="451">
        <f ca="1">C31+C51</f>
        <v>10294888</v>
      </c>
      <c r="D52" s="450"/>
      <c r="E52" s="450"/>
      <c r="F52" s="450"/>
      <c r="G52" s="452"/>
    </row>
    <row r="55" spans="1:7" ht="15">
      <c r="B55" s="453" t="s">
        <v>1085</v>
      </c>
      <c r="C55" s="454"/>
    </row>
    <row r="56" spans="1:7">
      <c r="B56" s="455" t="s">
        <v>1086</v>
      </c>
      <c r="C56" s="457">
        <f ca="1">1-C57</f>
        <v>0.45699999999999996</v>
      </c>
    </row>
    <row r="57" spans="1:7">
      <c r="B57" s="455" t="s">
        <v>1087</v>
      </c>
      <c r="C57" s="456">
        <f ca="1">ROUND(C51/C52,3)</f>
        <v>0.54300000000000004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1096</v>
      </c>
      <c r="B1" s="2060"/>
      <c r="C1" s="2251"/>
      <c r="D1" s="2252"/>
      <c r="E1" s="2253"/>
      <c r="F1" s="2253"/>
      <c r="G1" s="2254"/>
      <c r="H1" s="2253"/>
      <c r="I1" s="2253"/>
      <c r="J1" s="2253"/>
      <c r="K1" s="2322">
        <f>MATCH(C1,'数据-取费表'!A6:A16,0)+5</f>
        <v>7</v>
      </c>
    </row>
    <row r="2" spans="1:33" ht="18" customHeight="1">
      <c r="A2" s="377" t="s">
        <v>992</v>
      </c>
      <c r="B2" s="381">
        <f ca="1">C32</f>
        <v>-54</v>
      </c>
      <c r="C2" s="2255" t="s">
        <v>1097</v>
      </c>
      <c r="D2" s="2255"/>
      <c r="E2" s="2253"/>
      <c r="F2" s="2253"/>
      <c r="G2" s="2253"/>
      <c r="H2" s="2253"/>
      <c r="I2" s="2253"/>
      <c r="J2" s="2253"/>
      <c r="K2" s="2253"/>
    </row>
    <row r="3" spans="1:33" ht="18" customHeight="1">
      <c r="A3" s="380" t="s">
        <v>994</v>
      </c>
      <c r="B3" s="381">
        <f ca="1">ROUND(B2*10000/IF(C1="",'数据-汇总表'!E3,INDIRECT("'数据-取费表'!K"&amp;$K$1)),0)</f>
        <v>-212</v>
      </c>
      <c r="C3" s="2255" t="s">
        <v>1098</v>
      </c>
      <c r="D3" s="2255"/>
      <c r="E3" s="2253"/>
      <c r="F3" s="2253"/>
      <c r="G3" s="2253"/>
      <c r="H3" s="2253"/>
      <c r="I3" s="2253"/>
      <c r="J3" s="2253"/>
      <c r="K3" s="2253"/>
    </row>
    <row r="4" spans="1:33" s="2240" customFormat="1" ht="16.5" customHeight="1">
      <c r="A4" s="2256" t="s">
        <v>1099</v>
      </c>
      <c r="B4" s="2257"/>
      <c r="C4" s="2258">
        <f>SUM(C8:K8)</f>
        <v>0</v>
      </c>
      <c r="D4" s="2257"/>
      <c r="E4" s="2257"/>
      <c r="F4" s="2257"/>
      <c r="G4" s="2257"/>
      <c r="H4" s="2257"/>
      <c r="I4" s="2257"/>
      <c r="J4" s="2257"/>
      <c r="K4" s="2323"/>
    </row>
    <row r="5" spans="1:33" s="2241" customFormat="1" ht="15">
      <c r="A5" s="2259" t="s">
        <v>1100</v>
      </c>
      <c r="B5" s="2260" t="s">
        <v>1101</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902</v>
      </c>
      <c r="B6" s="2023" t="s">
        <v>1102</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906</v>
      </c>
      <c r="B7" s="2023" t="s">
        <v>455</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951</v>
      </c>
      <c r="B8" s="2266" t="s">
        <v>1103</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1104</v>
      </c>
      <c r="B9" s="2257"/>
      <c r="C9" s="2257"/>
      <c r="D9" s="2257"/>
      <c r="E9" s="2257"/>
      <c r="F9" s="2257"/>
      <c r="G9" s="2257"/>
      <c r="H9" s="2257"/>
      <c r="I9" s="2257"/>
      <c r="J9" s="2257"/>
      <c r="K9" s="2323"/>
    </row>
    <row r="10" spans="1:33" s="2243" customFormat="1" ht="13.5" customHeight="1">
      <c r="A10" s="2259" t="s">
        <v>1100</v>
      </c>
      <c r="B10" s="2269" t="s">
        <v>1101</v>
      </c>
      <c r="C10" s="2270" t="s">
        <v>1105</v>
      </c>
      <c r="D10" s="2271" t="s">
        <v>1106</v>
      </c>
      <c r="E10" s="2271" t="s">
        <v>1107</v>
      </c>
      <c r="F10" s="2271" t="s">
        <v>1108</v>
      </c>
      <c r="G10" s="2269"/>
      <c r="H10" s="2272"/>
      <c r="I10" s="2272"/>
      <c r="J10" s="2272"/>
      <c r="K10" s="2329"/>
    </row>
    <row r="11" spans="1:33" s="2244" customFormat="1" ht="13.5" customHeight="1">
      <c r="A11" s="2273" t="s">
        <v>1007</v>
      </c>
      <c r="B11" s="2274" t="s">
        <v>1109</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1110</v>
      </c>
      <c r="C12" s="1002">
        <f ca="1">ROUND(C11*F12,0)</f>
        <v>0</v>
      </c>
      <c r="D12" s="2276"/>
      <c r="E12" s="2026"/>
      <c r="F12" s="2277">
        <f>'数据-取费表'!B33</f>
        <v>0.03</v>
      </c>
      <c r="G12" s="2269" t="s">
        <v>1111</v>
      </c>
      <c r="H12" s="2272"/>
      <c r="I12" s="2272"/>
      <c r="J12" s="2272"/>
      <c r="K12" s="2329"/>
    </row>
    <row r="13" spans="1:33" s="2244" customFormat="1" ht="13.5" customHeight="1">
      <c r="A13" s="2273" t="s">
        <v>1112</v>
      </c>
      <c r="B13" s="2274" t="s">
        <v>1113</v>
      </c>
      <c r="C13" s="1002">
        <f ca="1">ROUND(IF(C1="",SUMIF('数据-取费表'!C:C,"住宅",'数据-取费表'!P:P)*F13,IF(INDIRECT("'数据-取费表'!c"&amp;$K$1)="住宅",INDIRECT("'数据-取费表'!P"&amp;$K$1)*F13,0)),0)</f>
        <v>0</v>
      </c>
      <c r="D13" s="2278"/>
      <c r="E13" s="2026"/>
      <c r="F13" s="2277">
        <f>'数据-取费表'!B34</f>
        <v>0</v>
      </c>
      <c r="G13" s="2269" t="s">
        <v>1114</v>
      </c>
      <c r="H13" s="2272"/>
      <c r="I13" s="2272"/>
      <c r="J13" s="2272"/>
      <c r="K13" s="2329"/>
    </row>
    <row r="14" spans="1:33" s="2245" customFormat="1" ht="13.5" customHeight="1">
      <c r="A14" s="2273" t="s">
        <v>1115</v>
      </c>
      <c r="B14" s="2274" t="s">
        <v>1116</v>
      </c>
      <c r="C14" s="1002">
        <f ca="1">ROUND(D14*E14*F11/10000,0)</f>
        <v>0</v>
      </c>
      <c r="D14" s="2278">
        <f ca="1">IF(C1="",'数据-汇总表'!E3,INDIRECT("'数据-取费表'!K"&amp;$K$1)+INDIRECT("'数据-取费表'!S"&amp;$K$1))</f>
        <v>2541.1799999999998</v>
      </c>
      <c r="E14" s="1002">
        <f>'数据-取费表'!B35</f>
        <v>200</v>
      </c>
      <c r="F14" s="2279"/>
      <c r="G14" s="2269" t="s">
        <v>1117</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1118</v>
      </c>
      <c r="B15" s="2274" t="s">
        <v>1119</v>
      </c>
      <c r="C15" s="2280">
        <f ca="1">ROUND(C11*F15,0)</f>
        <v>0</v>
      </c>
      <c r="D15" s="2281"/>
      <c r="E15" s="2280"/>
      <c r="F15" s="2277">
        <f>'数据-取费表'!B36</f>
        <v>0.02</v>
      </c>
      <c r="G15" s="2023" t="s">
        <v>1120</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925</v>
      </c>
      <c r="B16" s="2274" t="s">
        <v>1121</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929</v>
      </c>
      <c r="B17" s="2274" t="s">
        <v>1122</v>
      </c>
      <c r="C17" s="1002">
        <f ca="1">ROUND(D17*E17/10000,0)</f>
        <v>0</v>
      </c>
      <c r="D17" s="2278">
        <f ca="1">D14</f>
        <v>2541.1799999999998</v>
      </c>
      <c r="E17" s="1002">
        <f>'数据-取费表'!B32</f>
        <v>0</v>
      </c>
      <c r="F17" s="2281"/>
      <c r="G17" s="2023" t="s">
        <v>1123</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1124</v>
      </c>
      <c r="B18" s="2274" t="s">
        <v>1125</v>
      </c>
      <c r="C18" s="1002">
        <f ca="1">C19+C20-IF(C1="",'数据-取费表'!B29,IF(G18="已全部缴纳",C19+C20,H18))</f>
        <v>51</v>
      </c>
      <c r="D18" s="2278"/>
      <c r="E18" s="1002"/>
      <c r="F18" s="2279"/>
      <c r="G18" s="2283"/>
      <c r="H18" s="2284"/>
      <c r="I18" s="2330" t="s">
        <v>1126</v>
      </c>
      <c r="J18" s="2138"/>
      <c r="K18" s="2139"/>
    </row>
    <row r="19" spans="1:33" s="2244" customFormat="1" ht="13.5" customHeight="1">
      <c r="A19" s="2273" t="s">
        <v>1007</v>
      </c>
      <c r="B19" s="2274" t="s">
        <v>442</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1010</v>
      </c>
      <c r="B20" s="2274" t="s">
        <v>1127</v>
      </c>
      <c r="C20" s="1002">
        <f ca="1">ROUND(D20*E20/10000,0)</f>
        <v>51</v>
      </c>
      <c r="D20" s="2278">
        <f ca="1">IF(C1="",'数据-汇总表'!E6,IF(INDIRECT("'数据-取费表'!c"&amp;$K$1)="住宅",INDIRECT("'数据-取费表'!s"&amp;$K$1),INDIRECT("'数据-取费表'!k"&amp;$K$1)+INDIRECT("'数据-取费表'!s"&amp;$K$1)))</f>
        <v>2541.1799999999998</v>
      </c>
      <c r="E20" s="1002">
        <f>'数据-取费表'!B28</f>
        <v>200</v>
      </c>
      <c r="F20" s="2279"/>
      <c r="G20" s="2137"/>
      <c r="H20" s="2286"/>
      <c r="I20" s="2286"/>
      <c r="J20" s="2286"/>
      <c r="K20" s="2331"/>
    </row>
    <row r="21" spans="1:33" s="2244" customFormat="1" ht="13.5" customHeight="1">
      <c r="A21" s="2262" t="s">
        <v>902</v>
      </c>
      <c r="B21" s="2287" t="s">
        <v>1128</v>
      </c>
      <c r="C21" s="2288">
        <f ca="1">C16+C17+C18</f>
        <v>51</v>
      </c>
      <c r="D21" s="2289"/>
      <c r="E21" s="2290"/>
      <c r="F21" s="2290"/>
      <c r="G21" s="2023" t="s">
        <v>1129</v>
      </c>
      <c r="H21" s="2138"/>
      <c r="I21" s="2138"/>
      <c r="J21" s="2138"/>
      <c r="K21" s="2139"/>
    </row>
    <row r="22" spans="1:33" s="2244" customFormat="1" ht="13.5" customHeight="1">
      <c r="A22" s="2262" t="s">
        <v>906</v>
      </c>
      <c r="B22" s="2287" t="s">
        <v>1130</v>
      </c>
      <c r="C22" s="2288">
        <f ca="1">ROUND(C21*F22,0)</f>
        <v>1</v>
      </c>
      <c r="D22" s="2290"/>
      <c r="E22" s="2290"/>
      <c r="F22" s="2291">
        <f>'数据-取费表'!B37</f>
        <v>0.02</v>
      </c>
      <c r="G22" s="2269" t="s">
        <v>1131</v>
      </c>
      <c r="H22" s="2272"/>
      <c r="I22" s="2272"/>
      <c r="J22" s="2272"/>
      <c r="K22" s="2329"/>
    </row>
    <row r="23" spans="1:33" s="2244" customFormat="1" ht="13.5" customHeight="1">
      <c r="A23" s="2262" t="s">
        <v>951</v>
      </c>
      <c r="B23" s="2287" t="s">
        <v>1132</v>
      </c>
      <c r="C23" s="2288">
        <f ca="1">ROUND(C4*F23*F11,0)</f>
        <v>0</v>
      </c>
      <c r="D23" s="2290"/>
      <c r="E23" s="2290"/>
      <c r="F23" s="2291">
        <f>'数据-取费表'!B38</f>
        <v>0.02</v>
      </c>
      <c r="G23" s="2269" t="s">
        <v>1133</v>
      </c>
      <c r="H23" s="2272"/>
      <c r="I23" s="2272"/>
      <c r="J23" s="2272"/>
      <c r="K23" s="2329"/>
    </row>
    <row r="24" spans="1:33" s="2244" customFormat="1" ht="13.5" customHeight="1">
      <c r="A24" s="2262" t="s">
        <v>954</v>
      </c>
      <c r="B24" s="2287" t="s">
        <v>1134</v>
      </c>
      <c r="C24" s="2292">
        <f>ROUND(F24/(1+'数据-取费表'!C42),4)</f>
        <v>2.9000000000000001E-2</v>
      </c>
      <c r="D24" s="2290" t="s">
        <v>1135</v>
      </c>
      <c r="E24" s="2290"/>
      <c r="F24" s="2291">
        <f>IF(项目基本情况!B8="出让",0,'数据-取费表'!B48+'数据-取费表'!B49)</f>
        <v>3.0499999999999999E-2</v>
      </c>
      <c r="G24" s="2269" t="s">
        <v>1136</v>
      </c>
      <c r="H24" s="2293"/>
      <c r="I24" s="2293"/>
      <c r="J24" s="2293"/>
      <c r="K24" s="2332"/>
    </row>
    <row r="25" spans="1:33" s="2244" customFormat="1" ht="13.5" customHeight="1">
      <c r="A25" s="2262" t="s">
        <v>958</v>
      </c>
      <c r="B25" s="2289" t="s">
        <v>1137</v>
      </c>
      <c r="C25" s="2294">
        <f ca="1">C27</f>
        <v>0</v>
      </c>
      <c r="D25" s="2292">
        <f ca="1">C26</f>
        <v>0</v>
      </c>
      <c r="E25" s="2295" t="s">
        <v>1135</v>
      </c>
      <c r="F25" s="2296">
        <f ca="1">'数据-取费表'!B40</f>
        <v>3.4500000000000003E-2</v>
      </c>
      <c r="G25" s="2023" t="str">
        <f>IF('数据-取费表'!B22&lt;=1,"单利计息。","复利计息。")&amp;"后续开发成本、管理费用及销售费用产生的利息。"</f>
        <v>单利计息。后续开发成本、管理费用及销售费用产生的利息。</v>
      </c>
      <c r="H25" s="2293"/>
      <c r="I25" s="2293"/>
      <c r="J25" s="2293"/>
      <c r="K25" s="2332"/>
    </row>
    <row r="26" spans="1:33" s="2246" customFormat="1" ht="13.5" customHeight="1">
      <c r="A26" s="2273" t="s">
        <v>925</v>
      </c>
      <c r="B26" s="2297" t="s">
        <v>1138</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（(1)+取得税费率/(1+5%)）×年利率×建设期</v>
      </c>
      <c r="H26" s="2138"/>
      <c r="I26" s="2138"/>
      <c r="J26" s="2138"/>
      <c r="K26" s="2139"/>
    </row>
    <row r="27" spans="1:33" s="2246" customFormat="1" ht="13.5" customHeight="1">
      <c r="A27" s="2273" t="s">
        <v>929</v>
      </c>
      <c r="B27" s="2297" t="s">
        <v>1139</v>
      </c>
      <c r="C27" s="2303">
        <f ca="1">ROUND(IF('数据-取费表'!B22&lt;=1,(C21+C22+C23)*F25*'数据-取费表'!B24/2,(C21+C22+C23)*(POWER((1+F25),'数据-取费表'!B24/2)-1)),0)</f>
        <v>0</v>
      </c>
      <c r="D27" s="2299"/>
      <c r="E27" s="2300"/>
      <c r="F27" s="2301"/>
      <c r="G27" s="2302" t="str">
        <f>IF('数据-取费表'!B22&lt;=1,"（1）-（3）项×年利率×建设期÷2","（1）-（3）项×((1+年利率)^(建设期÷2)-1)")</f>
        <v>（1）-（3）项×年利率×建设期÷2</v>
      </c>
      <c r="H27" s="2138"/>
      <c r="I27" s="2138"/>
      <c r="J27" s="2138"/>
      <c r="K27" s="2139"/>
    </row>
    <row r="28" spans="1:33" s="2247" customFormat="1" ht="13.5" customHeight="1">
      <c r="A28" s="2262" t="s">
        <v>959</v>
      </c>
      <c r="B28" s="2304" t="s">
        <v>1140</v>
      </c>
      <c r="C28" s="2305">
        <f ca="1">C30</f>
        <v>4</v>
      </c>
      <c r="D28" s="2292">
        <f ca="1">C29</f>
        <v>0</v>
      </c>
      <c r="E28" s="2295" t="s">
        <v>1135</v>
      </c>
      <c r="F28" s="1302">
        <f ca="1">IF(C1="",'数据-取费表'!Q16,INDIRECT("'数据-取费表'!q"&amp;$K$1))</f>
        <v>0.08</v>
      </c>
      <c r="G28" s="2306"/>
      <c r="H28" s="2293"/>
      <c r="I28" s="2293"/>
      <c r="J28" s="2293"/>
      <c r="K28" s="2332"/>
    </row>
    <row r="29" spans="1:33" s="2248" customFormat="1" ht="13.5" customHeight="1">
      <c r="A29" s="2273" t="s">
        <v>925</v>
      </c>
      <c r="B29" s="2307" t="s">
        <v>1141</v>
      </c>
      <c r="C29" s="2299">
        <f ca="1">ROUND((1+C24)*F28*'数据-取费表'!B24/'数据-取费表'!B20,4)</f>
        <v>0</v>
      </c>
      <c r="D29" s="2299"/>
      <c r="E29" s="2300"/>
      <c r="F29" s="2308"/>
      <c r="G29" s="2023" t="s">
        <v>1142</v>
      </c>
      <c r="H29" s="2138"/>
      <c r="I29" s="2138"/>
      <c r="J29" s="2138"/>
      <c r="K29" s="2139"/>
    </row>
    <row r="30" spans="1:33" s="2248" customFormat="1" ht="13.5" customHeight="1">
      <c r="A30" s="2273" t="s">
        <v>929</v>
      </c>
      <c r="B30" s="2307" t="s">
        <v>1143</v>
      </c>
      <c r="C30" s="2309">
        <f ca="1">ROUND((C21+C22+C23)*F28,0)</f>
        <v>4</v>
      </c>
      <c r="D30" s="2299"/>
      <c r="E30" s="2300"/>
      <c r="F30" s="2308"/>
      <c r="G30" s="2023"/>
      <c r="H30" s="2138"/>
      <c r="I30" s="2138"/>
      <c r="J30" s="2138"/>
      <c r="K30" s="2139"/>
    </row>
    <row r="31" spans="1:33" s="2244" customFormat="1" ht="13.5" customHeight="1">
      <c r="A31" s="2310" t="s">
        <v>1144</v>
      </c>
      <c r="B31" s="2311" t="s">
        <v>1145</v>
      </c>
      <c r="C31" s="2312">
        <f>ROUND(C4*F31/(1+'数据-取费表'!C42),0)</f>
        <v>0</v>
      </c>
      <c r="D31" s="2313"/>
      <c r="E31" s="2314"/>
      <c r="F31" s="2315">
        <f>'数据-取费表'!B41</f>
        <v>5.5E-2</v>
      </c>
      <c r="G31" s="2316" t="s">
        <v>1146</v>
      </c>
      <c r="H31" s="2317"/>
      <c r="I31" s="2317"/>
      <c r="J31" s="2317"/>
      <c r="K31" s="2333"/>
    </row>
    <row r="32" spans="1:33" s="2243" customFormat="1" ht="13.5" customHeight="1">
      <c r="A32" s="2318" t="s">
        <v>1147</v>
      </c>
      <c r="B32" s="2319"/>
      <c r="C32" s="2320">
        <f ca="1">ROUND((C4-C21-C22-C23-C25-C28-C31)/(1+C24+D25+D28),0)</f>
        <v>-54</v>
      </c>
      <c r="D32" s="2319"/>
      <c r="E32" s="2319"/>
      <c r="F32" s="2319"/>
      <c r="G32" s="2321" t="s">
        <v>1148</v>
      </c>
      <c r="H32" s="2319"/>
      <c r="I32" s="2319"/>
      <c r="J32" s="2319"/>
      <c r="K32" s="233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1149</v>
      </c>
      <c r="B1" s="1292"/>
      <c r="C1" s="1954"/>
      <c r="D1" s="1955" t="s">
        <v>124</v>
      </c>
      <c r="E1" s="1956" t="s">
        <v>1150</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1151</v>
      </c>
      <c r="B2" s="2232" t="e">
        <f ca="1">C40+J29+L46</f>
        <v>#DIV/0!</v>
      </c>
      <c r="C2" s="1961" t="s">
        <v>1152</v>
      </c>
      <c r="D2" s="1961"/>
      <c r="E2" s="1963"/>
      <c r="F2" s="1964"/>
      <c r="G2" s="1965"/>
      <c r="H2" s="1966"/>
      <c r="I2" s="1966"/>
      <c r="J2" s="1966"/>
      <c r="K2" s="2125"/>
      <c r="L2" s="1966"/>
      <c r="M2" s="1966"/>
    </row>
    <row r="3" spans="1:37" ht="18" customHeight="1">
      <c r="A3" s="1967" t="s">
        <v>1153</v>
      </c>
      <c r="B3" s="1968">
        <f ca="1">IF(ISERROR(B2*10000/F43),0,ROUND(B2*10000/F43,0))</f>
        <v>0</v>
      </c>
      <c r="C3" s="1961" t="s">
        <v>1154</v>
      </c>
      <c r="D3" s="1961"/>
      <c r="E3" s="1963"/>
      <c r="F3" s="1964"/>
      <c r="G3" s="1965"/>
      <c r="H3" s="1969" t="s">
        <v>1155</v>
      </c>
      <c r="I3" s="2126"/>
      <c r="J3" s="2126"/>
      <c r="K3" s="2127"/>
      <c r="L3" s="2126"/>
      <c r="M3" s="2126"/>
    </row>
    <row r="4" spans="1:37" ht="18" customHeight="1">
      <c r="A4" s="1970" t="s">
        <v>1156</v>
      </c>
      <c r="B4" s="1971" t="s">
        <v>1157</v>
      </c>
      <c r="C4" s="1971" t="s">
        <v>1158</v>
      </c>
      <c r="D4" s="1971" t="s">
        <v>1159</v>
      </c>
      <c r="E4" s="1972" t="s">
        <v>1160</v>
      </c>
      <c r="F4" s="1973"/>
      <c r="G4" s="760"/>
      <c r="H4" s="1970" t="s">
        <v>1156</v>
      </c>
      <c r="I4" s="1971" t="s">
        <v>1157</v>
      </c>
      <c r="J4" s="1971" t="s">
        <v>1158</v>
      </c>
      <c r="K4" s="1971" t="s">
        <v>1159</v>
      </c>
      <c r="L4" s="1972" t="s">
        <v>1160</v>
      </c>
      <c r="M4" s="1973"/>
    </row>
    <row r="5" spans="1:37" ht="18" customHeight="1">
      <c r="A5" s="1974">
        <v>1</v>
      </c>
      <c r="B5" s="1975" t="s">
        <v>1161</v>
      </c>
      <c r="C5" s="1976">
        <f ca="1">C6+C10+C12</f>
        <v>0</v>
      </c>
      <c r="D5" s="1977" t="s">
        <v>1162</v>
      </c>
      <c r="E5" s="1978"/>
      <c r="F5" s="1979"/>
      <c r="G5" s="760"/>
      <c r="H5" s="1974">
        <v>1</v>
      </c>
      <c r="I5" s="1975" t="s">
        <v>1161</v>
      </c>
      <c r="J5" s="1976">
        <f ca="1">J6+J10+J12</f>
        <v>0</v>
      </c>
      <c r="K5" s="1977" t="s">
        <v>1162</v>
      </c>
      <c r="L5" s="1978"/>
      <c r="M5" s="1979"/>
    </row>
    <row r="6" spans="1:37" ht="18" customHeight="1">
      <c r="A6" s="1980" t="s">
        <v>902</v>
      </c>
      <c r="B6" s="3621" t="s">
        <v>1163</v>
      </c>
      <c r="C6" s="1981">
        <f ca="1">ROUND(F6*F8*F7*(1-F9)/10000,0)</f>
        <v>0</v>
      </c>
      <c r="D6" s="1982" t="s">
        <v>1164</v>
      </c>
      <c r="E6" s="1983" t="s">
        <v>1165</v>
      </c>
      <c r="F6" s="1984">
        <f ca="1">INDIRECT("'数据-取费表'!u"&amp;$G$1)</f>
        <v>0</v>
      </c>
      <c r="G6" s="760"/>
      <c r="H6" s="1980" t="s">
        <v>902</v>
      </c>
      <c r="I6" s="3621" t="s">
        <v>1163</v>
      </c>
      <c r="J6" s="2055">
        <f ca="1">ROUND(M6*M8*M7*(1-M9)/10000,0)</f>
        <v>0</v>
      </c>
      <c r="K6" s="1982" t="s">
        <v>1166</v>
      </c>
      <c r="L6" s="1983" t="s">
        <v>1165</v>
      </c>
      <c r="M6" s="1984">
        <f ca="1">INDIRECT("'数据-取费表'!z"&amp;$G$1)</f>
        <v>0</v>
      </c>
    </row>
    <row r="7" spans="1:37" ht="18" customHeight="1">
      <c r="A7" s="1985"/>
      <c r="B7" s="3622"/>
      <c r="C7" s="1986"/>
      <c r="D7" s="1987"/>
      <c r="E7" s="1988" t="s">
        <v>1167</v>
      </c>
      <c r="F7" s="1984">
        <f ca="1">IF(INDIRECT("'数据-取费表'!ah"&amp;$G$1)="",INDIRECT("'数据-取费表'!k"&amp;$G$1),INDIRECT("'数据-取费表'!ah"&amp;$G$1))</f>
        <v>0</v>
      </c>
      <c r="G7" s="760"/>
      <c r="H7" s="1989"/>
      <c r="I7" s="3622"/>
      <c r="J7" s="1990"/>
      <c r="K7" s="1987"/>
      <c r="L7" s="1983" t="s">
        <v>1167</v>
      </c>
      <c r="M7" s="1984">
        <f ca="1">F7</f>
        <v>0</v>
      </c>
    </row>
    <row r="8" spans="1:37" ht="18" customHeight="1">
      <c r="A8" s="1989"/>
      <c r="B8" s="3622"/>
      <c r="C8" s="1990"/>
      <c r="D8" s="1987"/>
      <c r="E8" s="1983" t="s">
        <v>1168</v>
      </c>
      <c r="F8" s="1984">
        <f ca="1">INDIRECT("'数据-取费表'!ai"&amp;$G$1)</f>
        <v>0</v>
      </c>
      <c r="G8" s="760"/>
      <c r="H8" s="1989"/>
      <c r="I8" s="3622"/>
      <c r="J8" s="1990"/>
      <c r="K8" s="1987"/>
      <c r="L8" s="1983" t="s">
        <v>1168</v>
      </c>
      <c r="M8" s="1984">
        <f ca="1">INDIRECT("'数据-取费表'!ai"&amp;$G$1)</f>
        <v>0</v>
      </c>
    </row>
    <row r="9" spans="1:37" ht="18" customHeight="1">
      <c r="A9" s="1989"/>
      <c r="B9" s="3623"/>
      <c r="C9" s="1990"/>
      <c r="D9" s="1987"/>
      <c r="E9" s="1983" t="s">
        <v>1169</v>
      </c>
      <c r="F9" s="1991">
        <f ca="1">INDIRECT("'数据-取费表'!w"&amp;$G$1)</f>
        <v>0</v>
      </c>
      <c r="G9" s="760"/>
      <c r="H9" s="1989"/>
      <c r="I9" s="3623"/>
      <c r="J9" s="1990"/>
      <c r="K9" s="1987"/>
      <c r="L9" s="1994" t="s">
        <v>1169</v>
      </c>
      <c r="M9" s="1999">
        <f ca="1">INDIRECT("'数据-取费表'!ab"&amp;$G$1)</f>
        <v>0</v>
      </c>
    </row>
    <row r="10" spans="1:37" ht="18" customHeight="1">
      <c r="A10" s="1980" t="s">
        <v>906</v>
      </c>
      <c r="B10" s="1992" t="s">
        <v>1170</v>
      </c>
      <c r="C10" s="1001">
        <f ca="1">ROUND(IF(F10="押一",C6/12*F11,IF(F10="押二",C6/12*2*F11,IF(F10="押三",C6/12*3*F11,C11*F11))),0)</f>
        <v>0</v>
      </c>
      <c r="D10" s="1993" t="s">
        <v>1171</v>
      </c>
      <c r="E10" s="1994" t="s">
        <v>1172</v>
      </c>
      <c r="F10" s="1995"/>
      <c r="G10" s="760"/>
      <c r="H10" s="1980" t="s">
        <v>906</v>
      </c>
      <c r="I10" s="1992" t="s">
        <v>1170</v>
      </c>
      <c r="J10" s="2055">
        <f ca="1">ROUND(IF(M10="押一",J6/12*M11,IF(M10="押二",J6/12*2*M11,IF(M10="押三",J6/12*3*M11,J11*M11))),0)</f>
        <v>0</v>
      </c>
      <c r="K10" s="1993" t="s">
        <v>1171</v>
      </c>
      <c r="L10" s="1994" t="s">
        <v>1172</v>
      </c>
      <c r="M10" s="1995"/>
    </row>
    <row r="11" spans="1:37" ht="18" customHeight="1">
      <c r="A11" s="1996"/>
      <c r="B11" s="1997" t="s">
        <v>1173</v>
      </c>
      <c r="C11" s="1998"/>
      <c r="D11" s="2233"/>
      <c r="E11" s="1994" t="s">
        <v>1174</v>
      </c>
      <c r="F11" s="1999">
        <f ca="1">'数据-取费表'!B39</f>
        <v>1.4999999999999999E-2</v>
      </c>
      <c r="G11" s="760"/>
      <c r="H11" s="2000"/>
      <c r="I11" s="1997" t="s">
        <v>1173</v>
      </c>
      <c r="J11" s="1998"/>
      <c r="K11" s="2130"/>
      <c r="L11" s="1994" t="s">
        <v>1174</v>
      </c>
      <c r="M11" s="2131">
        <f ca="1">'数据-取费表'!B39</f>
        <v>1.4999999999999999E-2</v>
      </c>
    </row>
    <row r="12" spans="1:37" ht="18" customHeight="1">
      <c r="A12" s="2001" t="s">
        <v>951</v>
      </c>
      <c r="B12" s="2002" t="s">
        <v>1175</v>
      </c>
      <c r="C12" s="2003"/>
      <c r="D12" s="2004"/>
      <c r="E12" s="2005"/>
      <c r="F12" s="2006"/>
      <c r="G12" s="760"/>
      <c r="H12" s="2001" t="s">
        <v>951</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0"/>
      <c r="H13" s="2007">
        <v>2</v>
      </c>
      <c r="I13" s="2008" t="s">
        <v>1176</v>
      </c>
      <c r="J13" s="2134">
        <f ca="1">ROUND(J14*J15,0)</f>
        <v>0</v>
      </c>
      <c r="K13" s="2033" t="s">
        <v>1177</v>
      </c>
      <c r="L13" s="2135"/>
      <c r="M13" s="2136"/>
    </row>
    <row r="14" spans="1:37" ht="18" customHeight="1">
      <c r="A14" s="2012" t="s">
        <v>925</v>
      </c>
      <c r="B14" s="1983" t="s">
        <v>1179</v>
      </c>
      <c r="C14" s="2013">
        <f ca="1">INDIRECT("'数据-取费表'!m"&amp;$G$1)+INDIRECT("'数据-取费表'!t"&amp;$G$1)</f>
        <v>0</v>
      </c>
      <c r="D14" s="2014" t="s">
        <v>1180</v>
      </c>
      <c r="E14" s="2015"/>
      <c r="F14" s="2016"/>
      <c r="G14" s="760"/>
      <c r="H14" s="2012" t="s">
        <v>902</v>
      </c>
      <c r="I14" s="1983" t="s">
        <v>1181</v>
      </c>
      <c r="J14" s="1002">
        <f ca="1">C29</f>
        <v>0</v>
      </c>
      <c r="K14" s="2137"/>
      <c r="L14" s="2138"/>
      <c r="M14" s="2139"/>
    </row>
    <row r="15" spans="1:37" s="1951" customFormat="1" ht="18" customHeight="1">
      <c r="A15" s="2012" t="s">
        <v>929</v>
      </c>
      <c r="B15" s="1983" t="s">
        <v>1110</v>
      </c>
      <c r="C15" s="1002">
        <f ca="1">ROUND(C14*F15,0)</f>
        <v>0</v>
      </c>
      <c r="D15" s="2017" t="s">
        <v>1182</v>
      </c>
      <c r="E15" s="2017" t="s">
        <v>1183</v>
      </c>
      <c r="F15" s="2018">
        <f>'数据-取费表'!B33</f>
        <v>0.03</v>
      </c>
      <c r="G15" s="2019"/>
      <c r="H15" s="2020" t="s">
        <v>906</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932</v>
      </c>
      <c r="B16" s="1983" t="s">
        <v>1113</v>
      </c>
      <c r="C16" s="1002">
        <f ca="1">ROUND(INDIRECT("'数据-取费表'!m"&amp;$G$1)*F16,0)</f>
        <v>0</v>
      </c>
      <c r="D16" s="1983" t="s">
        <v>1182</v>
      </c>
      <c r="E16" s="1983" t="s">
        <v>1183</v>
      </c>
      <c r="F16" s="2021">
        <f ca="1">IF(INDIRECT("'数据-取费表'!c"&amp;$G$1)="住宅",'数据-取费表'!B34,0)</f>
        <v>0</v>
      </c>
      <c r="G16" s="760"/>
      <c r="H16" s="2007" t="s">
        <v>1184</v>
      </c>
      <c r="I16" s="2008" t="s">
        <v>1185</v>
      </c>
      <c r="J16" s="2009">
        <f ca="1">ROUND(J17+J22+J23+J24,0)</f>
        <v>0</v>
      </c>
      <c r="K16" s="2033" t="s">
        <v>1186</v>
      </c>
      <c r="L16" s="2034"/>
      <c r="M16" s="1979"/>
    </row>
    <row r="17" spans="1:37" s="1951" customFormat="1" ht="18" customHeight="1">
      <c r="A17" s="2012" t="s">
        <v>1187</v>
      </c>
      <c r="B17" s="1983" t="s">
        <v>1188</v>
      </c>
      <c r="C17" s="1002">
        <f ca="1">ROUND(F17*(F43+INDIRECT("'数据-取费表'!S"&amp;$G$1))/10000,0)</f>
        <v>0</v>
      </c>
      <c r="D17" s="1983" t="s">
        <v>1189</v>
      </c>
      <c r="E17" s="1983" t="s">
        <v>1190</v>
      </c>
      <c r="F17" s="2022">
        <f>'数据-取费表'!B35</f>
        <v>200</v>
      </c>
      <c r="G17" s="2019"/>
      <c r="H17" s="2012" t="s">
        <v>902</v>
      </c>
      <c r="I17" s="1983" t="s">
        <v>1191</v>
      </c>
      <c r="J17" s="2036">
        <f ca="1">ROUND(IF(AND(项目基本情况!B11="自然人",项目基本情况!B10="北京市"),J6*M17/(1+'数据-取费表'!C42),J18+J19+J20),2)</f>
        <v>0</v>
      </c>
      <c r="K17" s="2014" t="s">
        <v>1192</v>
      </c>
      <c r="L17" s="2037" t="s">
        <v>1193</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1119</v>
      </c>
      <c r="C18" s="1002">
        <f ca="1">ROUND(C14*F18,0)</f>
        <v>0</v>
      </c>
      <c r="D18" s="1983" t="s">
        <v>1182</v>
      </c>
      <c r="E18" s="1983" t="s">
        <v>1183</v>
      </c>
      <c r="F18" s="2021">
        <f>'数据-取费表'!B36</f>
        <v>0.02</v>
      </c>
      <c r="G18" s="2019"/>
      <c r="H18" s="2012" t="s">
        <v>925</v>
      </c>
      <c r="I18" s="1983" t="s">
        <v>1195</v>
      </c>
      <c r="J18" s="1002">
        <f ca="1">ROUND(J6*M18/(1+'数据-取费表'!C42),2)</f>
        <v>0</v>
      </c>
      <c r="K18" s="2037" t="s">
        <v>1196</v>
      </c>
      <c r="L18" s="1983" t="s">
        <v>1183</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902</v>
      </c>
      <c r="B19" s="1983" t="s">
        <v>1197</v>
      </c>
      <c r="C19" s="1002">
        <f ca="1">SUM(C14:C18)</f>
        <v>0</v>
      </c>
      <c r="D19" s="2023" t="s">
        <v>1198</v>
      </c>
      <c r="E19" s="1004"/>
      <c r="F19" s="2022"/>
      <c r="G19" s="760"/>
      <c r="H19" s="2012" t="s">
        <v>929</v>
      </c>
      <c r="I19" s="1983" t="s">
        <v>1199</v>
      </c>
      <c r="J19" s="1002">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906</v>
      </c>
      <c r="B20" s="1983" t="s">
        <v>1201</v>
      </c>
      <c r="C20" s="1002">
        <f ca="1">ROUND(C19*F20,0)</f>
        <v>0</v>
      </c>
      <c r="D20" s="2024" t="s">
        <v>1202</v>
      </c>
      <c r="E20" s="1983" t="s">
        <v>1183</v>
      </c>
      <c r="F20" s="2021">
        <f>'数据-取费表'!B37</f>
        <v>0.02</v>
      </c>
      <c r="G20" s="2019"/>
      <c r="H20" s="2012" t="s">
        <v>932</v>
      </c>
      <c r="I20" s="1982" t="s">
        <v>1203</v>
      </c>
      <c r="J20" s="2042">
        <f ca="1">ROUND(M20*M21/10000,2)</f>
        <v>0</v>
      </c>
      <c r="K20" s="2043" t="s">
        <v>1204</v>
      </c>
      <c r="L20" s="1983" t="s">
        <v>1205</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951</v>
      </c>
      <c r="B21" s="1983" t="s">
        <v>1206</v>
      </c>
      <c r="C21" s="1002" t="s">
        <v>124</v>
      </c>
      <c r="D21" s="2024" t="s">
        <v>1207</v>
      </c>
      <c r="E21" s="1983" t="s">
        <v>1208</v>
      </c>
      <c r="F21" s="2021">
        <f>'数据-取费表'!B38</f>
        <v>0.02</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954</v>
      </c>
      <c r="B22" s="1983" t="s">
        <v>1210</v>
      </c>
      <c r="C22" s="1002"/>
      <c r="D22" s="2023" t="str">
        <f>IF(F23&lt;=1,"单利计息。","复利计息。")&amp;"建造成本、管理费用、销售费用产生的利息。"</f>
        <v>单利计息。建造成本、管理费用、销售费用产生的利息。</v>
      </c>
      <c r="E22" s="1004"/>
      <c r="F22" s="2022"/>
      <c r="G22" s="760"/>
      <c r="H22" s="2012" t="s">
        <v>906</v>
      </c>
      <c r="I22" s="1983" t="s">
        <v>1211</v>
      </c>
      <c r="J22" s="1002">
        <f ca="1">ROUND(J14*M22,2)</f>
        <v>0</v>
      </c>
      <c r="K22" s="2037" t="s">
        <v>1212</v>
      </c>
      <c r="L22" s="1983" t="s">
        <v>1183</v>
      </c>
      <c r="M22" s="2049">
        <f ca="1">INDIRECT("'数据-取费表'!Ak"&amp;$G$1)</f>
        <v>0</v>
      </c>
    </row>
    <row r="23" spans="1:37" s="1951" customFormat="1" ht="18" customHeight="1">
      <c r="A23" s="2012" t="s">
        <v>925</v>
      </c>
      <c r="B23" s="1983" t="s">
        <v>1213</v>
      </c>
      <c r="C23" s="1002">
        <f ca="1">IF('数据-取费表'!B22&lt;=1,ROUND(C19*F24*F23/2,0)+ROUND(C20*F24*F23/2,0),ROUND(C19*(POWER((1+F24),F23/2)-1),0)+ROUND(C20*(POWER((1+F24),F23/2)-1),0))</f>
        <v>0</v>
      </c>
      <c r="D23" s="2026" t="str">
        <f>IF(F23&lt;=1,"(建造成本+管理费用)×利率×(建设周期÷2)","(建造成本+管理费用)×((1+利率)^(建设周期÷2)-1)")</f>
        <v>(建造成本+管理费用)×利率×(建设周期÷2)</v>
      </c>
      <c r="E23" s="1983" t="s">
        <v>1214</v>
      </c>
      <c r="F23" s="2027">
        <f>'数据-取费表'!B20</f>
        <v>1</v>
      </c>
      <c r="G23" s="2019"/>
      <c r="H23" s="2012" t="s">
        <v>951</v>
      </c>
      <c r="I23" s="1983" t="s">
        <v>1215</v>
      </c>
      <c r="J23" s="1002">
        <f ca="1">ROUND(J13*M23,2)</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929</v>
      </c>
      <c r="B24" s="1983" t="s">
        <v>1217</v>
      </c>
      <c r="C24" s="1002">
        <f ca="1">ROUND(IF('数据-取费表'!B22&lt;=1,F21*F24*F23/2,F21*(POWER((1+F24),F23/2)-1)),4)</f>
        <v>2.9999999999999997E-4</v>
      </c>
      <c r="D24" s="2026" t="str">
        <f>IF(F23&lt;=1,"销售费用×利率×(建设周期÷2)","销售费用×((1+利率)^(建设周期÷2)-1)")</f>
        <v>销售费用×利率×(建设周期÷2)</v>
      </c>
      <c r="E24" s="1983" t="s">
        <v>1218</v>
      </c>
      <c r="F24" s="2028">
        <f ca="1">'数据-取费表'!B40</f>
        <v>3.4500000000000003E-2</v>
      </c>
      <c r="G24" s="2019"/>
      <c r="H24" s="2020" t="s">
        <v>954</v>
      </c>
      <c r="I24" s="2005" t="s">
        <v>1201</v>
      </c>
      <c r="J24" s="2029">
        <f ca="1">ROUND(J5*M24,2)</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958</v>
      </c>
      <c r="B25" s="1983" t="s">
        <v>1220</v>
      </c>
      <c r="C25" s="1002"/>
      <c r="D25" s="2023" t="s">
        <v>1221</v>
      </c>
      <c r="E25" s="1004"/>
      <c r="F25" s="2022"/>
      <c r="G25" s="760"/>
      <c r="H25" s="2007" t="s">
        <v>1222</v>
      </c>
      <c r="I25" s="2051" t="s">
        <v>1223</v>
      </c>
      <c r="J25" s="2009">
        <f ca="1">J5-J16</f>
        <v>0</v>
      </c>
      <c r="K25" s="2052" t="s">
        <v>1224</v>
      </c>
      <c r="L25" s="2053"/>
      <c r="M25" s="2054"/>
    </row>
    <row r="26" spans="1:37">
      <c r="A26" s="2012" t="s">
        <v>925</v>
      </c>
      <c r="B26" s="1983" t="s">
        <v>1225</v>
      </c>
      <c r="C26" s="1002">
        <f ca="1">ROUND((C19+C20)*F26,0)</f>
        <v>0</v>
      </c>
      <c r="D26" s="2024" t="s">
        <v>1226</v>
      </c>
      <c r="E26" s="1994" t="s">
        <v>1227</v>
      </c>
      <c r="F26" s="1991">
        <f ca="1">INDIRECT("'数据-取费表'!q"&amp;$G$1)</f>
        <v>0</v>
      </c>
      <c r="G26" s="760"/>
      <c r="H26" s="1974" t="s">
        <v>1228</v>
      </c>
      <c r="I26" s="1975" t="s">
        <v>1229</v>
      </c>
      <c r="J26" s="2055">
        <f ca="1">IF(J5&lt;&gt;0,ROUND(J25*(1-((1+M28)/(1+M26))^M27)/(M26-M28),0),0)</f>
        <v>0</v>
      </c>
      <c r="K26" s="2043" t="s">
        <v>1230</v>
      </c>
      <c r="L26" s="1983" t="s">
        <v>1231</v>
      </c>
      <c r="M26" s="1991">
        <f ca="1">INDIRECT("'数据-取费表'!I"&amp;$G$1)</f>
        <v>0</v>
      </c>
    </row>
    <row r="27" spans="1:37" ht="18" customHeight="1">
      <c r="A27" s="2012" t="s">
        <v>929</v>
      </c>
      <c r="B27" s="1983" t="s">
        <v>1232</v>
      </c>
      <c r="C27" s="1002">
        <f ca="1">ROUND(F21*F26,4)</f>
        <v>0</v>
      </c>
      <c r="D27" s="2024" t="s">
        <v>1233</v>
      </c>
      <c r="E27" s="2017"/>
      <c r="F27" s="2018"/>
      <c r="G27" s="760"/>
      <c r="H27" s="1989"/>
      <c r="I27" s="2057"/>
      <c r="J27" s="1990"/>
      <c r="K27" s="2058" t="s">
        <v>1234</v>
      </c>
      <c r="L27" s="1983" t="s">
        <v>1235</v>
      </c>
      <c r="M27" s="2059">
        <f ca="1">INDIRECT("'数据-取费表'!ag"&amp;$G$1)</f>
        <v>0</v>
      </c>
    </row>
    <row r="28" spans="1:37" s="1951" customFormat="1" ht="18" customHeight="1">
      <c r="A28" s="2012" t="s">
        <v>959</v>
      </c>
      <c r="B28" s="1983" t="s">
        <v>1236</v>
      </c>
      <c r="C28" s="1002">
        <f>ROUND(F28/(1+'数据-取费表'!C42),4)</f>
        <v>5.2400000000000002E-2</v>
      </c>
      <c r="D28" s="2024" t="s">
        <v>1237</v>
      </c>
      <c r="E28" s="1983" t="s">
        <v>1183</v>
      </c>
      <c r="F28" s="2021">
        <f>'数据-取费表'!B41</f>
        <v>5.5E-2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1144</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0"/>
      <c r="H30" s="2035"/>
      <c r="I30" s="2144"/>
      <c r="J30" s="2145"/>
      <c r="K30" s="2146"/>
      <c r="L30" s="2147"/>
      <c r="M30" s="2148"/>
    </row>
    <row r="31" spans="1:37" ht="18" customHeight="1">
      <c r="A31" s="2012" t="s">
        <v>902</v>
      </c>
      <c r="B31" s="1983" t="s">
        <v>1191</v>
      </c>
      <c r="C31" s="2036">
        <f ca="1">ROUND(IF(AND(项目基本情况!B11="自然人",项目基本情况!B10="北京市"),C6*F31/(1+'数据-取费表'!C42),C32+C33+C34),2)</f>
        <v>0</v>
      </c>
      <c r="D31" s="2014" t="s">
        <v>1192</v>
      </c>
      <c r="E31" s="2037" t="s">
        <v>1193</v>
      </c>
      <c r="F31" s="2038">
        <f ca="1">IF(项目基本情况!B11="企业","——",IF(M47="住宅",IF(F6*F7*F8/12/(1+'数据-取费表'!F30)&gt;100000,4%,2.5%),IF(F6*F7*F8/12/(1+'数据-取费表'!F30)&gt;100000,12%,7%)))</f>
        <v>7.0000000000000007E-2</v>
      </c>
      <c r="G31" s="760"/>
      <c r="H31" s="2039" t="s">
        <v>1243</v>
      </c>
      <c r="I31" s="2144"/>
      <c r="J31" s="2145"/>
      <c r="K31" s="2146"/>
      <c r="L31" s="2147"/>
      <c r="M31" s="2148"/>
    </row>
    <row r="32" spans="1:37" ht="18" customHeight="1">
      <c r="A32" s="2012" t="s">
        <v>925</v>
      </c>
      <c r="B32" s="1983" t="s">
        <v>1195</v>
      </c>
      <c r="C32" s="1002">
        <f ca="1">IF(项目基本情况!B11="自然人","——",ROUND(C6*F32/(1+'数据-取费表'!C42),2))</f>
        <v>0</v>
      </c>
      <c r="D32" s="2037" t="s">
        <v>1196</v>
      </c>
      <c r="E32" s="1983" t="s">
        <v>1183</v>
      </c>
      <c r="F32" s="2028">
        <f>'数据-取费表'!B41</f>
        <v>5.5E-2</v>
      </c>
      <c r="G32" s="760"/>
      <c r="H32" s="2035"/>
      <c r="I32" s="2144"/>
      <c r="J32" s="2145"/>
      <c r="K32" s="2146"/>
      <c r="L32" s="2147"/>
      <c r="M32" s="2148"/>
    </row>
    <row r="33" spans="1:18" ht="18" customHeight="1">
      <c r="A33" s="2012" t="s">
        <v>929</v>
      </c>
      <c r="B33" s="1983" t="s">
        <v>1199</v>
      </c>
      <c r="C33" s="1002">
        <f ca="1">IF(项目基本情况!B11="自然人","——",IF(D33="按租金收入计税",ROUND(C6*F33/(1+'数据-取费表'!C42),2),IF(D33="按房产原值计税",ROUND(C29*F33*0.7,2),INDIRECT("'数据-取费表'!Aj"&amp;$G$1))))</f>
        <v>0</v>
      </c>
      <c r="D33" s="2040" t="s">
        <v>1200</v>
      </c>
      <c r="E33" s="1983" t="s">
        <v>1183</v>
      </c>
      <c r="F33" s="2021">
        <f>IF(D33="按票据","——",IF(D33="按租金收入计税",'数据-取费表'!B51,'数据-取费表'!B50))</f>
        <v>0.12</v>
      </c>
      <c r="G33" s="760"/>
      <c r="H33" s="2041"/>
      <c r="I33" s="2144"/>
      <c r="J33" s="2145"/>
      <c r="K33" s="2149"/>
      <c r="L33" s="2041"/>
      <c r="M33" s="2041"/>
    </row>
    <row r="34" spans="1:18" ht="18" customHeight="1">
      <c r="A34" s="1980" t="s">
        <v>932</v>
      </c>
      <c r="B34" s="1982" t="s">
        <v>1203</v>
      </c>
      <c r="C34" s="2042">
        <f ca="1">IF(项目基本情况!B11="自然人","——",ROUND(F34*F35/10000,2))</f>
        <v>0</v>
      </c>
      <c r="D34" s="2043" t="s">
        <v>1204</v>
      </c>
      <c r="E34" s="1983" t="s">
        <v>1205</v>
      </c>
      <c r="F34" s="2027">
        <f>'数据-取费表'!B52</f>
        <v>1.5</v>
      </c>
      <c r="G34" s="760"/>
      <c r="H34" s="2035"/>
      <c r="I34" s="2144"/>
      <c r="J34" s="2145"/>
      <c r="K34" s="2150"/>
      <c r="L34" s="2151"/>
      <c r="M34" s="2151"/>
    </row>
    <row r="35" spans="1:18" ht="18" customHeight="1">
      <c r="A35" s="2044"/>
      <c r="B35" s="2045"/>
      <c r="C35" s="2046"/>
      <c r="D35" s="2047"/>
      <c r="E35" s="1983" t="s">
        <v>1209</v>
      </c>
      <c r="F35" s="1984">
        <f ca="1">INDIRECT("'数据-取费表'!r"&amp;$G$1)</f>
        <v>0</v>
      </c>
      <c r="G35" s="760"/>
      <c r="H35" s="2035"/>
      <c r="I35" s="2144"/>
      <c r="J35" s="2145"/>
      <c r="K35" s="2149"/>
      <c r="L35" s="2041"/>
      <c r="M35" s="2041"/>
    </row>
    <row r="36" spans="1:18" ht="18" customHeight="1">
      <c r="A36" s="2048" t="s">
        <v>906</v>
      </c>
      <c r="B36" s="1983" t="s">
        <v>1211</v>
      </c>
      <c r="C36" s="1002">
        <f ca="1">ROUND(C29*F36,2)</f>
        <v>0</v>
      </c>
      <c r="D36" s="2037" t="s">
        <v>1244</v>
      </c>
      <c r="E36" s="1983" t="s">
        <v>1183</v>
      </c>
      <c r="F36" s="2049">
        <f ca="1">INDIRECT("'数据-取费表'!Ak"&amp;$G$1)</f>
        <v>0</v>
      </c>
      <c r="G36" s="760"/>
      <c r="H36" s="2041"/>
      <c r="I36" s="2144"/>
      <c r="J36" s="2145"/>
      <c r="K36" s="2152"/>
      <c r="L36" s="2041"/>
      <c r="M36" s="2041"/>
    </row>
    <row r="37" spans="1:18" ht="18" customHeight="1">
      <c r="A37" s="2012" t="s">
        <v>951</v>
      </c>
      <c r="B37" s="1983" t="s">
        <v>1215</v>
      </c>
      <c r="C37" s="1002">
        <f ca="1">ROUND(C13*F37,2)</f>
        <v>0</v>
      </c>
      <c r="D37" s="2037" t="s">
        <v>1216</v>
      </c>
      <c r="E37" s="1983" t="s">
        <v>1183</v>
      </c>
      <c r="F37" s="2050">
        <f ca="1">INDIRECT("'数据-取费表'!Al"&amp;$G$1)</f>
        <v>0</v>
      </c>
      <c r="G37" s="760"/>
      <c r="H37" s="2041"/>
      <c r="I37" s="2144"/>
      <c r="J37" s="2145"/>
      <c r="K37" s="2152"/>
      <c r="L37" s="2041"/>
      <c r="M37" s="2041"/>
    </row>
    <row r="38" spans="1:18" ht="18" customHeight="1">
      <c r="A38" s="2020" t="s">
        <v>954</v>
      </c>
      <c r="B38" s="2005" t="s">
        <v>1201</v>
      </c>
      <c r="C38" s="2029">
        <f ca="1">ROUND(C5*F38,2)</f>
        <v>0</v>
      </c>
      <c r="D38" s="2030" t="s">
        <v>1219</v>
      </c>
      <c r="E38" s="2005" t="s">
        <v>1183</v>
      </c>
      <c r="F38" s="2006">
        <f ca="1">INDIRECT("'数据-取费表'!Am"&amp;$G$1)</f>
        <v>0</v>
      </c>
      <c r="G38" s="760"/>
      <c r="H38" s="2041"/>
      <c r="I38" s="2144"/>
      <c r="J38" s="2145"/>
      <c r="K38" s="2153"/>
      <c r="L38" s="2041"/>
      <c r="M38" s="2041"/>
    </row>
    <row r="39" spans="1:18" ht="24.6" customHeight="1">
      <c r="A39" s="2007" t="s">
        <v>1222</v>
      </c>
      <c r="B39" s="2051" t="s">
        <v>1223</v>
      </c>
      <c r="C39" s="2009">
        <f ca="1">C5-C30</f>
        <v>0</v>
      </c>
      <c r="D39" s="2052" t="s">
        <v>1224</v>
      </c>
      <c r="E39" s="2053"/>
      <c r="F39" s="2054"/>
      <c r="G39" s="760"/>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0"/>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1238</v>
      </c>
      <c r="F42" s="1991">
        <f ca="1">INDIRECT("'数据-取费表'!v"&amp;$G$1)</f>
        <v>0</v>
      </c>
      <c r="G42" s="760"/>
      <c r="H42" s="2060"/>
      <c r="I42" s="2144"/>
      <c r="J42" s="2145"/>
      <c r="K42" s="2152"/>
      <c r="L42" s="2060"/>
      <c r="M42" s="2060"/>
    </row>
    <row r="43" spans="1:18" ht="18" customHeight="1">
      <c r="A43" s="2032" t="s">
        <v>1240</v>
      </c>
      <c r="B43" s="2062" t="s">
        <v>1246</v>
      </c>
      <c r="C43" s="2063" t="e">
        <f ca="1">ROUND(C40*10000/F43,0)</f>
        <v>#DIV/0!</v>
      </c>
      <c r="D43" s="2064" t="s">
        <v>1247</v>
      </c>
      <c r="E43" s="2065" t="s">
        <v>1248</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1249</v>
      </c>
      <c r="P45" s="2056"/>
      <c r="Q45" s="2056"/>
      <c r="R45" s="2056"/>
    </row>
    <row r="46" spans="1:18" s="760" customFormat="1">
      <c r="A46" s="2072" t="s">
        <v>1250</v>
      </c>
      <c r="C46" s="2073" t="e">
        <f ca="1">C68-C40</f>
        <v>#DIV/0!</v>
      </c>
      <c r="D46" s="2074" t="str">
        <f>C2</f>
        <v>万元</v>
      </c>
      <c r="E46" s="2067"/>
      <c r="F46" s="2067"/>
      <c r="I46" s="2156" t="s">
        <v>1251</v>
      </c>
      <c r="J46" s="2157"/>
      <c r="K46" s="2158"/>
      <c r="L46" s="2159" t="e">
        <f ca="1">IF(M47="住宅",0,IF(L48&gt;J51,L60,J60))</f>
        <v>#DIV/0!</v>
      </c>
      <c r="O46" s="2160" t="s">
        <v>1252</v>
      </c>
      <c r="P46" s="2161" t="s">
        <v>1253</v>
      </c>
      <c r="Q46" s="2206" t="s">
        <v>1254</v>
      </c>
      <c r="R46" s="2206" t="s">
        <v>1255</v>
      </c>
    </row>
    <row r="47" spans="1:18" s="760" customFormat="1">
      <c r="A47" s="2075" t="s">
        <v>1156</v>
      </c>
      <c r="B47" s="2076" t="s">
        <v>1157</v>
      </c>
      <c r="C47" s="2234" t="s">
        <v>1158</v>
      </c>
      <c r="D47" s="2076" t="s">
        <v>1159</v>
      </c>
      <c r="E47" s="2077" t="s">
        <v>1160</v>
      </c>
      <c r="F47" s="995"/>
      <c r="G47" s="2078"/>
      <c r="I47" s="2162" t="s">
        <v>1256</v>
      </c>
      <c r="J47" s="2163"/>
      <c r="K47" s="2164" t="s">
        <v>1257</v>
      </c>
      <c r="L47" s="2165">
        <f ca="1">INDIRECT("'数据-取费表'!d"&amp;$G$1)</f>
        <v>0</v>
      </c>
      <c r="M47" s="2166" t="str">
        <f>IF(ISNUMBER(FIND("住宅",C1)),"住宅","非住宅")</f>
        <v>非住宅</v>
      </c>
      <c r="O47" s="2167" t="s">
        <v>1007</v>
      </c>
      <c r="P47" s="2168" t="s">
        <v>1258</v>
      </c>
      <c r="Q47" s="2207" t="e">
        <f ca="1">C40+J29</f>
        <v>#DIV/0!</v>
      </c>
      <c r="R47" s="2207" t="s">
        <v>1259</v>
      </c>
    </row>
    <row r="48" spans="1:18" s="760" customFormat="1" ht="27.75">
      <c r="A48" s="2079" t="s">
        <v>1260</v>
      </c>
      <c r="B48" s="1975" t="s">
        <v>1161</v>
      </c>
      <c r="C48" s="1003">
        <f ca="1">C49+C53+C55</f>
        <v>0</v>
      </c>
      <c r="D48" s="2080"/>
      <c r="E48" s="2081"/>
      <c r="F48" s="2082"/>
      <c r="G48" s="2078"/>
      <c r="H48" s="2083"/>
      <c r="I48" s="2169" t="s">
        <v>1261</v>
      </c>
      <c r="J48" s="2170"/>
      <c r="K48" s="2171" t="s">
        <v>1262</v>
      </c>
      <c r="L48" s="2172">
        <f ca="1">INDIRECT("'数据-取费表'!f"&amp;$G$1)</f>
        <v>0</v>
      </c>
      <c r="O48" s="2167" t="s">
        <v>1010</v>
      </c>
      <c r="P48" s="2168" t="s">
        <v>1263</v>
      </c>
      <c r="Q48" s="2207" t="e">
        <f ca="1">J60</f>
        <v>#DIV/0!</v>
      </c>
      <c r="R48" s="2207" t="s">
        <v>1264</v>
      </c>
    </row>
    <row r="49" spans="1:18" s="760" customFormat="1">
      <c r="A49" s="2084" t="s">
        <v>1265</v>
      </c>
      <c r="B49" s="2085" t="s">
        <v>1266</v>
      </c>
      <c r="C49" s="2086">
        <f ca="1">ROUND(F49*F51*F50*(1-F52)/10000,0)</f>
        <v>0</v>
      </c>
      <c r="D49" s="2087" t="s">
        <v>1166</v>
      </c>
      <c r="E49" s="2088" t="s">
        <v>1267</v>
      </c>
      <c r="F49" s="2089"/>
      <c r="G49" s="2090"/>
      <c r="H49" s="2083"/>
      <c r="I49" s="2169" t="s">
        <v>1268</v>
      </c>
      <c r="J49" s="2173"/>
      <c r="K49" s="2171" t="s">
        <v>1269</v>
      </c>
      <c r="L49" s="2174"/>
      <c r="O49" s="2175" t="s">
        <v>1270</v>
      </c>
      <c r="P49" s="2168" t="s">
        <v>1271</v>
      </c>
      <c r="Q49" s="2207">
        <f ca="1">C29</f>
        <v>0</v>
      </c>
      <c r="R49" s="2207" t="s">
        <v>1259</v>
      </c>
    </row>
    <row r="50" spans="1:18" s="760" customFormat="1">
      <c r="A50" s="2091"/>
      <c r="B50" s="2092"/>
      <c r="C50" s="2235"/>
      <c r="D50" s="2094"/>
      <c r="E50" s="2095" t="s">
        <v>1167</v>
      </c>
      <c r="F50" s="2096">
        <f ca="1">F7</f>
        <v>0</v>
      </c>
      <c r="H50" s="2083"/>
      <c r="I50" s="2169" t="s">
        <v>1272</v>
      </c>
      <c r="J50" s="2176">
        <f>SUMPRODUCT((I63:I65=J47)*(J62:L62=J48)*(J63:L65))</f>
        <v>0</v>
      </c>
      <c r="K50" s="2171" t="s">
        <v>1273</v>
      </c>
      <c r="L50" s="2174"/>
      <c r="M50" s="2177"/>
      <c r="O50" s="2175" t="s">
        <v>1274</v>
      </c>
      <c r="P50" s="2168" t="s">
        <v>1275</v>
      </c>
      <c r="Q50" s="2208" t="e">
        <f ca="1">J58</f>
        <v>#DIV/0!</v>
      </c>
      <c r="R50" s="2207"/>
    </row>
    <row r="51" spans="1:18" s="760" customFormat="1">
      <c r="A51" s="2097"/>
      <c r="B51" s="2092"/>
      <c r="C51" s="2093"/>
      <c r="D51" s="2094"/>
      <c r="E51" s="2098" t="s">
        <v>1168</v>
      </c>
      <c r="F51" s="1984">
        <f ca="1">F8</f>
        <v>0</v>
      </c>
      <c r="I51" s="2178" t="s">
        <v>1276</v>
      </c>
      <c r="J51" s="2179">
        <f>IF(J49="",J50,J49+J50-YEAR('数据-取费表'!B2))</f>
        <v>0</v>
      </c>
      <c r="K51" s="2180" t="s">
        <v>1277</v>
      </c>
      <c r="L51" s="2181">
        <f ca="1">ROUND(-PV(INDIRECT("'数据-取费表'!h"&amp;$G$1),J51,(C39-C13*C76),0),0)</f>
        <v>0</v>
      </c>
      <c r="M51" s="2182"/>
      <c r="O51" s="2175" t="s">
        <v>1278</v>
      </c>
      <c r="P51" s="2168" t="s">
        <v>1279</v>
      </c>
      <c r="Q51" s="2208">
        <f>J52</f>
        <v>0</v>
      </c>
      <c r="R51" s="2207"/>
    </row>
    <row r="52" spans="1:18" s="760" customFormat="1">
      <c r="A52" s="2097"/>
      <c r="B52" s="2092"/>
      <c r="C52" s="2093"/>
      <c r="D52" s="2094"/>
      <c r="E52" s="2098" t="s">
        <v>1169</v>
      </c>
      <c r="F52" s="2099"/>
      <c r="I52" s="2183" t="s">
        <v>1280</v>
      </c>
      <c r="J52" s="2184"/>
      <c r="K52" s="2183" t="s">
        <v>1281</v>
      </c>
      <c r="L52" s="2184"/>
      <c r="O52" s="2175" t="s">
        <v>1282</v>
      </c>
      <c r="P52" s="2168" t="s">
        <v>1283</v>
      </c>
      <c r="Q52" s="2207">
        <f ca="1">J53</f>
        <v>0</v>
      </c>
      <c r="R52" s="2207" t="s">
        <v>1284</v>
      </c>
    </row>
    <row r="53" spans="1:18" s="760" customFormat="1" ht="24">
      <c r="A53" s="2236" t="s">
        <v>1285</v>
      </c>
      <c r="B53" s="2237" t="s">
        <v>1170</v>
      </c>
      <c r="C53" s="1001">
        <f ca="1">ROUND(IF(F53="押一",C49/12*F11,IF(F53="押二",C49/12*2*F11,IF(F53="押三",C49/12*3*F11,C54*F11))),0)</f>
        <v>0</v>
      </c>
      <c r="D53" s="1993" t="s">
        <v>1171</v>
      </c>
      <c r="E53" s="1994" t="s">
        <v>1172</v>
      </c>
      <c r="F53" s="1995"/>
      <c r="I53" s="2185" t="s">
        <v>1286</v>
      </c>
      <c r="J53" s="2186">
        <f ca="1">IF(M47="住宅",IF(D1="——",MAX(J51,L48),MAX(J51,L48-'数据-取费表'!B24)),IF(D1="——",MIN(J51,L48),MIN(J51,L48-'数据-取费表'!B24)))</f>
        <v>0</v>
      </c>
      <c r="K53" s="3619" t="s">
        <v>1287</v>
      </c>
      <c r="L53" s="3620"/>
      <c r="O53" s="2167" t="s">
        <v>1112</v>
      </c>
      <c r="P53" s="2168" t="s">
        <v>1288</v>
      </c>
      <c r="Q53" s="2207" t="e">
        <f ca="1">Q47+Q48</f>
        <v>#DIV/0!</v>
      </c>
      <c r="R53" s="2207" t="s">
        <v>1289</v>
      </c>
    </row>
    <row r="54" spans="1:18" s="760"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1290</v>
      </c>
      <c r="P54" s="2189"/>
      <c r="Q54" s="2189"/>
      <c r="R54" s="2189"/>
    </row>
    <row r="55" spans="1:18" s="760" customFormat="1">
      <c r="A55" s="2001" t="s">
        <v>951</v>
      </c>
      <c r="B55" s="2002" t="s">
        <v>1175</v>
      </c>
      <c r="C55" s="2003"/>
      <c r="D55" s="1993"/>
      <c r="E55" s="2102"/>
      <c r="F55" s="2103"/>
      <c r="I55" s="2190" t="s">
        <v>1291</v>
      </c>
      <c r="J55" s="2191" t="e">
        <f ca="1">ROUND(IF(J47="钢混",J57/J50,1-(1-2%)*(J50-J57)/J50),3)</f>
        <v>#DIV/0!</v>
      </c>
      <c r="K55" s="2192" t="s">
        <v>1292</v>
      </c>
      <c r="L55" s="2193"/>
      <c r="O55" s="2160" t="s">
        <v>1252</v>
      </c>
      <c r="P55" s="2161" t="s">
        <v>1253</v>
      </c>
      <c r="Q55" s="2206" t="s">
        <v>1254</v>
      </c>
      <c r="R55" s="2206" t="s">
        <v>1255</v>
      </c>
    </row>
    <row r="56" spans="1:18" s="760" customFormat="1" ht="24">
      <c r="A56" s="2104">
        <v>2</v>
      </c>
      <c r="B56" s="2105" t="s">
        <v>1176</v>
      </c>
      <c r="C56" s="413">
        <f ca="1">C13</f>
        <v>0</v>
      </c>
      <c r="D56" s="2106"/>
      <c r="E56" s="2107"/>
      <c r="F56" s="2103"/>
      <c r="I56" s="2194" t="s">
        <v>1293</v>
      </c>
      <c r="J56" s="2195"/>
      <c r="K56" s="2169" t="s">
        <v>1294</v>
      </c>
      <c r="L56" s="2172">
        <f ca="1">IF(L48&lt;J51,"——",L48-J53)</f>
        <v>0</v>
      </c>
      <c r="O56" s="2167" t="s">
        <v>1007</v>
      </c>
      <c r="P56" s="2168" t="s">
        <v>1258</v>
      </c>
      <c r="Q56" s="2207" t="e">
        <f ca="1">C40+J29</f>
        <v>#DIV/0!</v>
      </c>
      <c r="R56" s="2207" t="s">
        <v>1259</v>
      </c>
    </row>
    <row r="57" spans="1:18" s="760" customFormat="1" ht="24">
      <c r="A57" s="2108"/>
      <c r="B57" s="2109" t="s">
        <v>1239</v>
      </c>
      <c r="C57" s="423">
        <f ca="1">C29</f>
        <v>0</v>
      </c>
      <c r="D57" s="2110"/>
      <c r="E57" s="2111"/>
      <c r="F57" s="2112"/>
      <c r="I57" s="2196" t="s">
        <v>1295</v>
      </c>
      <c r="J57" s="2197">
        <f ca="1">IF(OR(M47="住宅",J51&lt;L48,J56="是"),"——",J51-L48)</f>
        <v>0</v>
      </c>
      <c r="K57" s="2169" t="s">
        <v>1296</v>
      </c>
      <c r="L57" s="2172">
        <f ca="1">IF(L48&lt;J51,"——",IF(L55="比较法",L49,IF(L55="基准地价",L50,L51)))</f>
        <v>0</v>
      </c>
      <c r="O57" s="2167" t="s">
        <v>1010</v>
      </c>
      <c r="P57" s="2168" t="s">
        <v>1297</v>
      </c>
      <c r="Q57" s="2207" t="e">
        <f ca="1">L60</f>
        <v>#DIV/0!</v>
      </c>
      <c r="R57" s="2207" t="s">
        <v>1298</v>
      </c>
    </row>
    <row r="58" spans="1:18" s="760" customFormat="1" ht="24">
      <c r="A58" s="2113" t="s">
        <v>1184</v>
      </c>
      <c r="B58" s="2105" t="s">
        <v>1185</v>
      </c>
      <c r="C58" s="1001">
        <f ca="1">ROUND(C59+C64+C65+C66,0)</f>
        <v>0</v>
      </c>
      <c r="D58" s="2114" t="s">
        <v>1186</v>
      </c>
      <c r="E58" s="2115"/>
      <c r="F58" s="2082"/>
      <c r="I58" s="2196" t="s">
        <v>1299</v>
      </c>
      <c r="J58" s="2198" t="e">
        <f ca="1">IF(J55&lt;0.4,0.4,J55)</f>
        <v>#DIV/0!</v>
      </c>
      <c r="K58" s="2180" t="s">
        <v>1300</v>
      </c>
      <c r="L58" s="2172" t="e">
        <f ca="1">ROUND(POWER(1+L52,L47-L48)*(POWER(1+L52,L48)-1)/(POWER(1+L52,L47)-1),4)</f>
        <v>#DIV/0!</v>
      </c>
      <c r="O58" s="2175" t="s">
        <v>1270</v>
      </c>
      <c r="P58" s="2168" t="s">
        <v>1301</v>
      </c>
      <c r="Q58" s="2207">
        <f>IF(L55="比较法",L49,IF(L55="基准地价",L50,0))</f>
        <v>0</v>
      </c>
      <c r="R58" s="2207" t="s">
        <v>1259</v>
      </c>
    </row>
    <row r="59" spans="1:18" s="760" customFormat="1" ht="24">
      <c r="A59" s="2012" t="s">
        <v>902</v>
      </c>
      <c r="B59" s="2109" t="s">
        <v>1191</v>
      </c>
      <c r="C59" s="2036">
        <f ca="1">ROUND(IF(AND(项目基本情况!B11="自然人",项目基本情况!B10="北京市"),C49*F59/(1+'数据-取费表'!C42),C60+C61+C62),0)</f>
        <v>0</v>
      </c>
      <c r="D59" s="2116" t="s">
        <v>1192</v>
      </c>
      <c r="E59" s="2117" t="s">
        <v>1193</v>
      </c>
      <c r="F59" s="2038">
        <f ca="1">IF(项目基本情况!B11="企业","——",IF('数据-取费表'!B10="住宅",IF(F49*F50*F51/12/(1+'数据-取费表'!F30)&gt;100000,4%,2.5%),IF(F49*F50*F51/12/(1+'数据-取费表'!F30)&gt;100000,12%,7%)))</f>
        <v>7.0000000000000007E-2</v>
      </c>
      <c r="I59" s="2196" t="s">
        <v>1302</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1274</v>
      </c>
      <c r="P59" s="2168" t="s">
        <v>1303</v>
      </c>
      <c r="Q59" s="2208">
        <f>L52</f>
        <v>0</v>
      </c>
      <c r="R59" s="2207"/>
    </row>
    <row r="60" spans="1:18" s="760" customFormat="1" ht="15.75">
      <c r="A60" s="2012" t="s">
        <v>925</v>
      </c>
      <c r="B60" s="2109" t="s">
        <v>1195</v>
      </c>
      <c r="C60" s="1002">
        <f ca="1">IF(项目基本情况!B11="自然人","——",ROUND(C48*F60/(1+'数据-取费表'!C42),2))</f>
        <v>0</v>
      </c>
      <c r="D60" s="2117" t="s">
        <v>1196</v>
      </c>
      <c r="E60" s="2109" t="s">
        <v>1183</v>
      </c>
      <c r="F60" s="2028">
        <f t="shared" ref="F60:F66" si="0">F32</f>
        <v>5.5E-2</v>
      </c>
      <c r="I60" s="2199" t="s">
        <v>1304</v>
      </c>
      <c r="J60" s="2200" t="e">
        <f ca="1">IF(OR(M47="住宅",J51&lt;L48,J56="是"),"0",ROUND(J59/(1+J52)^J53,0))</f>
        <v>#DIV/0!</v>
      </c>
      <c r="K60" s="2201" t="s">
        <v>1305</v>
      </c>
      <c r="L60" s="2200" t="e">
        <f ca="1">IF(OR(M47="住宅",L48&lt;J51),0,ROUND(L57*(L58/L59-1),0))</f>
        <v>#DIV/0!</v>
      </c>
      <c r="O60" s="2175" t="s">
        <v>1278</v>
      </c>
      <c r="P60" s="2168" t="s">
        <v>1306</v>
      </c>
      <c r="Q60" s="2207" t="e">
        <f ca="1">L58</f>
        <v>#DIV/0!</v>
      </c>
      <c r="R60" s="2207" t="s">
        <v>1307</v>
      </c>
    </row>
    <row r="61" spans="1:18" s="760" customFormat="1">
      <c r="A61" s="2012" t="s">
        <v>929</v>
      </c>
      <c r="B61" s="2109" t="s">
        <v>1199</v>
      </c>
      <c r="C61" s="1002">
        <f ca="1">IF(项目基本情况!B11="自然人","——",IF(D61="按租金收入计税",ROUND(C49*F61/(1+'数据-取费表'!C42),2),IF(D61="按房产原值计税",ROUND(C57*F61*0.7,2),INDIRECT("'数据-取费表'!Aj"&amp;$G$1))))</f>
        <v>0</v>
      </c>
      <c r="D61" s="2040" t="s">
        <v>1200</v>
      </c>
      <c r="E61" s="2109" t="s">
        <v>1183</v>
      </c>
      <c r="F61" s="2021">
        <f t="shared" si="0"/>
        <v>0.12</v>
      </c>
      <c r="I61" s="2056"/>
      <c r="J61" s="2056"/>
      <c r="K61" s="2056"/>
      <c r="L61" s="2056"/>
      <c r="O61" s="2175" t="s">
        <v>1282</v>
      </c>
      <c r="P61" s="2168" t="str">
        <f>K59</f>
        <v>建筑物剩余耐用年限下的土地年期修正系数Kn</v>
      </c>
      <c r="Q61" s="2207" t="e">
        <f ca="1">L59</f>
        <v>#DIV/0!</v>
      </c>
      <c r="R61" s="2207" t="s">
        <v>1308</v>
      </c>
    </row>
    <row r="62" spans="1:18" s="760" customFormat="1">
      <c r="A62" s="2012" t="s">
        <v>932</v>
      </c>
      <c r="B62" s="2118" t="s">
        <v>1203</v>
      </c>
      <c r="C62" s="2042">
        <f ca="1">IF(项目基本情况!B11="自然人","——",ROUND(F62*F63/10000,2))</f>
        <v>0</v>
      </c>
      <c r="D62" s="2119" t="s">
        <v>1204</v>
      </c>
      <c r="E62" s="2109" t="s">
        <v>1205</v>
      </c>
      <c r="F62" s="2027">
        <f t="shared" si="0"/>
        <v>1.5</v>
      </c>
      <c r="I62" s="2202" t="s">
        <v>1309</v>
      </c>
      <c r="J62" s="2203" t="s">
        <v>1310</v>
      </c>
      <c r="K62" s="2203" t="s">
        <v>1311</v>
      </c>
      <c r="L62" s="2203" t="s">
        <v>1312</v>
      </c>
      <c r="M62" s="2204" t="s">
        <v>1313</v>
      </c>
      <c r="O62" s="2167" t="s">
        <v>1112</v>
      </c>
      <c r="P62" s="2168" t="s">
        <v>1288</v>
      </c>
      <c r="Q62" s="2207" t="e">
        <f ca="1">Q56+Q57</f>
        <v>#DIV/0!</v>
      </c>
      <c r="R62" s="2207" t="s">
        <v>1289</v>
      </c>
    </row>
    <row r="63" spans="1:18" s="760" customFormat="1">
      <c r="A63" s="2025"/>
      <c r="B63" s="2120"/>
      <c r="C63" s="2046"/>
      <c r="D63" s="2121"/>
      <c r="E63" s="2109" t="s">
        <v>1209</v>
      </c>
      <c r="F63" s="1984">
        <f t="shared" ca="1" si="0"/>
        <v>0</v>
      </c>
      <c r="I63" s="2202" t="s">
        <v>1314</v>
      </c>
      <c r="J63" s="2203">
        <v>70</v>
      </c>
      <c r="K63" s="2203">
        <v>50</v>
      </c>
      <c r="L63" s="2203">
        <v>80</v>
      </c>
      <c r="M63" s="2205">
        <v>0.02</v>
      </c>
      <c r="O63" s="2155" t="s">
        <v>1315</v>
      </c>
      <c r="P63" s="2189"/>
      <c r="Q63" s="2189"/>
      <c r="R63" s="2189"/>
    </row>
    <row r="64" spans="1:18" s="760" customFormat="1">
      <c r="A64" s="2012" t="s">
        <v>906</v>
      </c>
      <c r="B64" s="2109" t="s">
        <v>1211</v>
      </c>
      <c r="C64" s="1002">
        <f ca="1">ROUND(C57*F64,2)</f>
        <v>0</v>
      </c>
      <c r="D64" s="2117" t="s">
        <v>1244</v>
      </c>
      <c r="E64" s="2109" t="s">
        <v>1183</v>
      </c>
      <c r="F64" s="2049">
        <f t="shared" ca="1" si="0"/>
        <v>0</v>
      </c>
      <c r="I64" s="2202" t="s">
        <v>1316</v>
      </c>
      <c r="J64" s="2203">
        <v>50</v>
      </c>
      <c r="K64" s="2203">
        <v>35</v>
      </c>
      <c r="L64" s="2203">
        <v>60</v>
      </c>
      <c r="M64" s="2204">
        <v>0</v>
      </c>
      <c r="O64" s="2160" t="s">
        <v>1252</v>
      </c>
      <c r="P64" s="2161" t="s">
        <v>1253</v>
      </c>
      <c r="Q64" s="2206" t="s">
        <v>1254</v>
      </c>
      <c r="R64" s="2206" t="s">
        <v>1255</v>
      </c>
    </row>
    <row r="65" spans="1:18" s="760" customFormat="1">
      <c r="A65" s="2012" t="s">
        <v>951</v>
      </c>
      <c r="B65" s="2109" t="s">
        <v>1215</v>
      </c>
      <c r="C65" s="1002">
        <f ca="1">ROUND(C56*F65,2)</f>
        <v>0</v>
      </c>
      <c r="D65" s="2117" t="s">
        <v>1216</v>
      </c>
      <c r="E65" s="2109" t="s">
        <v>1183</v>
      </c>
      <c r="F65" s="2050">
        <f t="shared" ca="1" si="0"/>
        <v>0</v>
      </c>
      <c r="I65" s="2202" t="s">
        <v>1317</v>
      </c>
      <c r="J65" s="2203">
        <v>40</v>
      </c>
      <c r="K65" s="2203">
        <v>30</v>
      </c>
      <c r="L65" s="2203">
        <v>50</v>
      </c>
      <c r="M65" s="2205">
        <v>0.02</v>
      </c>
      <c r="O65" s="2167" t="s">
        <v>1007</v>
      </c>
      <c r="P65" s="2168" t="s">
        <v>1258</v>
      </c>
      <c r="Q65" s="2207" t="e">
        <f ca="1">C40+J29</f>
        <v>#DIV/0!</v>
      </c>
      <c r="R65" s="2207" t="s">
        <v>1259</v>
      </c>
    </row>
    <row r="66" spans="1:18" s="760" customFormat="1" ht="15.75">
      <c r="A66" s="2012" t="s">
        <v>954</v>
      </c>
      <c r="B66" s="2109" t="s">
        <v>1201</v>
      </c>
      <c r="C66" s="1002">
        <f ca="1">ROUND(C48*F66,2)</f>
        <v>0</v>
      </c>
      <c r="D66" s="2117" t="s">
        <v>1219</v>
      </c>
      <c r="E66" s="2109" t="s">
        <v>1183</v>
      </c>
      <c r="F66" s="1991">
        <f t="shared" ca="1" si="0"/>
        <v>0</v>
      </c>
      <c r="O66" s="2167" t="s">
        <v>1010</v>
      </c>
      <c r="P66" s="2168" t="s">
        <v>1297</v>
      </c>
      <c r="Q66" s="2207" t="e">
        <f ca="1">L60</f>
        <v>#DIV/0!</v>
      </c>
      <c r="R66" s="2207" t="s">
        <v>1298</v>
      </c>
    </row>
    <row r="67" spans="1:18" s="760" customFormat="1" ht="15.75">
      <c r="A67" s="2104" t="s">
        <v>1222</v>
      </c>
      <c r="B67" s="2209" t="s">
        <v>1223</v>
      </c>
      <c r="C67" s="1001">
        <f ca="1">C48-C58</f>
        <v>0</v>
      </c>
      <c r="D67" s="2116" t="s">
        <v>1224</v>
      </c>
      <c r="E67" s="2210"/>
      <c r="F67" s="2211"/>
      <c r="O67" s="2175" t="s">
        <v>1270</v>
      </c>
      <c r="P67" s="2168" t="s">
        <v>1301</v>
      </c>
      <c r="Q67" s="2231">
        <f ca="1">L51</f>
        <v>0</v>
      </c>
      <c r="R67" s="2207" t="s">
        <v>1318</v>
      </c>
    </row>
    <row r="68" spans="1:18" s="760" customFormat="1" ht="15.75">
      <c r="A68" s="2212" t="s">
        <v>1228</v>
      </c>
      <c r="B68" s="2213" t="s">
        <v>1245</v>
      </c>
      <c r="C68" s="2055" t="e">
        <f ca="1">ROUND(C67*(1-((1+F70)/(1+F68))^F69)/(F68-F70),0)</f>
        <v>#DIV/0!</v>
      </c>
      <c r="D68" s="2119" t="s">
        <v>1230</v>
      </c>
      <c r="E68" s="2109" t="s">
        <v>1231</v>
      </c>
      <c r="F68" s="1991">
        <f ca="1">F40</f>
        <v>0</v>
      </c>
      <c r="O68" s="2175" t="s">
        <v>1274</v>
      </c>
      <c r="P68" s="2230" t="s">
        <v>1319</v>
      </c>
      <c r="Q68" s="2207">
        <f ca="1">ROUND(Q69-Q70*Q71,0)</f>
        <v>0</v>
      </c>
      <c r="R68" s="2207" t="s">
        <v>1320</v>
      </c>
    </row>
    <row r="69" spans="1:18" s="760" customFormat="1">
      <c r="A69" s="2214"/>
      <c r="B69" s="2215"/>
      <c r="C69" s="1990"/>
      <c r="D69" s="2216" t="s">
        <v>1234</v>
      </c>
      <c r="E69" s="2109" t="s">
        <v>1235</v>
      </c>
      <c r="F69" s="2059">
        <f ca="1">F41</f>
        <v>0</v>
      </c>
      <c r="O69" s="2175" t="s">
        <v>1321</v>
      </c>
      <c r="P69" s="2230" t="s">
        <v>1322</v>
      </c>
      <c r="Q69" s="2207">
        <f ca="1">C39</f>
        <v>0</v>
      </c>
      <c r="R69" s="2207" t="s">
        <v>1259</v>
      </c>
    </row>
    <row r="70" spans="1:18" s="760" customFormat="1">
      <c r="A70" s="2217"/>
      <c r="B70" s="2218"/>
      <c r="C70" s="2009"/>
      <c r="D70" s="2121"/>
      <c r="E70" s="2109" t="s">
        <v>1238</v>
      </c>
      <c r="F70" s="2099"/>
      <c r="O70" s="2175" t="s">
        <v>1323</v>
      </c>
      <c r="P70" s="2230" t="s">
        <v>1324</v>
      </c>
      <c r="Q70" s="2207">
        <f ca="1">C13</f>
        <v>0</v>
      </c>
      <c r="R70" s="2207" t="s">
        <v>1259</v>
      </c>
    </row>
    <row r="71" spans="1:18" s="760" customFormat="1">
      <c r="A71" s="2219" t="s">
        <v>1240</v>
      </c>
      <c r="B71" s="2220" t="s">
        <v>1246</v>
      </c>
      <c r="C71" s="2063" t="e">
        <f ca="1">ROUND(C68*10000/F71,0)</f>
        <v>#DIV/0!</v>
      </c>
      <c r="D71" s="2221" t="s">
        <v>1247</v>
      </c>
      <c r="E71" s="2222" t="s">
        <v>1248</v>
      </c>
      <c r="F71" s="2066">
        <f ca="1">F43</f>
        <v>0</v>
      </c>
      <c r="O71" s="2175" t="s">
        <v>1325</v>
      </c>
      <c r="P71" s="2230" t="s">
        <v>1326</v>
      </c>
      <c r="Q71" s="2208">
        <f ca="1">C76</f>
        <v>0</v>
      </c>
      <c r="R71" s="2207"/>
    </row>
    <row r="72" spans="1:18" s="760" customFormat="1">
      <c r="B72" s="1035"/>
      <c r="C72" s="1035"/>
      <c r="O72" s="2175" t="s">
        <v>1278</v>
      </c>
      <c r="P72" s="2168" t="s">
        <v>1303</v>
      </c>
      <c r="Q72" s="2208">
        <f>L52</f>
        <v>0</v>
      </c>
      <c r="R72" s="2207"/>
    </row>
    <row r="73" spans="1:18" ht="15.75">
      <c r="A73" s="760"/>
      <c r="B73" s="1035"/>
      <c r="C73" s="1035"/>
      <c r="D73" s="760"/>
      <c r="E73" s="760"/>
      <c r="F73" s="760"/>
      <c r="O73" s="2175" t="s">
        <v>1282</v>
      </c>
      <c r="P73" s="2168" t="s">
        <v>1306</v>
      </c>
      <c r="Q73" s="2207" t="e">
        <f ca="1">L58</f>
        <v>#DIV/0!</v>
      </c>
      <c r="R73" s="2207" t="s">
        <v>1307</v>
      </c>
    </row>
    <row r="74" spans="1:18">
      <c r="A74" s="760"/>
      <c r="B74" s="455" t="s">
        <v>1327</v>
      </c>
      <c r="C74" s="2223"/>
      <c r="D74" s="760"/>
      <c r="E74" s="760"/>
      <c r="F74" s="760"/>
      <c r="O74" s="2175" t="s">
        <v>1328</v>
      </c>
      <c r="P74" s="2168" t="str">
        <f>K59</f>
        <v>建筑物剩余耐用年限下的土地年期修正系数Kn</v>
      </c>
      <c r="Q74" s="2207" t="e">
        <f ca="1">L59</f>
        <v>#DIV/0!</v>
      </c>
      <c r="R74" s="2207" t="s">
        <v>1308</v>
      </c>
    </row>
    <row r="75" spans="1:18">
      <c r="A75" s="760"/>
      <c r="B75" s="2224" t="s">
        <v>1329</v>
      </c>
      <c r="C75" s="2225">
        <f ca="1">ROUND(C13*C76,0)</f>
        <v>0</v>
      </c>
      <c r="D75" s="760"/>
      <c r="E75" s="760"/>
      <c r="F75" s="760"/>
      <c r="K75" s="2154"/>
      <c r="L75" s="760"/>
      <c r="O75" s="2167" t="s">
        <v>1112</v>
      </c>
      <c r="P75" s="2168" t="s">
        <v>1288</v>
      </c>
      <c r="Q75" s="2207" t="e">
        <f ca="1">Q65+Q66</f>
        <v>#DIV/0!</v>
      </c>
      <c r="R75" s="2207" t="s">
        <v>1289</v>
      </c>
    </row>
    <row r="76" spans="1:18">
      <c r="B76" s="545" t="s">
        <v>1330</v>
      </c>
      <c r="C76" s="2226">
        <f ca="1">INDIRECT("'数据-取费表'!j"&amp;$G$1)</f>
        <v>0</v>
      </c>
      <c r="I76" s="760"/>
      <c r="J76" s="760"/>
      <c r="K76" s="2154"/>
      <c r="L76" s="760"/>
    </row>
    <row r="77" spans="1:18">
      <c r="B77" s="2227" t="s">
        <v>1331</v>
      </c>
      <c r="C77" s="2228"/>
      <c r="I77" s="760"/>
      <c r="J77" s="760"/>
      <c r="K77" s="2154"/>
      <c r="L77" s="760"/>
    </row>
    <row r="78" spans="1:18">
      <c r="B78" s="453" t="s">
        <v>1332</v>
      </c>
      <c r="C78" s="2229"/>
    </row>
    <row r="79" spans="1:18">
      <c r="B79" s="2224" t="s">
        <v>1333</v>
      </c>
      <c r="C79" s="456" t="e">
        <f ca="1">1-C80</f>
        <v>#DIV/0!</v>
      </c>
    </row>
    <row r="80" spans="1:18">
      <c r="B80" s="2224" t="s">
        <v>1334</v>
      </c>
      <c r="C80" s="456" t="e">
        <f ca="1">ROUND(C75/C39,3)</f>
        <v>#DIV/0!</v>
      </c>
    </row>
    <row r="81" spans="2:3">
      <c r="B81" s="453" t="s">
        <v>1335</v>
      </c>
      <c r="C81" s="423"/>
    </row>
    <row r="82" spans="2:3">
      <c r="B82" s="455" t="s">
        <v>1086</v>
      </c>
      <c r="C82" s="457" t="e">
        <f ca="1">1-C83</f>
        <v>#DIV/0!</v>
      </c>
    </row>
    <row r="83" spans="2:3">
      <c r="B83" s="455" t="s">
        <v>1087</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1" sqref="F4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1149</v>
      </c>
      <c r="B1" s="1292"/>
      <c r="C1" s="1954" t="s">
        <v>601</v>
      </c>
      <c r="D1" s="1955" t="s">
        <v>124</v>
      </c>
      <c r="E1" s="1956" t="s">
        <v>1150</v>
      </c>
      <c r="F1" s="1957">
        <f ca="1">J53</f>
        <v>33.31</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1151</v>
      </c>
      <c r="B2" s="1960">
        <f ca="1">ROUND(D2/10000,4)</f>
        <v>2087.6934999999999</v>
      </c>
      <c r="C2" s="1961" t="s">
        <v>1152</v>
      </c>
      <c r="D2" s="1962">
        <f ca="1">C40+J29+L46</f>
        <v>20876935</v>
      </c>
      <c r="E2" s="1963" t="s">
        <v>1336</v>
      </c>
      <c r="F2" s="1964"/>
      <c r="G2" s="1965"/>
      <c r="H2" s="1966"/>
      <c r="I2" s="1966"/>
      <c r="J2" s="1966"/>
      <c r="K2" s="2125"/>
      <c r="L2" s="1966"/>
      <c r="M2" s="1966"/>
    </row>
    <row r="3" spans="1:37" ht="18" customHeight="1">
      <c r="A3" s="1967" t="s">
        <v>1153</v>
      </c>
      <c r="B3" s="1968">
        <f ca="1">IF(ISERROR(D2/F43),0,ROUND(D2/F43,0))</f>
        <v>8215</v>
      </c>
      <c r="C3" s="1961" t="s">
        <v>1154</v>
      </c>
      <c r="D3" s="1961"/>
      <c r="E3" s="1963"/>
      <c r="F3" s="1964"/>
      <c r="G3" s="1965"/>
      <c r="H3" s="1969" t="s">
        <v>1155</v>
      </c>
      <c r="I3" s="2126"/>
      <c r="J3" s="2126"/>
      <c r="K3" s="2127"/>
      <c r="L3" s="2126"/>
      <c r="M3" s="2126"/>
    </row>
    <row r="4" spans="1:37" ht="18" customHeight="1">
      <c r="A4" s="1970" t="s">
        <v>1156</v>
      </c>
      <c r="B4" s="1971" t="s">
        <v>1157</v>
      </c>
      <c r="C4" s="1971" t="s">
        <v>1158</v>
      </c>
      <c r="D4" s="1971" t="s">
        <v>1159</v>
      </c>
      <c r="E4" s="1972" t="s">
        <v>1160</v>
      </c>
      <c r="F4" s="1973"/>
      <c r="G4" s="760"/>
      <c r="H4" s="1970" t="s">
        <v>1156</v>
      </c>
      <c r="I4" s="1971" t="s">
        <v>1157</v>
      </c>
      <c r="J4" s="1971" t="s">
        <v>1158</v>
      </c>
      <c r="K4" s="1971" t="s">
        <v>1159</v>
      </c>
      <c r="L4" s="1972" t="s">
        <v>1160</v>
      </c>
      <c r="M4" s="1973"/>
    </row>
    <row r="5" spans="1:37" ht="18" customHeight="1">
      <c r="A5" s="1974">
        <v>1</v>
      </c>
      <c r="B5" s="1975" t="s">
        <v>1161</v>
      </c>
      <c r="C5" s="1976">
        <f ca="1">C6+C10+C12</f>
        <v>1253731</v>
      </c>
      <c r="D5" s="1977" t="s">
        <v>1162</v>
      </c>
      <c r="E5" s="1978"/>
      <c r="F5" s="1979"/>
      <c r="G5" s="760"/>
      <c r="H5" s="1974">
        <v>1</v>
      </c>
      <c r="I5" s="1975" t="s">
        <v>1161</v>
      </c>
      <c r="J5" s="1976">
        <f ca="1">J6+J10+J12</f>
        <v>0</v>
      </c>
      <c r="K5" s="1977" t="s">
        <v>1162</v>
      </c>
      <c r="L5" s="1978"/>
      <c r="M5" s="1979"/>
    </row>
    <row r="6" spans="1:37" ht="18" customHeight="1">
      <c r="A6" s="1980" t="s">
        <v>902</v>
      </c>
      <c r="B6" s="3621" t="s">
        <v>1163</v>
      </c>
      <c r="C6" s="1981">
        <f ca="1">ROUND(F6*F8*F7*(1-F9),0)</f>
        <v>1252166</v>
      </c>
      <c r="D6" s="1982" t="s">
        <v>1337</v>
      </c>
      <c r="E6" s="1983" t="s">
        <v>1165</v>
      </c>
      <c r="F6" s="1984">
        <f ca="1">INDIRECT("'数据-取费表'!u"&amp;$G$1)</f>
        <v>1.5</v>
      </c>
      <c r="G6" s="760"/>
      <c r="H6" s="1980" t="s">
        <v>902</v>
      </c>
      <c r="I6" s="3621" t="s">
        <v>1163</v>
      </c>
      <c r="J6" s="2055">
        <f ca="1">ROUND(M6*M8*M7*(1-M9),0)</f>
        <v>0</v>
      </c>
      <c r="K6" s="2128" t="s">
        <v>1338</v>
      </c>
      <c r="L6" s="1983" t="s">
        <v>1165</v>
      </c>
      <c r="M6" s="1984">
        <f ca="1">INDIRECT("'数据-取费表'!z"&amp;$G$1)</f>
        <v>0</v>
      </c>
    </row>
    <row r="7" spans="1:37" ht="18" customHeight="1">
      <c r="A7" s="1985"/>
      <c r="B7" s="3622"/>
      <c r="C7" s="1986"/>
      <c r="D7" s="1987"/>
      <c r="E7" s="1988" t="s">
        <v>1167</v>
      </c>
      <c r="F7" s="1984">
        <f ca="1">IF(INDIRECT("'数据-取费表'!ah"&amp;$G$1)="",INDIRECT("'数据-取费表'!k"&amp;$G$1),INDIRECT("'数据-取费表'!ah"&amp;$G$1))</f>
        <v>2541.1799999999998</v>
      </c>
      <c r="G7" s="760"/>
      <c r="H7" s="1989"/>
      <c r="I7" s="3622"/>
      <c r="J7" s="1990"/>
      <c r="K7" s="1987"/>
      <c r="L7" s="1983" t="s">
        <v>1167</v>
      </c>
      <c r="M7" s="1984">
        <f ca="1">F7</f>
        <v>2541.1799999999998</v>
      </c>
    </row>
    <row r="8" spans="1:37" ht="18" customHeight="1">
      <c r="A8" s="1989"/>
      <c r="B8" s="3622"/>
      <c r="C8" s="1990"/>
      <c r="D8" s="1987"/>
      <c r="E8" s="1983" t="s">
        <v>1168</v>
      </c>
      <c r="F8" s="1984">
        <f ca="1">INDIRECT("'数据-取费表'!ai"&amp;$G$1)</f>
        <v>365</v>
      </c>
      <c r="G8" s="760"/>
      <c r="H8" s="1989"/>
      <c r="I8" s="3622"/>
      <c r="J8" s="1990"/>
      <c r="K8" s="1987"/>
      <c r="L8" s="1983" t="s">
        <v>1168</v>
      </c>
      <c r="M8" s="1984">
        <f ca="1">INDIRECT("'数据-取费表'!ai"&amp;$G$1)</f>
        <v>365</v>
      </c>
    </row>
    <row r="9" spans="1:37" ht="18" customHeight="1">
      <c r="A9" s="1989"/>
      <c r="B9" s="3623"/>
      <c r="C9" s="1990"/>
      <c r="D9" s="1987"/>
      <c r="E9" s="1983" t="s">
        <v>1169</v>
      </c>
      <c r="F9" s="1991">
        <f ca="1">INDIRECT("'数据-取费表'!w"&amp;$G$1)</f>
        <v>0.1</v>
      </c>
      <c r="G9" s="760"/>
      <c r="H9" s="1989"/>
      <c r="I9" s="3623"/>
      <c r="J9" s="1990"/>
      <c r="K9" s="1987"/>
      <c r="L9" s="1994" t="s">
        <v>1169</v>
      </c>
      <c r="M9" s="1999">
        <f ca="1">INDIRECT("'数据-取费表'!ab"&amp;$G$1)</f>
        <v>0</v>
      </c>
    </row>
    <row r="10" spans="1:37" ht="18" customHeight="1">
      <c r="A10" s="1980" t="s">
        <v>906</v>
      </c>
      <c r="B10" s="1992" t="s">
        <v>1170</v>
      </c>
      <c r="C10" s="1001">
        <f ca="1">ROUND(IF(F10="押一",C6/12*F11,IF(F10="押二",C6/12*2*F11,IF(F10="押三",C6/12*3*F11,C11*F11))),0)</f>
        <v>1565</v>
      </c>
      <c r="D10" s="1993" t="s">
        <v>1171</v>
      </c>
      <c r="E10" s="1994" t="s">
        <v>1172</v>
      </c>
      <c r="F10" s="1995" t="s">
        <v>1339</v>
      </c>
      <c r="G10" s="760"/>
      <c r="H10" s="1980" t="s">
        <v>906</v>
      </c>
      <c r="I10" s="1992" t="s">
        <v>1170</v>
      </c>
      <c r="J10" s="2055">
        <f ca="1">ROUND(IF(M10="押一",J6/12*M11,IF(M10="押二",J6/12*2*M11,IF(M10="押三",J6/12*3*M11,J11*M11))),0)</f>
        <v>0</v>
      </c>
      <c r="K10" s="2129" t="s">
        <v>1340</v>
      </c>
      <c r="L10" s="1994" t="s">
        <v>1172</v>
      </c>
      <c r="M10" s="1995"/>
    </row>
    <row r="11" spans="1:37" ht="18" customHeight="1">
      <c r="A11" s="1996"/>
      <c r="B11" s="1997" t="s">
        <v>1341</v>
      </c>
      <c r="C11" s="1998"/>
      <c r="D11" s="1987"/>
      <c r="E11" s="1994" t="s">
        <v>1174</v>
      </c>
      <c r="F11" s="1999">
        <f ca="1">'数据-取费表'!B39</f>
        <v>1.4999999999999999E-2</v>
      </c>
      <c r="G11" s="760"/>
      <c r="H11" s="2000"/>
      <c r="I11" s="1997" t="s">
        <v>1342</v>
      </c>
      <c r="J11" s="1998"/>
      <c r="K11" s="2130"/>
      <c r="L11" s="1994" t="s">
        <v>1174</v>
      </c>
      <c r="M11" s="2131">
        <f ca="1">'数据-取费表'!B39</f>
        <v>1.4999999999999999E-2</v>
      </c>
    </row>
    <row r="12" spans="1:37" ht="18" customHeight="1">
      <c r="A12" s="2001" t="s">
        <v>951</v>
      </c>
      <c r="B12" s="2002" t="s">
        <v>1175</v>
      </c>
      <c r="C12" s="2003"/>
      <c r="D12" s="2004"/>
      <c r="E12" s="2005"/>
      <c r="F12" s="2006"/>
      <c r="G12" s="760"/>
      <c r="H12" s="2001" t="s">
        <v>951</v>
      </c>
      <c r="I12" s="2002" t="s">
        <v>1175</v>
      </c>
      <c r="J12" s="2003"/>
      <c r="K12" s="2132"/>
      <c r="L12" s="2005"/>
      <c r="M12" s="2133"/>
    </row>
    <row r="13" spans="1:37" ht="18" customHeight="1">
      <c r="A13" s="2007">
        <v>2</v>
      </c>
      <c r="B13" s="2008" t="s">
        <v>1176</v>
      </c>
      <c r="C13" s="2009">
        <f ca="1">ROUND(C29*F13,0)</f>
        <v>5594753</v>
      </c>
      <c r="D13" s="2010" t="s">
        <v>1177</v>
      </c>
      <c r="E13" s="2010" t="s">
        <v>1178</v>
      </c>
      <c r="F13" s="2011">
        <f ca="1">INDIRECT("'数据-取费表'!y"&amp;$G$1)</f>
        <v>0.6</v>
      </c>
      <c r="G13" s="760"/>
      <c r="H13" s="2007">
        <v>2</v>
      </c>
      <c r="I13" s="2008" t="s">
        <v>1176</v>
      </c>
      <c r="J13" s="2134">
        <f ca="1">ROUND(J14*J15,0)</f>
        <v>0</v>
      </c>
      <c r="K13" s="2033" t="s">
        <v>1177</v>
      </c>
      <c r="L13" s="2135"/>
      <c r="M13" s="2136"/>
    </row>
    <row r="14" spans="1:37" ht="18" customHeight="1">
      <c r="A14" s="2012" t="s">
        <v>925</v>
      </c>
      <c r="B14" s="1983" t="s">
        <v>1179</v>
      </c>
      <c r="C14" s="2013">
        <f ca="1">ROUND(INDIRECT("'数据-取费表'!l"&amp;$G$1)*F43+'数据-取费表'!L14*INDIRECT("'数据-取费表'!S"&amp;$G$1),0)</f>
        <v>6861186</v>
      </c>
      <c r="D14" s="2014" t="s">
        <v>1180</v>
      </c>
      <c r="E14" s="2015"/>
      <c r="F14" s="2016"/>
      <c r="G14" s="760"/>
      <c r="H14" s="2012" t="s">
        <v>902</v>
      </c>
      <c r="I14" s="1983" t="s">
        <v>1181</v>
      </c>
      <c r="J14" s="1002">
        <f ca="1">C29</f>
        <v>9324589</v>
      </c>
      <c r="K14" s="2137"/>
      <c r="L14" s="2138"/>
      <c r="M14" s="2139"/>
    </row>
    <row r="15" spans="1:37" s="1951" customFormat="1" ht="18" customHeight="1">
      <c r="A15" s="2012" t="s">
        <v>929</v>
      </c>
      <c r="B15" s="1983" t="s">
        <v>1110</v>
      </c>
      <c r="C15" s="1002">
        <f ca="1">ROUND(C14*F15,0)</f>
        <v>205836</v>
      </c>
      <c r="D15" s="2017" t="s">
        <v>1182</v>
      </c>
      <c r="E15" s="2017" t="s">
        <v>1183</v>
      </c>
      <c r="F15" s="2018">
        <f>'数据-取费表'!B33</f>
        <v>0.03</v>
      </c>
      <c r="G15" s="2019"/>
      <c r="H15" s="2020" t="s">
        <v>906</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932</v>
      </c>
      <c r="B16" s="1983" t="s">
        <v>1113</v>
      </c>
      <c r="C16" s="1002">
        <f ca="1">ROUND(INDIRECT("'数据-取费表'!l"&amp;$G$1)*F43*F16,0)</f>
        <v>0</v>
      </c>
      <c r="D16" s="1983" t="s">
        <v>1182</v>
      </c>
      <c r="E16" s="1983" t="s">
        <v>1183</v>
      </c>
      <c r="F16" s="2021">
        <f ca="1">IF(INDIRECT("'数据-取费表'!c"&amp;$G$1)="住宅",'数据-取费表'!B34,0)</f>
        <v>0</v>
      </c>
      <c r="G16" s="760"/>
      <c r="H16" s="2007" t="s">
        <v>1184</v>
      </c>
      <c r="I16" s="2008" t="s">
        <v>1185</v>
      </c>
      <c r="J16" s="2009">
        <f ca="1">ROUND(J17+J22+J23+J24,0)</f>
        <v>21751</v>
      </c>
      <c r="K16" s="2033" t="s">
        <v>1186</v>
      </c>
      <c r="L16" s="2034"/>
      <c r="M16" s="1979"/>
    </row>
    <row r="17" spans="1:37" s="1951" customFormat="1" ht="18" customHeight="1">
      <c r="A17" s="2012" t="s">
        <v>1187</v>
      </c>
      <c r="B17" s="1983" t="s">
        <v>1188</v>
      </c>
      <c r="C17" s="1002">
        <f ca="1">ROUND(F17*(F43+INDIRECT("'数据-取费表'!S"&amp;$G$1)),0)</f>
        <v>508236</v>
      </c>
      <c r="D17" s="1983" t="s">
        <v>1189</v>
      </c>
      <c r="E17" s="1983" t="s">
        <v>1190</v>
      </c>
      <c r="F17" s="2022">
        <f>'数据-取费表'!B35</f>
        <v>200</v>
      </c>
      <c r="G17" s="2019"/>
      <c r="H17" s="2012" t="s">
        <v>902</v>
      </c>
      <c r="I17" s="1983" t="s">
        <v>1191</v>
      </c>
      <c r="J17" s="2036">
        <f ca="1">ROUND(IF(AND(项目基本情况!B11="自然人",项目基本情况!B10="北京市"),J6*M17/(1+'数据-取费表'!C42),J18+J19+J20),0)</f>
        <v>3102</v>
      </c>
      <c r="K17" s="2014" t="s">
        <v>1192</v>
      </c>
      <c r="L17" s="2037" t="s">
        <v>1193</v>
      </c>
      <c r="M17" s="2038">
        <f ca="1">IF(项目基本情况!B11="企业","",IF('数据-取费表'!B10="住宅",IF(M6*M7*M8/12/(1+'数据-取费表'!F30)&gt;100000,4%,2.5%),IF(M6*M7*M8/12/(1+'数据-取费表'!F30)&gt;100000,12%,7%)))</f>
        <v>7.0000000000000007E-2</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1119</v>
      </c>
      <c r="C18" s="1002">
        <f ca="1">ROUND(C14*F18,0)</f>
        <v>137224</v>
      </c>
      <c r="D18" s="1983" t="s">
        <v>1182</v>
      </c>
      <c r="E18" s="1983" t="s">
        <v>1183</v>
      </c>
      <c r="F18" s="2021">
        <f>'数据-取费表'!B36</f>
        <v>0.02</v>
      </c>
      <c r="G18" s="2019"/>
      <c r="H18" s="2012" t="s">
        <v>925</v>
      </c>
      <c r="I18" s="1983" t="s">
        <v>1195</v>
      </c>
      <c r="J18" s="1002">
        <f ca="1">ROUND(J6*M18/(1+'数据-取费表'!C42),0)</f>
        <v>0</v>
      </c>
      <c r="K18" s="2037" t="s">
        <v>1196</v>
      </c>
      <c r="L18" s="1983" t="s">
        <v>1183</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902</v>
      </c>
      <c r="B19" s="1983" t="s">
        <v>1197</v>
      </c>
      <c r="C19" s="1002">
        <f ca="1">SUM(C14:C18)</f>
        <v>7712482</v>
      </c>
      <c r="D19" s="2023" t="s">
        <v>1198</v>
      </c>
      <c r="E19" s="1004"/>
      <c r="F19" s="2022"/>
      <c r="G19" s="760"/>
      <c r="H19" s="2012" t="s">
        <v>929</v>
      </c>
      <c r="I19" s="1983" t="s">
        <v>1199</v>
      </c>
      <c r="J19" s="1002">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906</v>
      </c>
      <c r="B20" s="1983" t="s">
        <v>1201</v>
      </c>
      <c r="C20" s="1002">
        <f ca="1">ROUND(C19*F20,0)</f>
        <v>154250</v>
      </c>
      <c r="D20" s="2024" t="s">
        <v>1202</v>
      </c>
      <c r="E20" s="1983" t="s">
        <v>1183</v>
      </c>
      <c r="F20" s="2021">
        <f>'数据-取费表'!B37</f>
        <v>0.02</v>
      </c>
      <c r="G20" s="2019"/>
      <c r="H20" s="2012" t="s">
        <v>932</v>
      </c>
      <c r="I20" s="1982" t="s">
        <v>1203</v>
      </c>
      <c r="J20" s="2042">
        <f ca="1">ROUND(M20*M21,0)</f>
        <v>3102</v>
      </c>
      <c r="K20" s="2043" t="s">
        <v>1204</v>
      </c>
      <c r="L20" s="1983" t="s">
        <v>1205</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951</v>
      </c>
      <c r="B21" s="1983" t="s">
        <v>1206</v>
      </c>
      <c r="C21" s="1002" t="s">
        <v>124</v>
      </c>
      <c r="D21" s="2024" t="s">
        <v>1207</v>
      </c>
      <c r="E21" s="1983" t="s">
        <v>1208</v>
      </c>
      <c r="F21" s="2021">
        <f>'数据-取费表'!B38</f>
        <v>0.02</v>
      </c>
      <c r="G21" s="2019"/>
      <c r="H21" s="2025"/>
      <c r="I21" s="2143"/>
      <c r="J21" s="2046"/>
      <c r="K21" s="2047"/>
      <c r="L21" s="1983" t="s">
        <v>1209</v>
      </c>
      <c r="M21" s="1984">
        <f ca="1">INDIRECT("'数据-取费表'!r"&amp;$G$1)</f>
        <v>2068.02</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954</v>
      </c>
      <c r="B22" s="1983" t="s">
        <v>1210</v>
      </c>
      <c r="C22" s="1002"/>
      <c r="D22" s="2023" t="str">
        <f>IF(F23&lt;=1,"单利计息。","复利计息。")&amp;"建造成本、管理费用、销售费用产生的利息。"</f>
        <v>单利计息。建造成本、管理费用、销售费用产生的利息。</v>
      </c>
      <c r="E22" s="1004"/>
      <c r="F22" s="2022"/>
      <c r="G22" s="760"/>
      <c r="H22" s="2012" t="s">
        <v>906</v>
      </c>
      <c r="I22" s="1983" t="s">
        <v>1211</v>
      </c>
      <c r="J22" s="1002">
        <f ca="1">ROUND(J14*M22,0)</f>
        <v>18649</v>
      </c>
      <c r="K22" s="2037" t="s">
        <v>1212</v>
      </c>
      <c r="L22" s="1983" t="s">
        <v>1183</v>
      </c>
      <c r="M22" s="2049">
        <f ca="1">INDIRECT("'数据-取费表'!Ak"&amp;$G$1)</f>
        <v>2E-3</v>
      </c>
    </row>
    <row r="23" spans="1:37" s="1951" customFormat="1" ht="18" customHeight="1">
      <c r="A23" s="2012" t="s">
        <v>925</v>
      </c>
      <c r="B23" s="1983" t="s">
        <v>1213</v>
      </c>
      <c r="C23" s="1002">
        <f ca="1">IF('数据-取费表'!B22&lt;=1,ROUND(C19*F24*F23/2,0)+ROUND(C20*F24*F23/2,0),ROUND(C19*(POWER((1+F24),F23/2)-1),0)+ROUND(C20*(POWER((1+F24),F23/2)-1),0))</f>
        <v>135701</v>
      </c>
      <c r="D23" s="2026" t="str">
        <f>IF(F23&lt;=1,"(建造成本+管理费用)×利率×(建设周期÷2)","(建造成本+管理费用)×((1+利率)^(建设周期÷2)-1)")</f>
        <v>(建造成本+管理费用)×利率×(建设周期÷2)</v>
      </c>
      <c r="E23" s="1983" t="s">
        <v>1214</v>
      </c>
      <c r="F23" s="2027">
        <f>'数据-取费表'!B20</f>
        <v>1</v>
      </c>
      <c r="G23" s="2019"/>
      <c r="H23" s="2012" t="s">
        <v>951</v>
      </c>
      <c r="I23" s="1983" t="s">
        <v>1215</v>
      </c>
      <c r="J23" s="1002">
        <f ca="1">ROUND(J13*M23,0)</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929</v>
      </c>
      <c r="B24" s="1983" t="s">
        <v>1217</v>
      </c>
      <c r="C24" s="1002">
        <f ca="1">ROUND(IF('数据-取费表'!B22&lt;=1,F21*F24*F23/2,F21*(POWER((1+F24),F23/2)-1)),4)</f>
        <v>2.9999999999999997E-4</v>
      </c>
      <c r="D24" s="2026" t="str">
        <f>IF(F23&lt;=1,"销售费用×利率×(建设周期÷2)","销售费用×((1+利率)^(建设周期÷2)-1)")</f>
        <v>销售费用×利率×(建设周期÷2)</v>
      </c>
      <c r="E24" s="1983" t="s">
        <v>1218</v>
      </c>
      <c r="F24" s="2028">
        <f ca="1">'数据-取费表'!B40</f>
        <v>3.4500000000000003E-2</v>
      </c>
      <c r="G24" s="2019"/>
      <c r="H24" s="2020" t="s">
        <v>954</v>
      </c>
      <c r="I24" s="2005" t="s">
        <v>1201</v>
      </c>
      <c r="J24" s="2029">
        <f ca="1">ROUND(J5*M24,0)</f>
        <v>0</v>
      </c>
      <c r="K24" s="2030" t="s">
        <v>1219</v>
      </c>
      <c r="L24" s="2005" t="s">
        <v>1183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958</v>
      </c>
      <c r="B25" s="1983" t="s">
        <v>1220</v>
      </c>
      <c r="C25" s="1002"/>
      <c r="D25" s="2023" t="s">
        <v>1221</v>
      </c>
      <c r="E25" s="1004"/>
      <c r="F25" s="2022"/>
      <c r="G25" s="760"/>
      <c r="H25" s="2007" t="s">
        <v>1222</v>
      </c>
      <c r="I25" s="2051" t="s">
        <v>1223</v>
      </c>
      <c r="J25" s="2009">
        <f ca="1">J5-J16</f>
        <v>-21751</v>
      </c>
      <c r="K25" s="2052" t="s">
        <v>1224</v>
      </c>
      <c r="L25" s="2053"/>
      <c r="M25" s="2054"/>
    </row>
    <row r="26" spans="1:37" ht="18" customHeight="1">
      <c r="A26" s="2012" t="s">
        <v>925</v>
      </c>
      <c r="B26" s="1983" t="s">
        <v>1225</v>
      </c>
      <c r="C26" s="1002">
        <f ca="1">ROUND((C19+C20)*F26,0)</f>
        <v>629339</v>
      </c>
      <c r="D26" s="2024" t="s">
        <v>1226</v>
      </c>
      <c r="E26" s="1994" t="s">
        <v>1227</v>
      </c>
      <c r="F26" s="1991">
        <f ca="1">INDIRECT("'数据-取费表'!q"&amp;$G$1)</f>
        <v>0.08</v>
      </c>
      <c r="G26" s="760"/>
      <c r="H26" s="1974" t="s">
        <v>1228</v>
      </c>
      <c r="I26" s="1975" t="s">
        <v>1229</v>
      </c>
      <c r="J26" s="2055">
        <f ca="1">IF(J5&lt;&gt;0,ROUND(J25*(1-((1+M28)/(1+M26))^M27)/(M26-M28),0),0)</f>
        <v>0</v>
      </c>
      <c r="K26" s="2043" t="s">
        <v>1230</v>
      </c>
      <c r="L26" s="1983" t="s">
        <v>1231</v>
      </c>
      <c r="M26" s="1991">
        <f ca="1">INDIRECT("'数据-取费表'!I"&amp;$G$1)</f>
        <v>0.05</v>
      </c>
    </row>
    <row r="27" spans="1:37" ht="18" customHeight="1">
      <c r="A27" s="2012" t="s">
        <v>929</v>
      </c>
      <c r="B27" s="1983" t="s">
        <v>1232</v>
      </c>
      <c r="C27" s="1002">
        <f ca="1">ROUND(F21*F26,4)</f>
        <v>1.6000000000000001E-3</v>
      </c>
      <c r="D27" s="2024" t="s">
        <v>1233</v>
      </c>
      <c r="E27" s="2017"/>
      <c r="F27" s="2018"/>
      <c r="G27" s="760"/>
      <c r="H27" s="1989"/>
      <c r="I27" s="2057"/>
      <c r="J27" s="1990"/>
      <c r="K27" s="2058" t="s">
        <v>1234</v>
      </c>
      <c r="L27" s="1983" t="s">
        <v>1235</v>
      </c>
      <c r="M27" s="2059">
        <f ca="1">INDIRECT("'数据-取费表'!ag"&amp;$G$1)</f>
        <v>0</v>
      </c>
    </row>
    <row r="28" spans="1:37" s="1951" customFormat="1" ht="18" customHeight="1">
      <c r="A28" s="2012" t="s">
        <v>959</v>
      </c>
      <c r="B28" s="1983" t="s">
        <v>1236</v>
      </c>
      <c r="C28" s="1002">
        <f>ROUND(F28/(1+'数据-取费表'!C42),4)</f>
        <v>5.2400000000000002E-2</v>
      </c>
      <c r="D28" s="2024" t="s">
        <v>1237</v>
      </c>
      <c r="E28" s="1983" t="s">
        <v>1183</v>
      </c>
      <c r="F28" s="2021">
        <f>'数据-取费表'!B41</f>
        <v>5.5E-2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1144</v>
      </c>
      <c r="B29" s="2005" t="s">
        <v>1239</v>
      </c>
      <c r="C29" s="2029">
        <f ca="1">ROUND((C19+C20+C23+C26)/(1-F21-C24-C27-C28),0)</f>
        <v>9324589</v>
      </c>
      <c r="D29" s="2030"/>
      <c r="E29" s="2005"/>
      <c r="F29" s="2031"/>
      <c r="G29" s="2019"/>
      <c r="H29" s="2032" t="s">
        <v>1240</v>
      </c>
      <c r="I29" s="2062" t="s">
        <v>1241</v>
      </c>
      <c r="J29" s="2063">
        <f ca="1">ROUND(J26/(1+F40)^F41,0)</f>
        <v>0</v>
      </c>
      <c r="K29" s="2064" t="s">
        <v>1242</v>
      </c>
      <c r="L29" s="2065"/>
      <c r="M29" s="2066">
        <f ca="1">INDIRECT("'数据-取费表'!k"&amp;$G$1)</f>
        <v>2541.1799999999998</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242310</v>
      </c>
      <c r="D30" s="2033" t="s">
        <v>1186</v>
      </c>
      <c r="E30" s="2034"/>
      <c r="F30" s="1979"/>
      <c r="G30" s="760"/>
      <c r="H30" s="2035"/>
      <c r="I30" s="2144"/>
      <c r="J30" s="2145"/>
      <c r="K30" s="2146"/>
      <c r="L30" s="2147"/>
      <c r="M30" s="2148"/>
    </row>
    <row r="31" spans="1:37" ht="18" customHeight="1">
      <c r="A31" s="2012" t="s">
        <v>902</v>
      </c>
      <c r="B31" s="1983" t="s">
        <v>1191</v>
      </c>
      <c r="C31" s="2036">
        <f ca="1">ROUND(IF(AND(项目基本情况!B11="自然人",项目基本情况!B10="北京市"),C6*F31/(1+'数据-取费表'!C42),C32+C33+C34),0)</f>
        <v>211797</v>
      </c>
      <c r="D31" s="2014" t="s">
        <v>1192</v>
      </c>
      <c r="E31" s="2037" t="s">
        <v>1193</v>
      </c>
      <c r="F31" s="2038">
        <f ca="1">IF(项目基本情况!B11="企业","——",IF(M47="住宅",IF(F6*F7*F8/12/(1+'数据-取费表'!F30)&gt;100000,4%,2.5%),IF(F6*F7*F8/12/(1+'数据-取费表'!F30)&gt;100000,12%,7%)))</f>
        <v>0.12</v>
      </c>
      <c r="G31" s="760"/>
      <c r="H31" s="2039" t="s">
        <v>1243</v>
      </c>
      <c r="I31" s="2144"/>
      <c r="J31" s="2145"/>
      <c r="K31" s="2146"/>
      <c r="L31" s="2147"/>
      <c r="M31" s="2148"/>
    </row>
    <row r="32" spans="1:37" ht="18" customHeight="1">
      <c r="A32" s="2012" t="s">
        <v>925</v>
      </c>
      <c r="B32" s="1983" t="s">
        <v>1195</v>
      </c>
      <c r="C32" s="1002">
        <f ca="1">IF(项目基本情况!B11="自然人","——",ROUND(C6*F32/(1+'数据-取费表'!C42),0))</f>
        <v>65590</v>
      </c>
      <c r="D32" s="2037" t="s">
        <v>1196</v>
      </c>
      <c r="E32" s="1983" t="s">
        <v>1183</v>
      </c>
      <c r="F32" s="2028">
        <f>'数据-取费表'!B41</f>
        <v>5.5E-2</v>
      </c>
      <c r="G32" s="760"/>
      <c r="H32" s="2035"/>
      <c r="I32" s="2144"/>
      <c r="J32" s="2145"/>
      <c r="K32" s="2146"/>
      <c r="L32" s="2147"/>
      <c r="M32" s="2148"/>
    </row>
    <row r="33" spans="1:18" ht="18" customHeight="1">
      <c r="A33" s="2012" t="s">
        <v>929</v>
      </c>
      <c r="B33" s="1983" t="s">
        <v>1199</v>
      </c>
      <c r="C33" s="1002">
        <f ca="1">IF(项目基本情况!B11="自然人","——",IF(D33="按租金收入计税",ROUND(C6*F33/(1+'数据-取费表'!C42),0),IF(D33="按房产原值计税",ROUND(C29*F33*0.7,0),INDIRECT("'数据-取费表'!Aj"&amp;$G$1))))</f>
        <v>143105</v>
      </c>
      <c r="D33" s="2040" t="s">
        <v>1200</v>
      </c>
      <c r="E33" s="1983" t="s">
        <v>1183</v>
      </c>
      <c r="F33" s="2021">
        <f>IF(D33="按票据","——",IF(D33="按租金收入计税",'数据-取费表'!B51,'数据-取费表'!B50))</f>
        <v>0.12</v>
      </c>
      <c r="G33" s="760"/>
      <c r="H33" s="2041"/>
      <c r="I33" s="2144"/>
      <c r="J33" s="2145"/>
      <c r="K33" s="2149"/>
      <c r="L33" s="2041"/>
      <c r="M33" s="2041"/>
    </row>
    <row r="34" spans="1:18" ht="18" customHeight="1">
      <c r="A34" s="1980" t="s">
        <v>932</v>
      </c>
      <c r="B34" s="1982" t="s">
        <v>1203</v>
      </c>
      <c r="C34" s="2042">
        <f ca="1">IF(项目基本情况!B11="自然人","——",ROUND(F34*F35,0))</f>
        <v>3102</v>
      </c>
      <c r="D34" s="2043" t="s">
        <v>1204</v>
      </c>
      <c r="E34" s="1983" t="s">
        <v>1205</v>
      </c>
      <c r="F34" s="2027">
        <f>'数据-取费表'!B52</f>
        <v>1.5</v>
      </c>
      <c r="G34" s="760"/>
      <c r="H34" s="2035"/>
      <c r="I34" s="2144"/>
      <c r="J34" s="2145"/>
      <c r="K34" s="2150"/>
      <c r="L34" s="2151"/>
      <c r="M34" s="2151"/>
    </row>
    <row r="35" spans="1:18" ht="18" customHeight="1">
      <c r="A35" s="2044"/>
      <c r="B35" s="2045"/>
      <c r="C35" s="2046"/>
      <c r="D35" s="2047"/>
      <c r="E35" s="1983" t="s">
        <v>1209</v>
      </c>
      <c r="F35" s="1984">
        <f ca="1">INDIRECT("'数据-取费表'!r"&amp;$G$1)</f>
        <v>2068.02</v>
      </c>
      <c r="G35" s="760"/>
      <c r="H35" s="2035"/>
      <c r="I35" s="2144"/>
      <c r="J35" s="2145"/>
      <c r="K35" s="2149"/>
      <c r="L35" s="2041"/>
      <c r="M35" s="2041"/>
    </row>
    <row r="36" spans="1:18" ht="18" customHeight="1">
      <c r="A36" s="2048" t="s">
        <v>906</v>
      </c>
      <c r="B36" s="1983" t="s">
        <v>1211</v>
      </c>
      <c r="C36" s="1002">
        <f ca="1">ROUND(C29*F36,0)</f>
        <v>18649</v>
      </c>
      <c r="D36" s="2037" t="s">
        <v>1244</v>
      </c>
      <c r="E36" s="1983" t="s">
        <v>1183</v>
      </c>
      <c r="F36" s="2049">
        <f ca="1">INDIRECT("'数据-取费表'!Ak"&amp;$G$1)</f>
        <v>2E-3</v>
      </c>
      <c r="G36" s="760"/>
      <c r="H36" s="2041"/>
      <c r="I36" s="2144"/>
      <c r="J36" s="2145"/>
      <c r="K36" s="2152"/>
      <c r="L36" s="2041"/>
      <c r="M36" s="2041"/>
    </row>
    <row r="37" spans="1:18" ht="18" customHeight="1">
      <c r="A37" s="2012" t="s">
        <v>951</v>
      </c>
      <c r="B37" s="1983" t="s">
        <v>1215</v>
      </c>
      <c r="C37" s="1002">
        <f ca="1">ROUND(C13*F37,0)</f>
        <v>5595</v>
      </c>
      <c r="D37" s="2037" t="s">
        <v>1216</v>
      </c>
      <c r="E37" s="1983" t="s">
        <v>1183</v>
      </c>
      <c r="F37" s="2050">
        <f ca="1">INDIRECT("'数据-取费表'!Al"&amp;$G$1)</f>
        <v>1E-3</v>
      </c>
      <c r="G37" s="760"/>
      <c r="H37" s="2041"/>
      <c r="I37" s="2144"/>
      <c r="J37" s="2145"/>
      <c r="K37" s="2152"/>
      <c r="L37" s="2041"/>
      <c r="M37" s="2041"/>
    </row>
    <row r="38" spans="1:18" ht="18" customHeight="1">
      <c r="A38" s="2020" t="s">
        <v>954</v>
      </c>
      <c r="B38" s="2005" t="s">
        <v>1201</v>
      </c>
      <c r="C38" s="2029">
        <f ca="1">ROUND(C5*F38,0)</f>
        <v>6269</v>
      </c>
      <c r="D38" s="2030" t="s">
        <v>1219</v>
      </c>
      <c r="E38" s="2005" t="s">
        <v>1183</v>
      </c>
      <c r="F38" s="2006">
        <f ca="1">INDIRECT("'数据-取费表'!Am"&amp;$G$1)</f>
        <v>5.0000000000000001E-3</v>
      </c>
      <c r="G38" s="760"/>
      <c r="H38" s="2041"/>
      <c r="I38" s="2144"/>
      <c r="J38" s="2145"/>
      <c r="K38" s="2153"/>
      <c r="L38" s="2041"/>
      <c r="M38" s="2041"/>
    </row>
    <row r="39" spans="1:18" ht="24.6" customHeight="1">
      <c r="A39" s="2007" t="s">
        <v>1222</v>
      </c>
      <c r="B39" s="2051" t="s">
        <v>1223</v>
      </c>
      <c r="C39" s="2009">
        <f ca="1">C5-C30</f>
        <v>1011421</v>
      </c>
      <c r="D39" s="2052" t="s">
        <v>1224</v>
      </c>
      <c r="E39" s="2053"/>
      <c r="F39" s="2054"/>
      <c r="G39" s="760"/>
      <c r="H39" s="2041"/>
      <c r="I39" s="2144"/>
      <c r="J39" s="2145"/>
      <c r="K39" s="2153"/>
      <c r="L39" s="2041"/>
      <c r="M39" s="2041"/>
    </row>
    <row r="40" spans="1:18" ht="18" customHeight="1">
      <c r="A40" s="1974" t="s">
        <v>1228</v>
      </c>
      <c r="B40" s="1975" t="s">
        <v>1245</v>
      </c>
      <c r="C40" s="2055">
        <f ca="1">ROUND(C39*(1-((1+F42)/(1+F40))^F41)/(F40-F42),0)</f>
        <v>20876935</v>
      </c>
      <c r="D40" s="2043" t="s">
        <v>1230</v>
      </c>
      <c r="E40" s="1983" t="s">
        <v>1231</v>
      </c>
      <c r="F40" s="1991">
        <f ca="1">INDIRECT("'数据-取费表'!I"&amp;$G$1)</f>
        <v>0.05</v>
      </c>
      <c r="G40" s="760"/>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33.31</v>
      </c>
      <c r="G41" s="760"/>
      <c r="H41" s="2060"/>
      <c r="I41" s="2144"/>
      <c r="J41" s="2145"/>
      <c r="K41" s="2152"/>
      <c r="L41" s="2060"/>
      <c r="M41" s="2060"/>
    </row>
    <row r="42" spans="1:18" ht="18" customHeight="1">
      <c r="A42" s="1996"/>
      <c r="B42" s="2061"/>
      <c r="C42" s="2009"/>
      <c r="D42" s="2047"/>
      <c r="E42" s="1983" t="s">
        <v>1238</v>
      </c>
      <c r="F42" s="1991">
        <f ca="1">INDIRECT("'数据-取费表'!v"&amp;$G$1)</f>
        <v>0.02</v>
      </c>
      <c r="G42" s="760"/>
      <c r="H42" s="2060"/>
      <c r="I42" s="2144"/>
      <c r="J42" s="2145"/>
      <c r="K42" s="2152"/>
      <c r="L42" s="2060"/>
      <c r="M42" s="2060"/>
    </row>
    <row r="43" spans="1:18" ht="18" customHeight="1">
      <c r="A43" s="2032" t="s">
        <v>1240</v>
      </c>
      <c r="B43" s="2062" t="s">
        <v>1246</v>
      </c>
      <c r="C43" s="2063">
        <f ca="1">ROUND(C40/F43,0)</f>
        <v>8215</v>
      </c>
      <c r="D43" s="2064" t="s">
        <v>1247</v>
      </c>
      <c r="E43" s="2065" t="s">
        <v>1248</v>
      </c>
      <c r="F43" s="2066">
        <f ca="1">INDIRECT("'数据-取费表'!k"&amp;$G$1)</f>
        <v>2541.1799999999998</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1343</v>
      </c>
      <c r="B45" s="2067"/>
      <c r="C45" s="2070">
        <f ca="1">ROUND((C68-C40)/10000,4)</f>
        <v>-2131.6181999999999</v>
      </c>
      <c r="D45" s="2071" t="s">
        <v>1344</v>
      </c>
      <c r="E45" s="2067"/>
      <c r="F45" s="2067"/>
      <c r="O45" s="2155" t="s">
        <v>1249</v>
      </c>
      <c r="P45" s="2056"/>
      <c r="Q45" s="2056"/>
      <c r="R45" s="2056"/>
    </row>
    <row r="46" spans="1:18" s="760" customFormat="1">
      <c r="A46" s="2072" t="s">
        <v>1250</v>
      </c>
      <c r="C46" s="2073">
        <f ca="1">ROUND(C45,0)</f>
        <v>-2132</v>
      </c>
      <c r="D46" s="2074" t="str">
        <f>C2</f>
        <v>万元</v>
      </c>
      <c r="I46" s="2156" t="s">
        <v>1251</v>
      </c>
      <c r="J46" s="2157"/>
      <c r="K46" s="2158"/>
      <c r="L46" s="2159" t="str">
        <f ca="1">IF(M47="住宅",0,IF(L48&gt;J51,L60,J60))</f>
        <v>0</v>
      </c>
      <c r="O46" s="2160" t="s">
        <v>1252</v>
      </c>
      <c r="P46" s="2161" t="s">
        <v>1253</v>
      </c>
      <c r="Q46" s="2206" t="s">
        <v>1254</v>
      </c>
      <c r="R46" s="2206" t="s">
        <v>1255</v>
      </c>
    </row>
    <row r="47" spans="1:18" s="760" customFormat="1">
      <c r="A47" s="2075" t="s">
        <v>1156</v>
      </c>
      <c r="B47" s="2076" t="s">
        <v>1157</v>
      </c>
      <c r="C47" s="2076" t="s">
        <v>1158</v>
      </c>
      <c r="D47" s="2076" t="s">
        <v>1159</v>
      </c>
      <c r="E47" s="2077" t="s">
        <v>1160</v>
      </c>
      <c r="F47" s="995"/>
      <c r="G47" s="2078"/>
      <c r="I47" s="2162" t="s">
        <v>1256</v>
      </c>
      <c r="J47" s="2163" t="s">
        <v>2749</v>
      </c>
      <c r="K47" s="2164" t="s">
        <v>1257</v>
      </c>
      <c r="L47" s="2165">
        <f ca="1">INDIRECT("'数据-取费表'!d"&amp;$G$1)</f>
        <v>50</v>
      </c>
      <c r="M47" s="2166" t="str">
        <f>IF(ISNUMBER(FIND("住宅",C1)),"住宅","非住宅")</f>
        <v>非住宅</v>
      </c>
      <c r="O47" s="2167" t="s">
        <v>1007</v>
      </c>
      <c r="P47" s="2168" t="s">
        <v>1258</v>
      </c>
      <c r="Q47" s="2207">
        <f ca="1">C40+J29</f>
        <v>20876935</v>
      </c>
      <c r="R47" s="2207" t="s">
        <v>1259</v>
      </c>
    </row>
    <row r="48" spans="1:18" s="760" customFormat="1" ht="27.75">
      <c r="A48" s="2079" t="s">
        <v>1260</v>
      </c>
      <c r="B48" s="1975" t="s">
        <v>1161</v>
      </c>
      <c r="C48" s="1003">
        <f ca="1">C49+C53+C55</f>
        <v>0</v>
      </c>
      <c r="D48" s="2080"/>
      <c r="E48" s="2081"/>
      <c r="F48" s="2082"/>
      <c r="G48" s="2078"/>
      <c r="H48" s="2083"/>
      <c r="I48" s="2169" t="s">
        <v>1261</v>
      </c>
      <c r="J48" s="2170" t="s">
        <v>1345</v>
      </c>
      <c r="K48" s="2171" t="s">
        <v>1262</v>
      </c>
      <c r="L48" s="2172">
        <f ca="1">INDIRECT("'数据-取费表'!f"&amp;$G$1)</f>
        <v>33.31</v>
      </c>
      <c r="O48" s="2167" t="s">
        <v>1010</v>
      </c>
      <c r="P48" s="2168" t="s">
        <v>1263</v>
      </c>
      <c r="Q48" s="2207" t="str">
        <f ca="1">J60</f>
        <v>0</v>
      </c>
      <c r="R48" s="2207" t="s">
        <v>1264</v>
      </c>
    </row>
    <row r="49" spans="1:18" s="760" customFormat="1">
      <c r="A49" s="2084" t="s">
        <v>1265</v>
      </c>
      <c r="B49" s="2085" t="s">
        <v>1266</v>
      </c>
      <c r="C49" s="2086">
        <f ca="1">ROUND(F49*F51*F50*(1-F52),0)</f>
        <v>0</v>
      </c>
      <c r="D49" s="2087" t="s">
        <v>1346</v>
      </c>
      <c r="E49" s="2088" t="s">
        <v>1267</v>
      </c>
      <c r="F49" s="2089"/>
      <c r="G49" s="2090"/>
      <c r="H49" s="2083"/>
      <c r="I49" s="2169" t="s">
        <v>1268</v>
      </c>
      <c r="J49" s="2173"/>
      <c r="K49" s="2171" t="s">
        <v>1269</v>
      </c>
      <c r="L49" s="2174"/>
      <c r="O49" s="2175" t="s">
        <v>1270</v>
      </c>
      <c r="P49" s="2168" t="s">
        <v>1271</v>
      </c>
      <c r="Q49" s="2207">
        <f ca="1">C29</f>
        <v>9324589</v>
      </c>
      <c r="R49" s="2207" t="s">
        <v>1259</v>
      </c>
    </row>
    <row r="50" spans="1:18" s="760" customFormat="1">
      <c r="A50" s="2091"/>
      <c r="B50" s="2092"/>
      <c r="C50" s="2093"/>
      <c r="D50" s="2094"/>
      <c r="E50" s="2095" t="s">
        <v>1167</v>
      </c>
      <c r="F50" s="2096">
        <f ca="1">F7</f>
        <v>2541.1799999999998</v>
      </c>
      <c r="H50" s="2083"/>
      <c r="I50" s="2169" t="s">
        <v>1272</v>
      </c>
      <c r="J50" s="2176">
        <f>SUMPRODUCT((I63:I65=J47)*(J62:L62=J48)*(J63:L65))</f>
        <v>60</v>
      </c>
      <c r="K50" s="2171" t="s">
        <v>1273</v>
      </c>
      <c r="L50" s="2174">
        <f>'成本法 (元)'!C6</f>
        <v>3222023.1</v>
      </c>
      <c r="M50" s="2177"/>
      <c r="O50" s="2175" t="s">
        <v>1274</v>
      </c>
      <c r="P50" s="2168" t="s">
        <v>1275</v>
      </c>
      <c r="Q50" s="2208" t="e">
        <f ca="1">J58</f>
        <v>#VALUE!</v>
      </c>
      <c r="R50" s="2207"/>
    </row>
    <row r="51" spans="1:18" s="760" customFormat="1">
      <c r="A51" s="2097"/>
      <c r="B51" s="2092"/>
      <c r="C51" s="2093"/>
      <c r="D51" s="2094"/>
      <c r="E51" s="2098" t="s">
        <v>1168</v>
      </c>
      <c r="F51" s="1984">
        <f ca="1">F8</f>
        <v>365</v>
      </c>
      <c r="I51" s="2178" t="s">
        <v>1276</v>
      </c>
      <c r="J51" s="2179">
        <f>IF(J49="",J50,J49+J50-YEAR('数据-取费表'!B2))</f>
        <v>60</v>
      </c>
      <c r="K51" s="2180" t="s">
        <v>1277</v>
      </c>
      <c r="L51" s="2181">
        <f ca="1">ROUND(-PV(INDIRECT("'数据-取费表'!h"&amp;$G$1),J51,(C39-C13*C76),0),0)</f>
        <v>12791204</v>
      </c>
      <c r="M51" s="2182"/>
      <c r="O51" s="2175" t="s">
        <v>1278</v>
      </c>
      <c r="P51" s="2168" t="s">
        <v>1279</v>
      </c>
      <c r="Q51" s="2208">
        <f>J52</f>
        <v>7.4999999999999997E-2</v>
      </c>
      <c r="R51" s="2207"/>
    </row>
    <row r="52" spans="1:18" s="760" customFormat="1">
      <c r="A52" s="2097"/>
      <c r="B52" s="2092"/>
      <c r="C52" s="2093"/>
      <c r="D52" s="2094"/>
      <c r="E52" s="2098" t="s">
        <v>1169</v>
      </c>
      <c r="F52" s="2099"/>
      <c r="I52" s="2183" t="s">
        <v>1280</v>
      </c>
      <c r="J52" s="2184">
        <f>'数据-取费表'!J6+0.005</f>
        <v>7.4999999999999997E-2</v>
      </c>
      <c r="K52" s="2183" t="s">
        <v>1281</v>
      </c>
      <c r="L52" s="2184">
        <f>基准地价修正!G24</f>
        <v>0.05</v>
      </c>
      <c r="O52" s="2175" t="s">
        <v>1282</v>
      </c>
      <c r="P52" s="2168" t="s">
        <v>1283</v>
      </c>
      <c r="Q52" s="2207">
        <f ca="1">J53</f>
        <v>33.31</v>
      </c>
      <c r="R52" s="2207" t="s">
        <v>1284</v>
      </c>
    </row>
    <row r="53" spans="1:18" s="760" customFormat="1" ht="30.75" customHeight="1">
      <c r="A53" s="2100" t="s">
        <v>1285</v>
      </c>
      <c r="B53" s="2024" t="s">
        <v>1170</v>
      </c>
      <c r="C53" s="1001">
        <f ca="1">ROUND(IF(F53="押一",C49/12*F11,IF(F53="押二",C49/12*2*F11,IF(F53="押三",C49/12*3*F11,C54*F11))),0)</f>
        <v>0</v>
      </c>
      <c r="D53" s="1993" t="s">
        <v>1347</v>
      </c>
      <c r="E53" s="1994" t="s">
        <v>1172</v>
      </c>
      <c r="F53" s="1995"/>
      <c r="I53" s="2185" t="s">
        <v>1286</v>
      </c>
      <c r="J53" s="2186">
        <f ca="1">IF(M47="住宅",IF(D1="——",MAX(J51,L48),MAX(J51,L48-'数据-取费表'!B24)),IF(D1="——",MIN(J51,L48),MIN(J51,L48-'数据-取费表'!B24)))</f>
        <v>33.31</v>
      </c>
      <c r="K53" s="3619" t="s">
        <v>1287</v>
      </c>
      <c r="L53" s="3620"/>
      <c r="O53" s="2167" t="s">
        <v>1112</v>
      </c>
      <c r="P53" s="2168" t="s">
        <v>1288</v>
      </c>
      <c r="Q53" s="2207">
        <f ca="1">Q47+Q48</f>
        <v>20876935</v>
      </c>
      <c r="R53" s="2207" t="s">
        <v>1289</v>
      </c>
    </row>
    <row r="54" spans="1:18" s="760" customFormat="1">
      <c r="A54" s="2084"/>
      <c r="B54" s="2101" t="s">
        <v>1342</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1290</v>
      </c>
      <c r="P54" s="2189"/>
      <c r="Q54" s="2189"/>
      <c r="R54" s="2189"/>
    </row>
    <row r="55" spans="1:18" s="760" customFormat="1">
      <c r="A55" s="2001" t="s">
        <v>951</v>
      </c>
      <c r="B55" s="2002" t="s">
        <v>1175</v>
      </c>
      <c r="C55" s="2003"/>
      <c r="D55" s="1993"/>
      <c r="E55" s="2102"/>
      <c r="F55" s="2103"/>
      <c r="I55" s="2190" t="s">
        <v>1291</v>
      </c>
      <c r="J55" s="2191" t="e">
        <f ca="1">ROUND(IF(J47="钢混",J57/J50,1-(1-2%)*(J50-J57)/J50),3)</f>
        <v>#VALUE!</v>
      </c>
      <c r="K55" s="2192" t="s">
        <v>1292</v>
      </c>
      <c r="L55" s="2193" t="s">
        <v>1348</v>
      </c>
      <c r="O55" s="2160" t="s">
        <v>1252</v>
      </c>
      <c r="P55" s="2161" t="s">
        <v>1253</v>
      </c>
      <c r="Q55" s="2206" t="s">
        <v>1254</v>
      </c>
      <c r="R55" s="2206" t="s">
        <v>1255</v>
      </c>
    </row>
    <row r="56" spans="1:18" s="760" customFormat="1" ht="36" customHeight="1">
      <c r="A56" s="2104">
        <v>2</v>
      </c>
      <c r="B56" s="2105" t="s">
        <v>1176</v>
      </c>
      <c r="C56" s="413">
        <f ca="1">C13</f>
        <v>5594753</v>
      </c>
      <c r="D56" s="2106"/>
      <c r="E56" s="2107"/>
      <c r="F56" s="2103"/>
      <c r="I56" s="2194" t="s">
        <v>1293</v>
      </c>
      <c r="J56" s="2195" t="s">
        <v>556</v>
      </c>
      <c r="K56" s="2169" t="s">
        <v>1294</v>
      </c>
      <c r="L56" s="2172" t="str">
        <f ca="1">IF(L48&lt;J51,"——",L48-J51)</f>
        <v>——</v>
      </c>
      <c r="O56" s="2167" t="s">
        <v>1007</v>
      </c>
      <c r="P56" s="2168" t="s">
        <v>1258</v>
      </c>
      <c r="Q56" s="2207">
        <f ca="1">C40+J29</f>
        <v>20876935</v>
      </c>
      <c r="R56" s="2207" t="s">
        <v>1259</v>
      </c>
    </row>
    <row r="57" spans="1:18" s="760" customFormat="1" ht="24">
      <c r="A57" s="2108"/>
      <c r="B57" s="2109" t="s">
        <v>1239</v>
      </c>
      <c r="C57" s="423">
        <f ca="1">C29</f>
        <v>9324589</v>
      </c>
      <c r="D57" s="2110"/>
      <c r="E57" s="2111"/>
      <c r="F57" s="2112"/>
      <c r="I57" s="2196" t="s">
        <v>1295</v>
      </c>
      <c r="J57" s="2197" t="str">
        <f ca="1">IF(OR(M47="住宅",J51&lt;L48,J56="是"),"——",J51-L48)</f>
        <v>——</v>
      </c>
      <c r="K57" s="2169" t="s">
        <v>1349</v>
      </c>
      <c r="L57" s="2172" t="str">
        <f ca="1">IF(L48&lt;J51,"——",IF(L55="比较法",L49,IF(L55="基准地价",L50,L51)))</f>
        <v>——</v>
      </c>
      <c r="O57" s="2167" t="s">
        <v>1010</v>
      </c>
      <c r="P57" s="2168" t="s">
        <v>1297</v>
      </c>
      <c r="Q57" s="2207">
        <f ca="1">L60</f>
        <v>0</v>
      </c>
      <c r="R57" s="2207" t="s">
        <v>1298</v>
      </c>
    </row>
    <row r="58" spans="1:18" s="760" customFormat="1" ht="24">
      <c r="A58" s="2113" t="s">
        <v>1184</v>
      </c>
      <c r="B58" s="2105" t="s">
        <v>1185</v>
      </c>
      <c r="C58" s="1001">
        <f ca="1">ROUND(C59+C64+C65+C66,0)</f>
        <v>27346</v>
      </c>
      <c r="D58" s="2114" t="s">
        <v>1186</v>
      </c>
      <c r="E58" s="2115"/>
      <c r="F58" s="2082"/>
      <c r="I58" s="2196" t="s">
        <v>1299</v>
      </c>
      <c r="J58" s="2198" t="e">
        <f ca="1">IF(J55&lt;0.4,0.4,J55)</f>
        <v>#VALUE!</v>
      </c>
      <c r="K58" s="2180" t="s">
        <v>1350</v>
      </c>
      <c r="L58" s="2172">
        <f ca="1">ROUND(POWER(1+L52,L47-L48)*(POWER(1+L52,L48)-1)/(POWER(1+L52,L47)-1),4)</f>
        <v>0.87990000000000002</v>
      </c>
      <c r="O58" s="2175" t="s">
        <v>1270</v>
      </c>
      <c r="P58" s="2168" t="s">
        <v>1301</v>
      </c>
      <c r="Q58" s="2207">
        <f>IF(L55="比较法",L49,IF(L55="基准地价",L50,0))</f>
        <v>3222023.1</v>
      </c>
      <c r="R58" s="2207" t="s">
        <v>1259</v>
      </c>
    </row>
    <row r="59" spans="1:18" s="760" customFormat="1" ht="24">
      <c r="A59" s="2012" t="s">
        <v>902</v>
      </c>
      <c r="B59" s="2109" t="s">
        <v>1191</v>
      </c>
      <c r="C59" s="2036">
        <f ca="1">ROUND(IF(AND(项目基本情况!B11="自然人",项目基本情况!B10="北京市"),C49*F59/(1+'数据-取费表'!C42),C60+C61+C62),0)</f>
        <v>3102</v>
      </c>
      <c r="D59" s="2116" t="s">
        <v>1192</v>
      </c>
      <c r="E59" s="2117" t="s">
        <v>1193</v>
      </c>
      <c r="F59" s="2038">
        <f ca="1">IF(项目基本情况!B11="企业","——",IF('数据-取费表'!B10="住宅",IF(F49*F50*F51/12/(1+'数据-取费表'!F30)&gt;100000,4%,2.5%),IF(F49*F50*F51/12/(1+'数据-取费表'!F30)&gt;100000,12%,7%)))</f>
        <v>7.0000000000000007E-2</v>
      </c>
      <c r="I59" s="2196" t="s">
        <v>1302</v>
      </c>
      <c r="J59" s="2197" t="str">
        <f ca="1">IF(OR(M47="住宅",J51&lt;L48,J56="是"),"——",ROUND(C29*J58,0))</f>
        <v>——</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f ca="1">ROUND(IF(D1="在建（套用方法）",M59,IF(D1="土地（套用方法）",N59,POWER(1+L52,L47-J51)*(POWER(1+L52,J51)-1)/(POWER(1+L52,L47)-1))),4)</f>
        <v>1.0368999999999999</v>
      </c>
      <c r="M59" s="2189">
        <f ca="1">ROUND(POWER(1+L52,L47-(J51+'数据-取费表'!B24))*(POWER(1+L52,(J51+'数据-取费表'!B24))-1)/(POWER(1+L52,L47)-1),4)</f>
        <v>1.0368999999999999</v>
      </c>
      <c r="N59" s="2189">
        <f ca="1">ROUND(POWER(1+L52,L47-(J51+'数据-取费表'!B20))*(POWER(1+L52,(J51+'数据-取费表'!B20))-1)/(POWER(1+L52,L47)-1),4)</f>
        <v>1.0397000000000001</v>
      </c>
      <c r="O59" s="2175" t="s">
        <v>1274</v>
      </c>
      <c r="P59" s="2168" t="s">
        <v>1303</v>
      </c>
      <c r="Q59" s="2208">
        <f>L52</f>
        <v>0.05</v>
      </c>
      <c r="R59" s="2207"/>
    </row>
    <row r="60" spans="1:18" s="760" customFormat="1" ht="15.75">
      <c r="A60" s="2012" t="s">
        <v>925</v>
      </c>
      <c r="B60" s="2109" t="s">
        <v>1195</v>
      </c>
      <c r="C60" s="1002">
        <f ca="1">IF(项目基本情况!B11="自然人","——",ROUND(C48*F60/(1+'数据-取费表'!C42),0))</f>
        <v>0</v>
      </c>
      <c r="D60" s="2117" t="s">
        <v>1196</v>
      </c>
      <c r="E60" s="2109" t="s">
        <v>1183</v>
      </c>
      <c r="F60" s="2028">
        <f t="shared" ref="F60:F66" si="0">F32</f>
        <v>5.5E-2</v>
      </c>
      <c r="I60" s="2199" t="s">
        <v>1304</v>
      </c>
      <c r="J60" s="2200" t="str">
        <f ca="1">IF(OR(M47="住宅",J51&lt;L48,J56="是"),"0",ROUND(J59/(1+J52)^J53,0))</f>
        <v>0</v>
      </c>
      <c r="K60" s="2201" t="s">
        <v>1305</v>
      </c>
      <c r="L60" s="2200">
        <f ca="1">IF(OR(M47="住宅",L48&lt;J51),0,ROUND(L57*(L58/L59-1),0))</f>
        <v>0</v>
      </c>
      <c r="O60" s="2175" t="s">
        <v>1278</v>
      </c>
      <c r="P60" s="2168" t="s">
        <v>1306</v>
      </c>
      <c r="Q60" s="2207">
        <f ca="1">L58</f>
        <v>0.87990000000000002</v>
      </c>
      <c r="R60" s="2207" t="s">
        <v>1307</v>
      </c>
    </row>
    <row r="61" spans="1:18" s="760" customFormat="1">
      <c r="A61" s="2012" t="s">
        <v>929</v>
      </c>
      <c r="B61" s="2109" t="s">
        <v>1199</v>
      </c>
      <c r="C61" s="1002">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1282</v>
      </c>
      <c r="P61" s="2168" t="str">
        <f>K59</f>
        <v>建筑物剩余耐用年限下的土地年期修正系数Kn</v>
      </c>
      <c r="Q61" s="2207">
        <f ca="1">L59</f>
        <v>1.0368999999999999</v>
      </c>
      <c r="R61" s="2207" t="s">
        <v>1308</v>
      </c>
    </row>
    <row r="62" spans="1:18" s="760" customFormat="1">
      <c r="A62" s="2012" t="s">
        <v>932</v>
      </c>
      <c r="B62" s="2118" t="s">
        <v>1203</v>
      </c>
      <c r="C62" s="2042">
        <f ca="1">IF(项目基本情况!B11="自然人","——",ROUND(F62*F63,0))</f>
        <v>3102</v>
      </c>
      <c r="D62" s="2119" t="s">
        <v>1204</v>
      </c>
      <c r="E62" s="2109" t="s">
        <v>1205</v>
      </c>
      <c r="F62" s="2027">
        <f t="shared" si="0"/>
        <v>1.5</v>
      </c>
      <c r="I62" s="2202" t="s">
        <v>1309</v>
      </c>
      <c r="J62" s="2203" t="s">
        <v>1310</v>
      </c>
      <c r="K62" s="2203" t="s">
        <v>1311</v>
      </c>
      <c r="L62" s="2203" t="s">
        <v>1312</v>
      </c>
      <c r="M62" s="2204" t="s">
        <v>1313</v>
      </c>
      <c r="O62" s="2167" t="s">
        <v>1112</v>
      </c>
      <c r="P62" s="2168" t="s">
        <v>1288</v>
      </c>
      <c r="Q62" s="2207">
        <f ca="1">Q56+Q57</f>
        <v>20876935</v>
      </c>
      <c r="R62" s="2207" t="s">
        <v>1289</v>
      </c>
    </row>
    <row r="63" spans="1:18" s="760" customFormat="1">
      <c r="A63" s="2025"/>
      <c r="B63" s="2120"/>
      <c r="C63" s="2046"/>
      <c r="D63" s="2121"/>
      <c r="E63" s="2109" t="s">
        <v>1209</v>
      </c>
      <c r="F63" s="1984">
        <f t="shared" ca="1" si="0"/>
        <v>2068.02</v>
      </c>
      <c r="I63" s="2202" t="s">
        <v>1314</v>
      </c>
      <c r="J63" s="2203">
        <v>70</v>
      </c>
      <c r="K63" s="2203">
        <v>50</v>
      </c>
      <c r="L63" s="2203">
        <v>80</v>
      </c>
      <c r="M63" s="2205">
        <v>0.02</v>
      </c>
      <c r="O63" s="2155" t="s">
        <v>1315</v>
      </c>
      <c r="P63" s="2189"/>
      <c r="Q63" s="2189"/>
      <c r="R63" s="2189"/>
    </row>
    <row r="64" spans="1:18" s="760" customFormat="1">
      <c r="A64" s="2012" t="s">
        <v>906</v>
      </c>
      <c r="B64" s="2109" t="s">
        <v>1211</v>
      </c>
      <c r="C64" s="1002">
        <f ca="1">ROUND(C57*F64,0)</f>
        <v>18649</v>
      </c>
      <c r="D64" s="2117" t="s">
        <v>1244</v>
      </c>
      <c r="E64" s="2109" t="s">
        <v>1183</v>
      </c>
      <c r="F64" s="2049">
        <f t="shared" ca="1" si="0"/>
        <v>2E-3</v>
      </c>
      <c r="I64" s="2202" t="s">
        <v>1316</v>
      </c>
      <c r="J64" s="2203">
        <v>50</v>
      </c>
      <c r="K64" s="2203">
        <v>35</v>
      </c>
      <c r="L64" s="2203">
        <v>60</v>
      </c>
      <c r="M64" s="2204">
        <v>0</v>
      </c>
      <c r="O64" s="2160" t="s">
        <v>1252</v>
      </c>
      <c r="P64" s="2161" t="s">
        <v>1253</v>
      </c>
      <c r="Q64" s="2206" t="s">
        <v>1254</v>
      </c>
      <c r="R64" s="2206" t="s">
        <v>1255</v>
      </c>
    </row>
    <row r="65" spans="1:18" s="760" customFormat="1">
      <c r="A65" s="2012" t="s">
        <v>951</v>
      </c>
      <c r="B65" s="2109" t="s">
        <v>1215</v>
      </c>
      <c r="C65" s="1002">
        <f ca="1">ROUND(C56*F65,0)</f>
        <v>5595</v>
      </c>
      <c r="D65" s="2117" t="s">
        <v>1216</v>
      </c>
      <c r="E65" s="2109" t="s">
        <v>1183</v>
      </c>
      <c r="F65" s="2050">
        <f t="shared" ca="1" si="0"/>
        <v>1E-3</v>
      </c>
      <c r="I65" s="2202" t="s">
        <v>1317</v>
      </c>
      <c r="J65" s="2203">
        <v>40</v>
      </c>
      <c r="K65" s="2203">
        <v>30</v>
      </c>
      <c r="L65" s="2203">
        <v>50</v>
      </c>
      <c r="M65" s="2205">
        <v>0.02</v>
      </c>
      <c r="O65" s="2167" t="s">
        <v>1007</v>
      </c>
      <c r="P65" s="2168" t="s">
        <v>1258</v>
      </c>
      <c r="Q65" s="2207">
        <f ca="1">C40+J29</f>
        <v>20876935</v>
      </c>
      <c r="R65" s="2207" t="s">
        <v>1259</v>
      </c>
    </row>
    <row r="66" spans="1:18" s="760" customFormat="1" ht="15.75">
      <c r="A66" s="2012" t="s">
        <v>954</v>
      </c>
      <c r="B66" s="2109" t="s">
        <v>1201</v>
      </c>
      <c r="C66" s="1002">
        <f ca="1">ROUND(C48*F66,0)</f>
        <v>0</v>
      </c>
      <c r="D66" s="2117" t="s">
        <v>1219</v>
      </c>
      <c r="E66" s="2109" t="s">
        <v>1183</v>
      </c>
      <c r="F66" s="1991">
        <f t="shared" ca="1" si="0"/>
        <v>5.0000000000000001E-3</v>
      </c>
      <c r="O66" s="2167" t="s">
        <v>1010</v>
      </c>
      <c r="P66" s="2168" t="s">
        <v>1297</v>
      </c>
      <c r="Q66" s="2207">
        <f ca="1">L60</f>
        <v>0</v>
      </c>
      <c r="R66" s="2207" t="s">
        <v>1298</v>
      </c>
    </row>
    <row r="67" spans="1:18" s="760" customFormat="1" ht="15.75">
      <c r="A67" s="2104" t="s">
        <v>1222</v>
      </c>
      <c r="B67" s="2209" t="s">
        <v>1223</v>
      </c>
      <c r="C67" s="1001">
        <f ca="1">C48-C58</f>
        <v>-27346</v>
      </c>
      <c r="D67" s="2116" t="s">
        <v>1224</v>
      </c>
      <c r="E67" s="2210"/>
      <c r="F67" s="2211"/>
      <c r="O67" s="2175" t="s">
        <v>1270</v>
      </c>
      <c r="P67" s="2168" t="s">
        <v>1301</v>
      </c>
      <c r="Q67" s="2231">
        <f ca="1">L51</f>
        <v>12791204</v>
      </c>
      <c r="R67" s="2207" t="s">
        <v>1318</v>
      </c>
    </row>
    <row r="68" spans="1:18" s="760" customFormat="1" ht="15.75">
      <c r="A68" s="2212" t="s">
        <v>1228</v>
      </c>
      <c r="B68" s="2213" t="s">
        <v>1245</v>
      </c>
      <c r="C68" s="2055">
        <f ca="1">ROUND(C67*(1-((1+F70)/(1+F68))^F69)/(F68-F70),0)</f>
        <v>-439247</v>
      </c>
      <c r="D68" s="2119" t="s">
        <v>1230</v>
      </c>
      <c r="E68" s="2109" t="s">
        <v>1231</v>
      </c>
      <c r="F68" s="1991">
        <f ca="1">F40</f>
        <v>0.05</v>
      </c>
      <c r="O68" s="2175" t="s">
        <v>1274</v>
      </c>
      <c r="P68" s="2230" t="s">
        <v>1319</v>
      </c>
      <c r="Q68" s="2207">
        <f ca="1">ROUND(Q69-Q70*Q71,0)</f>
        <v>619788</v>
      </c>
      <c r="R68" s="2207" t="s">
        <v>1320</v>
      </c>
    </row>
    <row r="69" spans="1:18" s="760" customFormat="1">
      <c r="A69" s="2214"/>
      <c r="B69" s="2215"/>
      <c r="C69" s="1990"/>
      <c r="D69" s="2216" t="s">
        <v>1234</v>
      </c>
      <c r="E69" s="2109" t="s">
        <v>1235</v>
      </c>
      <c r="F69" s="2059">
        <f ca="1">F41</f>
        <v>33.31</v>
      </c>
      <c r="O69" s="2175" t="s">
        <v>1321</v>
      </c>
      <c r="P69" s="2230" t="s">
        <v>1322</v>
      </c>
      <c r="Q69" s="2207">
        <f ca="1">C39</f>
        <v>1011421</v>
      </c>
      <c r="R69" s="2207" t="s">
        <v>1259</v>
      </c>
    </row>
    <row r="70" spans="1:18" s="760" customFormat="1">
      <c r="A70" s="2217"/>
      <c r="B70" s="2218"/>
      <c r="C70" s="2009"/>
      <c r="D70" s="2121"/>
      <c r="E70" s="2109" t="s">
        <v>1238</v>
      </c>
      <c r="F70" s="2099"/>
      <c r="O70" s="2175" t="s">
        <v>1323</v>
      </c>
      <c r="P70" s="2230" t="s">
        <v>1324</v>
      </c>
      <c r="Q70" s="2207">
        <f ca="1">C13</f>
        <v>5594753</v>
      </c>
      <c r="R70" s="2207" t="s">
        <v>1259</v>
      </c>
    </row>
    <row r="71" spans="1:18" s="760" customFormat="1">
      <c r="A71" s="2219" t="s">
        <v>1240</v>
      </c>
      <c r="B71" s="2220" t="s">
        <v>1246</v>
      </c>
      <c r="C71" s="2063">
        <f ca="1">ROUND(C68/F71,0)</f>
        <v>-173</v>
      </c>
      <c r="D71" s="2221" t="s">
        <v>1247</v>
      </c>
      <c r="E71" s="2222" t="s">
        <v>1248</v>
      </c>
      <c r="F71" s="2066">
        <f ca="1">F43</f>
        <v>2541.1799999999998</v>
      </c>
      <c r="O71" s="2175" t="s">
        <v>1325</v>
      </c>
      <c r="P71" s="2230" t="s">
        <v>1326</v>
      </c>
      <c r="Q71" s="2208">
        <f ca="1">C76</f>
        <v>7.0000000000000007E-2</v>
      </c>
      <c r="R71" s="2207"/>
    </row>
    <row r="72" spans="1:18" s="760" customFormat="1">
      <c r="B72" s="1035"/>
      <c r="C72" s="1035"/>
      <c r="O72" s="2175" t="s">
        <v>1278</v>
      </c>
      <c r="P72" s="2168" t="s">
        <v>1303</v>
      </c>
      <c r="Q72" s="2208">
        <f>L52</f>
        <v>0.05</v>
      </c>
      <c r="R72" s="2207"/>
    </row>
    <row r="73" spans="1:18" ht="15.75">
      <c r="A73" s="760"/>
      <c r="B73" s="1035"/>
      <c r="C73" s="1035"/>
      <c r="D73" s="760"/>
      <c r="E73" s="760"/>
      <c r="F73" s="760"/>
      <c r="O73" s="2175" t="s">
        <v>1282</v>
      </c>
      <c r="P73" s="2168" t="s">
        <v>1306</v>
      </c>
      <c r="Q73" s="2207">
        <f ca="1">L58</f>
        <v>0.87990000000000002</v>
      </c>
      <c r="R73" s="2207" t="s">
        <v>1307</v>
      </c>
    </row>
    <row r="74" spans="1:18">
      <c r="A74" s="760"/>
      <c r="B74" s="455" t="s">
        <v>1327</v>
      </c>
      <c r="C74" s="2223"/>
      <c r="D74" s="760"/>
      <c r="E74" s="760"/>
      <c r="F74" s="760"/>
      <c r="O74" s="2175" t="s">
        <v>1328</v>
      </c>
      <c r="P74" s="2168" t="str">
        <f>K59</f>
        <v>建筑物剩余耐用年限下的土地年期修正系数Kn</v>
      </c>
      <c r="Q74" s="2207">
        <f ca="1">L59</f>
        <v>1.0368999999999999</v>
      </c>
      <c r="R74" s="2207" t="s">
        <v>1308</v>
      </c>
    </row>
    <row r="75" spans="1:18">
      <c r="A75" s="760"/>
      <c r="B75" s="2224" t="s">
        <v>1329</v>
      </c>
      <c r="C75" s="2225">
        <f ca="1">ROUND(C13*C76,0)</f>
        <v>391633</v>
      </c>
      <c r="D75" s="760"/>
      <c r="E75" s="760"/>
      <c r="F75" s="760"/>
      <c r="K75" s="2154"/>
      <c r="L75" s="760"/>
      <c r="O75" s="2167" t="s">
        <v>1112</v>
      </c>
      <c r="P75" s="2168" t="s">
        <v>1288</v>
      </c>
      <c r="Q75" s="2207">
        <f ca="1">Q65+Q66</f>
        <v>20876935</v>
      </c>
      <c r="R75" s="2207" t="s">
        <v>1289</v>
      </c>
    </row>
    <row r="76" spans="1:18">
      <c r="B76" s="545" t="s">
        <v>1330</v>
      </c>
      <c r="C76" s="2226">
        <f ca="1">INDIRECT("'数据-取费表'!j"&amp;$G$1)</f>
        <v>7.0000000000000007E-2</v>
      </c>
      <c r="I76" s="760"/>
      <c r="J76" s="760"/>
      <c r="K76" s="2154"/>
      <c r="L76" s="760"/>
    </row>
    <row r="77" spans="1:18">
      <c r="B77" s="2227" t="s">
        <v>1331</v>
      </c>
      <c r="C77" s="2228"/>
      <c r="I77" s="760"/>
      <c r="J77" s="760"/>
      <c r="K77" s="2154"/>
      <c r="L77" s="760"/>
    </row>
    <row r="78" spans="1:18">
      <c r="B78" s="453" t="s">
        <v>1332</v>
      </c>
      <c r="C78" s="2229"/>
    </row>
    <row r="79" spans="1:18">
      <c r="B79" s="2224" t="s">
        <v>1333</v>
      </c>
      <c r="C79" s="456">
        <f ca="1">1-C80</f>
        <v>0.61299999999999999</v>
      </c>
    </row>
    <row r="80" spans="1:18">
      <c r="B80" s="2224" t="s">
        <v>1334</v>
      </c>
      <c r="C80" s="456">
        <f ca="1">ROUND(C75/C39,3)</f>
        <v>0.38700000000000001</v>
      </c>
    </row>
    <row r="81" spans="2:3">
      <c r="B81" s="453" t="s">
        <v>1335</v>
      </c>
      <c r="C81" s="423"/>
    </row>
    <row r="82" spans="2:3">
      <c r="B82" s="455" t="s">
        <v>1086</v>
      </c>
      <c r="C82" s="457">
        <f ca="1">1-C83</f>
        <v>0.73199999999999998</v>
      </c>
    </row>
    <row r="83" spans="2:3">
      <c r="B83" s="455" t="s">
        <v>1087</v>
      </c>
      <c r="C83" s="456">
        <f ca="1">ROUND(C13/C40,3)</f>
        <v>0.26800000000000002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1351</v>
      </c>
      <c r="B1" s="1781"/>
      <c r="C1" s="1782"/>
      <c r="D1" s="1782"/>
      <c r="E1" s="1783"/>
      <c r="F1" s="1784"/>
      <c r="G1" s="1785"/>
      <c r="J1" s="1887" t="s">
        <v>1352</v>
      </c>
      <c r="K1" s="1888"/>
      <c r="L1" s="1888"/>
      <c r="M1" s="1888"/>
      <c r="N1" s="1888"/>
      <c r="O1" s="1888"/>
      <c r="P1" s="1888"/>
      <c r="Q1" s="1888"/>
      <c r="R1" s="1927"/>
      <c r="S1" s="1928"/>
      <c r="T1" s="1928"/>
      <c r="U1" s="1928"/>
    </row>
    <row r="2" spans="1:22" s="1773" customFormat="1" ht="13.15" customHeight="1">
      <c r="A2" s="1786" t="s">
        <v>1151</v>
      </c>
      <c r="B2" s="1787" t="e">
        <f>IF(D2="——",C40,C40+E2)</f>
        <v>#DIV/0!</v>
      </c>
      <c r="C2" s="1782" t="s">
        <v>1152</v>
      </c>
      <c r="D2" s="1788" t="s">
        <v>1353</v>
      </c>
      <c r="E2" s="1789"/>
      <c r="F2" s="1790"/>
      <c r="G2" s="1791"/>
      <c r="H2" s="1792"/>
      <c r="I2" s="1889"/>
      <c r="J2" s="3624" t="s">
        <v>1354</v>
      </c>
      <c r="K2" s="3625"/>
      <c r="L2" s="1890" t="s">
        <v>1355</v>
      </c>
      <c r="M2" s="1890" t="s">
        <v>1356</v>
      </c>
      <c r="N2" s="1890" t="s">
        <v>1357</v>
      </c>
      <c r="O2" s="1890" t="s">
        <v>1358</v>
      </c>
      <c r="P2" s="1890" t="s">
        <v>1359</v>
      </c>
      <c r="Q2" s="1929" t="s">
        <v>1360</v>
      </c>
      <c r="R2" s="1930" t="s">
        <v>1361</v>
      </c>
      <c r="S2" s="1928"/>
      <c r="T2" s="1928"/>
      <c r="U2" s="1928"/>
      <c r="V2" s="1889"/>
    </row>
    <row r="3" spans="1:22" s="1773" customFormat="1" ht="13.15" customHeight="1">
      <c r="A3" s="1793" t="s">
        <v>1153</v>
      </c>
      <c r="B3" s="1794" t="e">
        <f>ROUND(B2*10000/B4,0)</f>
        <v>#DIV/0!</v>
      </c>
      <c r="C3" s="1782" t="s">
        <v>1154</v>
      </c>
      <c r="D3" s="1782"/>
      <c r="E3" s="1795"/>
      <c r="F3" s="1790"/>
      <c r="G3" s="1791"/>
      <c r="H3" s="1792"/>
      <c r="I3" s="1889"/>
      <c r="J3" s="3626" t="s">
        <v>1362</v>
      </c>
      <c r="K3" s="3627"/>
      <c r="L3" s="1891"/>
      <c r="M3" s="1891"/>
      <c r="N3" s="1891"/>
      <c r="O3" s="1891"/>
      <c r="P3" s="1891"/>
      <c r="Q3" s="1931"/>
      <c r="R3" s="1932">
        <f>SUM(L3:Q3)</f>
        <v>0</v>
      </c>
      <c r="S3" s="1928"/>
      <c r="T3" s="1928"/>
      <c r="U3" s="1928"/>
      <c r="V3" s="1889"/>
    </row>
    <row r="4" spans="1:22" s="1773" customFormat="1" ht="13.15" customHeight="1">
      <c r="A4" s="1796" t="s">
        <v>1363</v>
      </c>
      <c r="B4" s="1797"/>
      <c r="C4" s="1782"/>
      <c r="D4" s="1782"/>
      <c r="E4" s="1795"/>
      <c r="F4" s="1790"/>
      <c r="G4" s="1791"/>
      <c r="H4" s="1792"/>
      <c r="I4" s="1889"/>
      <c r="J4" s="3626" t="s">
        <v>1364</v>
      </c>
      <c r="K4" s="3627"/>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628" t="s">
        <v>1368</v>
      </c>
      <c r="B6" s="3629"/>
      <c r="C6" s="3630"/>
      <c r="D6" s="1801"/>
      <c r="E6" s="1802"/>
      <c r="F6" s="1803"/>
      <c r="G6" s="1804"/>
      <c r="H6" s="1792"/>
      <c r="I6" s="1889"/>
      <c r="J6" s="3637">
        <v>1</v>
      </c>
      <c r="K6" s="3640"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637"/>
      <c r="K7" s="3641"/>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631" t="s">
        <v>1382</v>
      </c>
      <c r="C8" s="3632"/>
      <c r="D8" s="1815" t="s">
        <v>1383</v>
      </c>
      <c r="E8" s="1816" t="s">
        <v>1384</v>
      </c>
      <c r="F8" s="1817" t="s">
        <v>1385</v>
      </c>
      <c r="G8" s="1818"/>
      <c r="H8" s="1792"/>
      <c r="I8" s="1889"/>
      <c r="J8" s="3637"/>
      <c r="K8" s="3641"/>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631" t="s">
        <v>1388</v>
      </c>
      <c r="C9" s="3632"/>
      <c r="D9" s="1815">
        <f>ROUND(D6*E9,0)</f>
        <v>0</v>
      </c>
      <c r="E9" s="1819"/>
      <c r="F9" s="1820" t="s">
        <v>1389</v>
      </c>
      <c r="G9" s="1804"/>
      <c r="H9" s="1792"/>
      <c r="I9" s="1889"/>
      <c r="J9" s="3637"/>
      <c r="K9" s="3641"/>
      <c r="L9" s="1899" t="s">
        <v>1390</v>
      </c>
      <c r="M9" s="1900"/>
      <c r="N9" s="1797"/>
      <c r="O9" s="1901"/>
      <c r="P9" s="1901"/>
      <c r="Q9" s="1830">
        <v>365</v>
      </c>
      <c r="R9" s="1935">
        <f t="shared" si="0"/>
        <v>0</v>
      </c>
      <c r="S9" s="1928"/>
      <c r="T9" s="1928"/>
      <c r="U9" s="1928"/>
      <c r="V9" s="1889"/>
    </row>
    <row r="10" spans="1:22" s="1773" customFormat="1" ht="13.15" customHeight="1">
      <c r="A10" s="1812">
        <v>2</v>
      </c>
      <c r="B10" s="3631" t="s">
        <v>1391</v>
      </c>
      <c r="C10" s="3632"/>
      <c r="D10" s="1815">
        <f>ROUND(D6*E10,0)</f>
        <v>0</v>
      </c>
      <c r="E10" s="1819"/>
      <c r="F10" s="1820" t="s">
        <v>1392</v>
      </c>
      <c r="G10" s="1804"/>
      <c r="H10" s="1792"/>
      <c r="I10" s="1889"/>
      <c r="J10" s="3637"/>
      <c r="K10" s="3641"/>
      <c r="L10" s="1899" t="s">
        <v>1393</v>
      </c>
      <c r="M10" s="1900"/>
      <c r="N10" s="1797"/>
      <c r="O10" s="1901"/>
      <c r="P10" s="1901"/>
      <c r="Q10" s="1830">
        <v>365</v>
      </c>
      <c r="R10" s="1935">
        <f t="shared" si="0"/>
        <v>0</v>
      </c>
      <c r="S10" s="1928"/>
      <c r="T10" s="1928"/>
      <c r="U10" s="1928"/>
      <c r="V10" s="1889"/>
    </row>
    <row r="11" spans="1:22" s="1773" customFormat="1" ht="13.15" customHeight="1">
      <c r="A11" s="1812">
        <v>3</v>
      </c>
      <c r="B11" s="3631" t="s">
        <v>1394</v>
      </c>
      <c r="C11" s="3632"/>
      <c r="D11" s="1815">
        <f>D12+D14+D15+D16</f>
        <v>0</v>
      </c>
      <c r="E11" s="1821" t="e">
        <f>D11/D6</f>
        <v>#DIV/0!</v>
      </c>
      <c r="F11" s="1817"/>
      <c r="G11" s="1818"/>
      <c r="H11" s="1792"/>
      <c r="I11" s="1889"/>
      <c r="J11" s="3637"/>
      <c r="K11" s="3641"/>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633" t="s">
        <v>1397</v>
      </c>
      <c r="C12" s="3634"/>
      <c r="D12" s="1825">
        <f>ROUND(D13*1.2%*(1-30%),0)</f>
        <v>0</v>
      </c>
      <c r="E12" s="1826">
        <v>1.2E-2</v>
      </c>
      <c r="F12" s="1817" t="s">
        <v>1398</v>
      </c>
      <c r="G12" s="1818"/>
      <c r="H12" s="1792"/>
      <c r="I12" s="1889"/>
      <c r="J12" s="3637"/>
      <c r="K12" s="3641"/>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637"/>
      <c r="K13" s="3641"/>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633" t="s">
        <v>1403</v>
      </c>
      <c r="C14" s="3634"/>
      <c r="D14" s="1825">
        <f>ROUND(E14*B5/10000,0)</f>
        <v>0</v>
      </c>
      <c r="E14" s="1830"/>
      <c r="F14" s="1817" t="s">
        <v>1404</v>
      </c>
      <c r="G14" s="1818"/>
      <c r="H14" s="1792"/>
      <c r="I14" s="1889"/>
      <c r="J14" s="3637"/>
      <c r="K14" s="3642"/>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633" t="s">
        <v>1407</v>
      </c>
      <c r="C15" s="3634"/>
      <c r="D15" s="1825">
        <f>ROUND(D6*E15,0)</f>
        <v>0</v>
      </c>
      <c r="E15" s="1826">
        <v>5.5E-2</v>
      </c>
      <c r="F15" s="1817" t="s">
        <v>1408</v>
      </c>
      <c r="G15" s="1804"/>
      <c r="H15" s="1792"/>
      <c r="I15" s="1889"/>
      <c r="J15" s="3637">
        <v>2</v>
      </c>
      <c r="K15" s="3640"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633" t="s">
        <v>1415</v>
      </c>
      <c r="C16" s="3634"/>
      <c r="D16" s="1831">
        <f>D6*E16</f>
        <v>0</v>
      </c>
      <c r="E16" s="1832"/>
      <c r="F16" s="1820" t="s">
        <v>1416</v>
      </c>
      <c r="G16" s="1804"/>
      <c r="H16" s="1792"/>
      <c r="I16" s="1889"/>
      <c r="J16" s="3637"/>
      <c r="K16" s="3641"/>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635" t="s">
        <v>1418</v>
      </c>
      <c r="C17" s="3636"/>
      <c r="D17" s="1834">
        <f>ROUND(D6*E17,0)</f>
        <v>0</v>
      </c>
      <c r="E17" s="1835"/>
      <c r="F17" s="1836" t="s">
        <v>1419</v>
      </c>
      <c r="G17" s="1804"/>
      <c r="H17" s="1792"/>
      <c r="I17" s="1889"/>
      <c r="J17" s="3637"/>
      <c r="K17" s="3641"/>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637"/>
      <c r="K18" s="3641"/>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637"/>
      <c r="K19" s="3642"/>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7">
        <v>3</v>
      </c>
      <c r="K20" s="3640"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637"/>
      <c r="K21" s="3641"/>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637"/>
      <c r="K22" s="3641"/>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637"/>
      <c r="K23" s="3641"/>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637"/>
      <c r="K24" s="3642"/>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638">
        <v>5</v>
      </c>
      <c r="K26" s="1910" t="s">
        <v>1444</v>
      </c>
      <c r="L26" s="1911"/>
      <c r="M26" s="1912"/>
      <c r="N26" s="1913" t="s">
        <v>455</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639"/>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624" t="s">
        <v>1354</v>
      </c>
      <c r="K32" s="3625"/>
      <c r="L32" s="1890" t="s">
        <v>1355</v>
      </c>
      <c r="M32" s="1890" t="s">
        <v>1356</v>
      </c>
      <c r="N32" s="1890" t="s">
        <v>1357</v>
      </c>
      <c r="O32" s="1890" t="s">
        <v>1358</v>
      </c>
      <c r="P32" s="1890" t="s">
        <v>1359</v>
      </c>
      <c r="Q32" s="1929" t="s">
        <v>1360</v>
      </c>
      <c r="R32" s="1945" t="s">
        <v>1361</v>
      </c>
      <c r="S32" s="1925"/>
      <c r="T32" s="1928"/>
      <c r="U32" s="1928"/>
      <c r="V32" s="1915"/>
    </row>
    <row r="33" spans="1:23" s="1773" customFormat="1" ht="13.15" customHeight="1">
      <c r="A33" s="1847"/>
      <c r="B33" s="1848"/>
      <c r="C33" s="1849"/>
      <c r="D33" s="1864"/>
      <c r="E33" s="1824"/>
      <c r="F33" s="1852"/>
      <c r="G33" s="1846"/>
      <c r="H33" s="1861"/>
      <c r="I33" s="1915"/>
      <c r="J33" s="3626" t="s">
        <v>1362</v>
      </c>
      <c r="K33" s="3627"/>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626" t="s">
        <v>1364</v>
      </c>
      <c r="K34" s="3627"/>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637">
        <v>1</v>
      </c>
      <c r="K36" s="3640"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637"/>
      <c r="K37" s="3641"/>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7"/>
      <c r="K38" s="3641"/>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637"/>
      <c r="K39" s="3641"/>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637"/>
      <c r="K40" s="3642"/>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8">
        <v>3</v>
      </c>
      <c r="K42" s="1910" t="s">
        <v>1444</v>
      </c>
      <c r="L42" s="1911"/>
      <c r="M42" s="1912"/>
      <c r="N42" s="1913" t="s">
        <v>455</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639"/>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1464</v>
      </c>
      <c r="B1" s="1750"/>
      <c r="C1" s="1750"/>
      <c r="D1" s="1750"/>
      <c r="E1" s="1751"/>
      <c r="F1" s="1752"/>
      <c r="G1" s="1753"/>
      <c r="H1" s="1753"/>
      <c r="I1" s="1753"/>
      <c r="J1" s="1753"/>
      <c r="K1" s="1753"/>
      <c r="L1" s="1753"/>
      <c r="M1" s="1753"/>
      <c r="N1" s="1753"/>
      <c r="O1" s="1753"/>
      <c r="P1" s="1753"/>
      <c r="Q1" s="1753"/>
      <c r="R1" s="1753"/>
      <c r="S1" s="1753"/>
    </row>
    <row r="2" spans="1:22" ht="15.75">
      <c r="A2" s="1754" t="s">
        <v>992</v>
      </c>
      <c r="B2" s="1755">
        <f ca="1">SUMIF(B6:B13,"&lt;&gt;#ref!",B6:B13)</f>
        <v>2087.6934999999999</v>
      </c>
      <c r="C2" s="1756" t="s">
        <v>1465</v>
      </c>
      <c r="D2" s="1757" t="s">
        <v>1466</v>
      </c>
      <c r="E2" s="1758">
        <f>SUM(E6:E13)</f>
        <v>2541.1799999999998</v>
      </c>
      <c r="F2" s="1752"/>
      <c r="G2" s="1753"/>
      <c r="H2" s="1753"/>
      <c r="I2" s="1753"/>
      <c r="J2" s="1753"/>
      <c r="K2" s="1753"/>
      <c r="L2" s="1753"/>
      <c r="M2" s="1753"/>
      <c r="N2" s="1753"/>
      <c r="O2" s="1753"/>
      <c r="P2" s="1753"/>
      <c r="Q2" s="1753"/>
      <c r="R2" s="1753"/>
      <c r="S2" s="1753"/>
    </row>
    <row r="3" spans="1:22" ht="15.75">
      <c r="A3" s="1754" t="s">
        <v>994</v>
      </c>
      <c r="B3" s="1759">
        <f ca="1">ROUND(B2*10000/E2,0)</f>
        <v>8215</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643" t="s">
        <v>1469</v>
      </c>
      <c r="C5" s="3644"/>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2087.6934999999999</v>
      </c>
      <c r="C6" s="1756" t="s">
        <v>1465</v>
      </c>
      <c r="D6" s="1760"/>
      <c r="E6" s="1768">
        <f>IF(OR(A6=0,F6="否"),0,'数据-取费表'!K6+'数据-取费表'!S6)</f>
        <v>2541.1799999999998</v>
      </c>
      <c r="F6" s="1769" t="s">
        <v>1472</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1473</v>
      </c>
      <c r="B1" s="1646" t="s">
        <v>1474</v>
      </c>
      <c r="C1" s="1507" t="s">
        <v>1475</v>
      </c>
      <c r="D1" s="1450"/>
      <c r="E1" s="1647"/>
      <c r="F1" s="1452"/>
      <c r="G1" s="1453" t="s">
        <v>1476</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992</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993</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994</v>
      </c>
      <c r="B3" s="1461">
        <f>IF(C2="——",C49,ROUND(B2*10000/D3,0))</f>
        <v>0</v>
      </c>
      <c r="C3" s="1460" t="s">
        <v>1477</v>
      </c>
      <c r="D3" s="1461">
        <f>IF(D1="",'数据-汇总表'!E3,SUMIF('数据-汇总表'!$C19:$C33,D1,'数据-汇总表'!$E19:$E33))</f>
        <v>2541.1799999999998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1478</v>
      </c>
      <c r="B4" s="1088"/>
      <c r="C4" s="3645" t="s">
        <v>1479</v>
      </c>
      <c r="D4" s="3646"/>
      <c r="E4" s="3647" t="s">
        <v>1480</v>
      </c>
      <c r="F4" s="3648"/>
      <c r="G4" s="3645" t="s">
        <v>1481</v>
      </c>
      <c r="H4" s="3646"/>
      <c r="I4" s="3645" t="s">
        <v>1482</v>
      </c>
      <c r="J4" s="3646"/>
      <c r="K4" s="168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75" t="s">
        <v>1481</v>
      </c>
      <c r="AC4" s="3675" t="s">
        <v>1482</v>
      </c>
    </row>
    <row r="5" spans="1:29" ht="15">
      <c r="A5" s="1089"/>
      <c r="B5" s="1090"/>
      <c r="C5" s="3649" t="s">
        <v>1485</v>
      </c>
      <c r="D5" s="3650"/>
      <c r="E5" s="3651" t="s">
        <v>1486</v>
      </c>
      <c r="F5" s="3652"/>
      <c r="G5" s="3649" t="s">
        <v>1487</v>
      </c>
      <c r="H5" s="3650"/>
      <c r="I5" s="3649" t="s">
        <v>1488</v>
      </c>
      <c r="J5" s="3650"/>
      <c r="K5" s="1685"/>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1489</v>
      </c>
      <c r="D6" s="3654"/>
      <c r="E6" s="3655" t="s">
        <v>1489</v>
      </c>
      <c r="F6" s="3656"/>
      <c r="G6" s="3653" t="s">
        <v>1489</v>
      </c>
      <c r="H6" s="3654"/>
      <c r="I6" s="3653" t="s">
        <v>1489</v>
      </c>
      <c r="J6" s="3654"/>
      <c r="K6" s="1685" t="s">
        <v>1490</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1491</v>
      </c>
      <c r="B7" s="1094"/>
      <c r="C7" s="1095">
        <f>'数据-取费表'!B2</f>
        <v>45422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7"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293" t="e">
        <f>D7/J7</f>
        <v>#DIV/0!</v>
      </c>
    </row>
    <row r="8" spans="1:29" s="1068" customFormat="1" ht="15">
      <c r="A8" s="1093" t="s">
        <v>1494</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7" t="s">
        <v>1495</v>
      </c>
      <c r="Q8" s="3659"/>
      <c r="R8" s="1279" t="s">
        <v>1493</v>
      </c>
      <c r="S8" s="1280">
        <f t="shared" si="0"/>
        <v>100</v>
      </c>
      <c r="T8" s="1279" t="s">
        <v>1493</v>
      </c>
      <c r="U8" s="1280">
        <f t="shared" si="1"/>
        <v>100</v>
      </c>
      <c r="V8" s="1279" t="s">
        <v>1493</v>
      </c>
      <c r="W8" s="1280">
        <f t="shared" si="2"/>
        <v>100</v>
      </c>
      <c r="X8" s="1281"/>
      <c r="Y8" s="3657" t="s">
        <v>1495</v>
      </c>
      <c r="Z8" s="3659"/>
      <c r="AA8" s="1293">
        <f t="shared" ref="AA8:AA19" si="3">D8/F8</f>
        <v>1</v>
      </c>
      <c r="AB8" s="1293">
        <f t="shared" ref="AB8:AB19" si="4">D8/H8</f>
        <v>1</v>
      </c>
      <c r="AC8" s="1293">
        <f t="shared" ref="AC8:AC19" si="5">D8/J8</f>
        <v>1</v>
      </c>
    </row>
    <row r="9" spans="1:29" s="1068" customFormat="1">
      <c r="A9" s="1101" t="s">
        <v>1496</v>
      </c>
      <c r="B9" s="1102" t="s">
        <v>1497</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5"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293">
        <f t="shared" si="5"/>
        <v>1</v>
      </c>
    </row>
    <row r="10" spans="1:29" s="1069" customFormat="1" ht="27">
      <c r="A10" s="1105"/>
      <c r="B10" s="1106" t="s">
        <v>1500</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5"/>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1501</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5"/>
      <c r="Q11" s="1283" t="str">
        <f t="shared" si="6"/>
        <v>容积率</v>
      </c>
      <c r="R11" s="1279" t="s">
        <v>1493</v>
      </c>
      <c r="S11" s="1280" t="e">
        <f t="shared" si="0"/>
        <v>#N/A</v>
      </c>
      <c r="T11" s="1279" t="s">
        <v>1493</v>
      </c>
      <c r="U11" s="1280" t="e">
        <f t="shared" si="1"/>
        <v>#N/A</v>
      </c>
      <c r="V11" s="1279" t="s">
        <v>1493</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5"/>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5"/>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5"/>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293">
        <f t="shared" si="5"/>
        <v>1</v>
      </c>
    </row>
    <row r="15" spans="1:29" ht="85.5">
      <c r="A15" s="1123" t="s">
        <v>1502</v>
      </c>
      <c r="B15" s="1416" t="s">
        <v>1503</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6" t="s">
        <v>1504</v>
      </c>
      <c r="Q15" s="663" t="str">
        <f t="shared" si="6"/>
        <v>居住社区成熟度</v>
      </c>
      <c r="R15" s="1284" t="s">
        <v>1493</v>
      </c>
      <c r="S15" s="1285">
        <f t="shared" si="0"/>
        <v>100</v>
      </c>
      <c r="T15" s="1284" t="s">
        <v>1493</v>
      </c>
      <c r="U15" s="1285">
        <f t="shared" si="1"/>
        <v>100</v>
      </c>
      <c r="V15" s="1284" t="s">
        <v>1493</v>
      </c>
      <c r="W15" s="1285">
        <f t="shared" si="2"/>
        <v>100</v>
      </c>
      <c r="X15" s="1278"/>
      <c r="Y15" s="3671" t="s">
        <v>1504</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7"/>
      <c r="Q16" s="663"/>
      <c r="R16" s="1284"/>
      <c r="S16" s="1285"/>
      <c r="T16" s="1284"/>
      <c r="U16" s="1285"/>
      <c r="V16" s="1284"/>
      <c r="W16" s="1285"/>
      <c r="X16" s="1278"/>
      <c r="Y16" s="3672"/>
      <c r="Z16" s="1268"/>
      <c r="AA16" s="1295">
        <v>1</v>
      </c>
      <c r="AB16" s="1295">
        <v>1</v>
      </c>
      <c r="AC16" s="1295">
        <v>1</v>
      </c>
    </row>
    <row r="17" spans="1:29" ht="71.25">
      <c r="A17" s="1109"/>
      <c r="B17" s="1419" t="s">
        <v>1505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7"/>
      <c r="Q17" s="663" t="str">
        <f>B17</f>
        <v>交通便捷度</v>
      </c>
      <c r="R17" s="1284" t="s">
        <v>1493</v>
      </c>
      <c r="S17" s="1285">
        <f>F17</f>
        <v>100</v>
      </c>
      <c r="T17" s="1284" t="s">
        <v>1493</v>
      </c>
      <c r="U17" s="1285">
        <f>H17</f>
        <v>100</v>
      </c>
      <c r="V17" s="1284" t="s">
        <v>1493</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1506</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7"/>
      <c r="Q19" s="663" t="str">
        <f>B19</f>
        <v>公共配套设施</v>
      </c>
      <c r="R19" s="1284" t="s">
        <v>1493</v>
      </c>
      <c r="S19" s="1285">
        <f>F19</f>
        <v>100</v>
      </c>
      <c r="T19" s="1284" t="s">
        <v>1493</v>
      </c>
      <c r="U19" s="1285">
        <f>H19</f>
        <v>100</v>
      </c>
      <c r="V19" s="1284" t="s">
        <v>1493</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1507</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7"/>
      <c r="Q21" s="663" t="str">
        <f>B21</f>
        <v>基础设施水平</v>
      </c>
      <c r="R21" s="1284" t="s">
        <v>1493</v>
      </c>
      <c r="S21" s="1285">
        <f>F21</f>
        <v>100</v>
      </c>
      <c r="T21" s="1284" t="s">
        <v>1493</v>
      </c>
      <c r="U21" s="1285">
        <f>H21</f>
        <v>100</v>
      </c>
      <c r="V21" s="1284" t="s">
        <v>1493</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7"/>
      <c r="Q22" s="663"/>
      <c r="R22" s="1284"/>
      <c r="S22" s="1285"/>
      <c r="T22" s="1284"/>
      <c r="U22" s="1285"/>
      <c r="V22" s="1284"/>
      <c r="W22" s="1285"/>
      <c r="X22" s="1278"/>
      <c r="Y22" s="3672"/>
      <c r="Z22" s="1268"/>
      <c r="AA22" s="1295">
        <v>1</v>
      </c>
      <c r="AB22" s="1295">
        <v>1</v>
      </c>
      <c r="AC22" s="1295">
        <v>1</v>
      </c>
    </row>
    <row r="23" spans="1:29" ht="42.75">
      <c r="A23" s="1109"/>
      <c r="B23" s="1419" t="s">
        <v>1508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7"/>
      <c r="Q23" s="663" t="str">
        <f>B23</f>
        <v>自然及人文环境</v>
      </c>
      <c r="R23" s="1284" t="s">
        <v>1493</v>
      </c>
      <c r="S23" s="1285">
        <f>F23</f>
        <v>100</v>
      </c>
      <c r="T23" s="1284" t="s">
        <v>1493</v>
      </c>
      <c r="U23" s="1285">
        <f>H23</f>
        <v>100</v>
      </c>
      <c r="V23" s="1284" t="s">
        <v>1493</v>
      </c>
      <c r="W23" s="1285">
        <f>J23</f>
        <v>100</v>
      </c>
      <c r="X23" s="1278"/>
      <c r="Y23" s="3672"/>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1509</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7"/>
      <c r="Q25" s="663" t="str">
        <f t="shared" ref="Q25:Q46" si="11">B25</f>
        <v>楼层-1</v>
      </c>
      <c r="R25" s="1284" t="s">
        <v>1493</v>
      </c>
      <c r="S25" s="1285">
        <f t="shared" ref="S25:S46" si="12">F25</f>
        <v>100</v>
      </c>
      <c r="T25" s="1284" t="s">
        <v>1493</v>
      </c>
      <c r="U25" s="1285">
        <f t="shared" ref="U25:U46" si="13">H25</f>
        <v>100</v>
      </c>
      <c r="V25" s="1284" t="s">
        <v>1493</v>
      </c>
      <c r="W25" s="1285">
        <f t="shared" ref="W25:W46" si="14">J25</f>
        <v>100</v>
      </c>
      <c r="X25" s="1278"/>
      <c r="Y25" s="3672"/>
      <c r="Z25" s="1268" t="str">
        <f>Q25</f>
        <v>楼层-1</v>
      </c>
      <c r="AA25" s="1295">
        <f t="shared" ref="AA25:AA46" si="15">D25/F25</f>
        <v>1</v>
      </c>
      <c r="AB25" s="1295">
        <f t="shared" ref="AB25:AB46" si="16">D25/H25</f>
        <v>1</v>
      </c>
      <c r="AC25" s="1295">
        <f t="shared" ref="AC25:AC46" si="17">D25/J25</f>
        <v>1</v>
      </c>
    </row>
    <row r="26" spans="1:29" ht="15">
      <c r="A26" s="1109"/>
      <c r="B26" s="1106" t="s">
        <v>1510</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7"/>
      <c r="Q26" s="663" t="str">
        <f t="shared" si="11"/>
        <v>朝向</v>
      </c>
      <c r="R26" s="1284" t="s">
        <v>1493</v>
      </c>
      <c r="S26" s="1285">
        <f t="shared" si="12"/>
        <v>100</v>
      </c>
      <c r="T26" s="1284" t="s">
        <v>1493</v>
      </c>
      <c r="U26" s="1285">
        <f t="shared" si="13"/>
        <v>100</v>
      </c>
      <c r="V26" s="1284" t="s">
        <v>1493</v>
      </c>
      <c r="W26" s="1285">
        <f t="shared" si="14"/>
        <v>100</v>
      </c>
      <c r="X26" s="1278"/>
      <c r="Y26" s="3672"/>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7"/>
      <c r="Q27" s="1283">
        <f t="shared" si="11"/>
        <v>111</v>
      </c>
      <c r="R27" s="1279" t="s">
        <v>1493</v>
      </c>
      <c r="S27" s="1280">
        <f t="shared" si="12"/>
        <v>100</v>
      </c>
      <c r="T27" s="1279" t="s">
        <v>1493</v>
      </c>
      <c r="U27" s="1280">
        <f t="shared" si="13"/>
        <v>100</v>
      </c>
      <c r="V27" s="1279" t="s">
        <v>1493</v>
      </c>
      <c r="W27" s="1280">
        <f t="shared" si="14"/>
        <v>100</v>
      </c>
      <c r="X27" s="1281"/>
      <c r="Y27" s="3672"/>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7"/>
      <c r="Q28" s="663">
        <f t="shared" si="11"/>
        <v>111</v>
      </c>
      <c r="R28" s="1284" t="s">
        <v>1493</v>
      </c>
      <c r="S28" s="1285">
        <f t="shared" si="12"/>
        <v>100</v>
      </c>
      <c r="T28" s="1284" t="s">
        <v>1493</v>
      </c>
      <c r="U28" s="1285">
        <f t="shared" si="13"/>
        <v>100</v>
      </c>
      <c r="V28" s="1284" t="s">
        <v>1493</v>
      </c>
      <c r="W28" s="1285">
        <f t="shared" si="14"/>
        <v>100</v>
      </c>
      <c r="X28" s="1278"/>
      <c r="Y28" s="3672"/>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7"/>
      <c r="Q29" s="663">
        <f t="shared" si="11"/>
        <v>111</v>
      </c>
      <c r="R29" s="1284" t="s">
        <v>1493</v>
      </c>
      <c r="S29" s="1285">
        <f t="shared" si="12"/>
        <v>100</v>
      </c>
      <c r="T29" s="1284" t="s">
        <v>1493</v>
      </c>
      <c r="U29" s="1285">
        <f t="shared" si="13"/>
        <v>100</v>
      </c>
      <c r="V29" s="1284" t="s">
        <v>1493</v>
      </c>
      <c r="W29" s="1285">
        <f t="shared" si="14"/>
        <v>100</v>
      </c>
      <c r="X29" s="1278"/>
      <c r="Y29" s="3672"/>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7"/>
      <c r="Q30" s="663">
        <f t="shared" si="11"/>
        <v>111</v>
      </c>
      <c r="R30" s="1284" t="s">
        <v>1493</v>
      </c>
      <c r="S30" s="1285">
        <f t="shared" si="12"/>
        <v>100</v>
      </c>
      <c r="T30" s="1284" t="s">
        <v>1493</v>
      </c>
      <c r="U30" s="1285">
        <f t="shared" si="13"/>
        <v>100</v>
      </c>
      <c r="V30" s="1284" t="s">
        <v>1493</v>
      </c>
      <c r="W30" s="1285">
        <f t="shared" si="14"/>
        <v>100</v>
      </c>
      <c r="X30" s="1278"/>
      <c r="Y30" s="3672"/>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7"/>
      <c r="Q31" s="663">
        <f t="shared" si="11"/>
        <v>111</v>
      </c>
      <c r="R31" s="1284" t="s">
        <v>1493</v>
      </c>
      <c r="S31" s="1285">
        <f t="shared" si="12"/>
        <v>100</v>
      </c>
      <c r="T31" s="1284" t="s">
        <v>1493</v>
      </c>
      <c r="U31" s="1285">
        <f t="shared" si="13"/>
        <v>100</v>
      </c>
      <c r="V31" s="1284" t="s">
        <v>1493</v>
      </c>
      <c r="W31" s="1285">
        <f t="shared" si="14"/>
        <v>100</v>
      </c>
      <c r="X31" s="1278"/>
      <c r="Y31" s="3672"/>
      <c r="Z31" s="1268">
        <f t="shared" si="18"/>
        <v>111</v>
      </c>
      <c r="AA31" s="1295">
        <f t="shared" si="15"/>
        <v>1</v>
      </c>
      <c r="AB31" s="1295">
        <f t="shared" si="16"/>
        <v>1</v>
      </c>
      <c r="AC31" s="1295">
        <f t="shared" si="17"/>
        <v>1</v>
      </c>
    </row>
    <row r="32" spans="1:29" ht="15">
      <c r="A32" s="1123" t="s">
        <v>1511</v>
      </c>
      <c r="B32" s="1102" t="s">
        <v>1512</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8" t="s">
        <v>1513</v>
      </c>
      <c r="Q32" s="663" t="str">
        <f t="shared" si="11"/>
        <v>建筑类型</v>
      </c>
      <c r="R32" s="1284" t="s">
        <v>1493</v>
      </c>
      <c r="S32" s="1285">
        <f t="shared" si="12"/>
        <v>100</v>
      </c>
      <c r="T32" s="1284" t="s">
        <v>1493</v>
      </c>
      <c r="U32" s="1285">
        <f t="shared" si="13"/>
        <v>100</v>
      </c>
      <c r="V32" s="1284" t="s">
        <v>1493</v>
      </c>
      <c r="W32" s="1285">
        <f t="shared" si="14"/>
        <v>100</v>
      </c>
      <c r="X32" s="1278"/>
      <c r="Y32" s="3673" t="s">
        <v>1513</v>
      </c>
      <c r="Z32" s="1268" t="str">
        <f t="shared" si="18"/>
        <v>建筑类型</v>
      </c>
      <c r="AA32" s="1295">
        <f t="shared" si="15"/>
        <v>1</v>
      </c>
      <c r="AB32" s="1295">
        <f t="shared" si="16"/>
        <v>1</v>
      </c>
      <c r="AC32" s="1295">
        <f t="shared" si="17"/>
        <v>1</v>
      </c>
    </row>
    <row r="33" spans="1:29" s="1070" customFormat="1" ht="15">
      <c r="A33" s="1165"/>
      <c r="B33" s="1106" t="s">
        <v>1514</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9"/>
      <c r="Q33" s="1512" t="str">
        <f t="shared" si="11"/>
        <v>项目建筑规模</v>
      </c>
      <c r="R33" s="1286" t="s">
        <v>1493</v>
      </c>
      <c r="S33" s="1287" t="e">
        <f t="shared" si="12"/>
        <v>#N/A</v>
      </c>
      <c r="T33" s="1286" t="s">
        <v>1493</v>
      </c>
      <c r="U33" s="1287" t="e">
        <f t="shared" si="13"/>
        <v>#N/A</v>
      </c>
      <c r="V33" s="1286" t="s">
        <v>1493</v>
      </c>
      <c r="W33" s="1287" t="e">
        <f t="shared" si="14"/>
        <v>#N/A</v>
      </c>
      <c r="X33" s="1288"/>
      <c r="Y33" s="3673"/>
      <c r="Z33" s="1296" t="str">
        <f t="shared" si="18"/>
        <v>项目建筑规模</v>
      </c>
      <c r="AA33" s="1295" t="e">
        <f t="shared" si="15"/>
        <v>#N/A</v>
      </c>
      <c r="AB33" s="1295" t="e">
        <f t="shared" si="16"/>
        <v>#N/A</v>
      </c>
      <c r="AC33" s="1295" t="e">
        <f t="shared" si="17"/>
        <v>#N/A</v>
      </c>
    </row>
    <row r="34" spans="1:29" ht="15">
      <c r="A34" s="1160"/>
      <c r="B34" s="1106" t="s">
        <v>1515</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9"/>
      <c r="Q34" s="663" t="str">
        <f t="shared" si="11"/>
        <v>建筑结构</v>
      </c>
      <c r="R34" s="1284" t="s">
        <v>1493</v>
      </c>
      <c r="S34" s="1285">
        <f t="shared" si="12"/>
        <v>100</v>
      </c>
      <c r="T34" s="1284" t="s">
        <v>1493</v>
      </c>
      <c r="U34" s="1285">
        <f t="shared" si="13"/>
        <v>100</v>
      </c>
      <c r="V34" s="1284" t="s">
        <v>1493</v>
      </c>
      <c r="W34" s="1285">
        <f t="shared" si="14"/>
        <v>100</v>
      </c>
      <c r="X34" s="1278"/>
      <c r="Y34" s="3673"/>
      <c r="Z34" s="1268" t="str">
        <f t="shared" si="18"/>
        <v>建筑结构</v>
      </c>
      <c r="AA34" s="1295">
        <f t="shared" si="15"/>
        <v>1</v>
      </c>
      <c r="AB34" s="1295">
        <f t="shared" si="16"/>
        <v>1</v>
      </c>
      <c r="AC34" s="1295">
        <f t="shared" si="17"/>
        <v>1</v>
      </c>
    </row>
    <row r="35" spans="1:29" ht="15">
      <c r="A35" s="1160"/>
      <c r="B35" s="1106" t="s">
        <v>1516</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9"/>
      <c r="Q35" s="663" t="str">
        <f t="shared" si="11"/>
        <v>建筑品质</v>
      </c>
      <c r="R35" s="1284" t="s">
        <v>1493</v>
      </c>
      <c r="S35" s="1285">
        <f t="shared" si="12"/>
        <v>100</v>
      </c>
      <c r="T35" s="1284" t="s">
        <v>1493</v>
      </c>
      <c r="U35" s="1285">
        <f t="shared" si="13"/>
        <v>100</v>
      </c>
      <c r="V35" s="1284" t="s">
        <v>1493</v>
      </c>
      <c r="W35" s="1285">
        <f t="shared" si="14"/>
        <v>100</v>
      </c>
      <c r="X35" s="1278"/>
      <c r="Y35" s="3673"/>
      <c r="Z35" s="1268" t="str">
        <f t="shared" si="18"/>
        <v>建筑品质</v>
      </c>
      <c r="AA35" s="1295">
        <f t="shared" si="15"/>
        <v>1</v>
      </c>
      <c r="AB35" s="1295">
        <f t="shared" si="16"/>
        <v>1</v>
      </c>
      <c r="AC35" s="1295">
        <f t="shared" si="17"/>
        <v>1</v>
      </c>
    </row>
    <row r="36" spans="1:29" ht="15">
      <c r="A36" s="1160"/>
      <c r="B36" s="1106" t="s">
        <v>1517</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9"/>
      <c r="Q36" s="663" t="str">
        <f t="shared" si="11"/>
        <v>公共部分装修</v>
      </c>
      <c r="R36" s="1284" t="s">
        <v>1493</v>
      </c>
      <c r="S36" s="1285">
        <f t="shared" si="12"/>
        <v>100</v>
      </c>
      <c r="T36" s="1284" t="s">
        <v>1493</v>
      </c>
      <c r="U36" s="1285">
        <f t="shared" si="13"/>
        <v>100</v>
      </c>
      <c r="V36" s="1284" t="s">
        <v>1493</v>
      </c>
      <c r="W36" s="1285">
        <f t="shared" si="14"/>
        <v>100</v>
      </c>
      <c r="X36" s="1278"/>
      <c r="Y36" s="3673"/>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9"/>
      <c r="Q37" s="1283" t="str">
        <f t="shared" si="11"/>
        <v>成新度</v>
      </c>
      <c r="R37" s="1279" t="s">
        <v>1493</v>
      </c>
      <c r="S37" s="1280" t="e">
        <f t="shared" si="12"/>
        <v>#N/A</v>
      </c>
      <c r="T37" s="1279" t="s">
        <v>1493</v>
      </c>
      <c r="U37" s="1280" t="e">
        <f t="shared" si="13"/>
        <v>#N/A</v>
      </c>
      <c r="V37" s="1279" t="s">
        <v>1493</v>
      </c>
      <c r="W37" s="1280" t="e">
        <f t="shared" si="14"/>
        <v>#N/A</v>
      </c>
      <c r="X37" s="1281"/>
      <c r="Y37" s="3673"/>
      <c r="Z37" s="1294" t="str">
        <f t="shared" si="18"/>
        <v>成新度</v>
      </c>
      <c r="AA37" s="1293" t="e">
        <f t="shared" si="15"/>
        <v>#N/A</v>
      </c>
      <c r="AB37" s="1293" t="e">
        <f t="shared" si="16"/>
        <v>#N/A</v>
      </c>
      <c r="AC37" s="1293" t="e">
        <f t="shared" si="17"/>
        <v>#N/A</v>
      </c>
    </row>
    <row r="38" spans="1:29" ht="15">
      <c r="A38" s="1160"/>
      <c r="B38" s="1106" t="s">
        <v>1518</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9" t="s">
        <v>1513</v>
      </c>
      <c r="Q38" s="663" t="str">
        <f t="shared" si="11"/>
        <v>物业管理</v>
      </c>
      <c r="R38" s="1284" t="s">
        <v>1493</v>
      </c>
      <c r="S38" s="1285">
        <f t="shared" si="12"/>
        <v>100</v>
      </c>
      <c r="T38" s="1284" t="s">
        <v>1493</v>
      </c>
      <c r="U38" s="1285">
        <f t="shared" si="13"/>
        <v>100</v>
      </c>
      <c r="V38" s="1284" t="s">
        <v>1493</v>
      </c>
      <c r="W38" s="1285">
        <f t="shared" si="14"/>
        <v>100</v>
      </c>
      <c r="X38" s="1278"/>
      <c r="Y38" s="3673" t="s">
        <v>1513</v>
      </c>
      <c r="Z38" s="1268" t="str">
        <f t="shared" si="18"/>
        <v>物业管理</v>
      </c>
      <c r="AA38" s="1295">
        <f t="shared" si="15"/>
        <v>1</v>
      </c>
      <c r="AB38" s="1295">
        <f t="shared" si="16"/>
        <v>1</v>
      </c>
      <c r="AC38" s="1295">
        <f t="shared" si="17"/>
        <v>1</v>
      </c>
    </row>
    <row r="39" spans="1:29" ht="15">
      <c r="A39" s="1160"/>
      <c r="B39" s="1106" t="s">
        <v>1519</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9"/>
      <c r="Q39" s="663" t="str">
        <f t="shared" si="11"/>
        <v>市政基础设施</v>
      </c>
      <c r="R39" s="1284" t="s">
        <v>1493</v>
      </c>
      <c r="S39" s="1285">
        <f t="shared" si="12"/>
        <v>100</v>
      </c>
      <c r="T39" s="1284" t="s">
        <v>1493</v>
      </c>
      <c r="U39" s="1285">
        <f t="shared" si="13"/>
        <v>100</v>
      </c>
      <c r="V39" s="1284" t="s">
        <v>1493</v>
      </c>
      <c r="W39" s="1285">
        <f t="shared" si="14"/>
        <v>100</v>
      </c>
      <c r="X39" s="1278"/>
      <c r="Y39" s="3673"/>
      <c r="Z39" s="1268" t="str">
        <f t="shared" si="18"/>
        <v>市政基础设施</v>
      </c>
      <c r="AA39" s="1295">
        <f t="shared" si="15"/>
        <v>1</v>
      </c>
      <c r="AB39" s="1295">
        <f t="shared" si="16"/>
        <v>1</v>
      </c>
      <c r="AC39" s="1295">
        <f t="shared" si="17"/>
        <v>1</v>
      </c>
    </row>
    <row r="40" spans="1:29" ht="15">
      <c r="A40" s="1160"/>
      <c r="B40" s="1106" t="s">
        <v>1520</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9"/>
      <c r="Q40" s="663" t="str">
        <f t="shared" si="11"/>
        <v>房型</v>
      </c>
      <c r="R40" s="1284" t="s">
        <v>1493</v>
      </c>
      <c r="S40" s="1285">
        <f t="shared" si="12"/>
        <v>100</v>
      </c>
      <c r="T40" s="1284" t="s">
        <v>1493</v>
      </c>
      <c r="U40" s="1285">
        <f t="shared" si="13"/>
        <v>100</v>
      </c>
      <c r="V40" s="1284" t="s">
        <v>1493</v>
      </c>
      <c r="W40" s="1285">
        <f t="shared" si="14"/>
        <v>100</v>
      </c>
      <c r="X40" s="1278"/>
      <c r="Y40" s="3673"/>
      <c r="Z40" s="1268" t="str">
        <f t="shared" si="18"/>
        <v>房型</v>
      </c>
      <c r="AA40" s="1295">
        <f t="shared" si="15"/>
        <v>1</v>
      </c>
      <c r="AB40" s="1295">
        <f t="shared" si="16"/>
        <v>1</v>
      </c>
      <c r="AC40" s="1295">
        <f t="shared" si="17"/>
        <v>1</v>
      </c>
    </row>
    <row r="41" spans="1:29" s="1070" customFormat="1" ht="28.5">
      <c r="A41" s="1165"/>
      <c r="B41" s="1106" t="s">
        <v>1521</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9"/>
      <c r="Q41" s="1512" t="str">
        <f t="shared" si="11"/>
        <v>单套/主力户型建筑面积</v>
      </c>
      <c r="R41" s="1286" t="s">
        <v>1493</v>
      </c>
      <c r="S41" s="1287">
        <f t="shared" si="12"/>
        <v>100</v>
      </c>
      <c r="T41" s="1286" t="s">
        <v>1493</v>
      </c>
      <c r="U41" s="1287">
        <f t="shared" si="13"/>
        <v>100</v>
      </c>
      <c r="V41" s="1286" t="s">
        <v>1493</v>
      </c>
      <c r="W41" s="1287">
        <f t="shared" si="14"/>
        <v>100</v>
      </c>
      <c r="X41" s="1288"/>
      <c r="Y41" s="3673"/>
      <c r="Z41" s="1296" t="str">
        <f t="shared" si="18"/>
        <v>单套/主力户型建筑面积</v>
      </c>
      <c r="AA41" s="1295">
        <f t="shared" si="15"/>
        <v>1</v>
      </c>
      <c r="AB41" s="1295">
        <f t="shared" si="16"/>
        <v>1</v>
      </c>
      <c r="AC41" s="1295">
        <f t="shared" si="17"/>
        <v>1</v>
      </c>
    </row>
    <row r="42" spans="1:29" ht="15">
      <c r="A42" s="1160"/>
      <c r="B42" s="1106" t="s">
        <v>1522</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9"/>
      <c r="Q42" s="663" t="str">
        <f t="shared" si="11"/>
        <v>内部装修</v>
      </c>
      <c r="R42" s="1284" t="s">
        <v>1493</v>
      </c>
      <c r="S42" s="1285">
        <f t="shared" si="12"/>
        <v>100</v>
      </c>
      <c r="T42" s="1284" t="s">
        <v>1493</v>
      </c>
      <c r="U42" s="1285">
        <f t="shared" si="13"/>
        <v>100</v>
      </c>
      <c r="V42" s="1284" t="s">
        <v>1493</v>
      </c>
      <c r="W42" s="1285">
        <f t="shared" si="14"/>
        <v>100</v>
      </c>
      <c r="X42" s="1278"/>
      <c r="Y42" s="3673"/>
      <c r="Z42" s="1268" t="str">
        <f t="shared" si="18"/>
        <v>内部装修</v>
      </c>
      <c r="AA42" s="1295">
        <f t="shared" si="15"/>
        <v>1</v>
      </c>
      <c r="AB42" s="1295">
        <f t="shared" si="16"/>
        <v>1</v>
      </c>
      <c r="AC42" s="1295">
        <f t="shared" si="17"/>
        <v>1</v>
      </c>
    </row>
    <row r="43" spans="1:29" ht="15">
      <c r="A43" s="1160"/>
      <c r="B43" s="1106" t="s">
        <v>1523</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9"/>
      <c r="Q43" s="663" t="str">
        <f t="shared" si="11"/>
        <v>内部装修维护情况</v>
      </c>
      <c r="R43" s="1284" t="s">
        <v>1493</v>
      </c>
      <c r="S43" s="1285">
        <f t="shared" si="12"/>
        <v>100</v>
      </c>
      <c r="T43" s="1284" t="s">
        <v>1493</v>
      </c>
      <c r="U43" s="1285">
        <f t="shared" si="13"/>
        <v>100</v>
      </c>
      <c r="V43" s="1284" t="s">
        <v>1493</v>
      </c>
      <c r="W43" s="1285">
        <f t="shared" si="14"/>
        <v>100</v>
      </c>
      <c r="X43" s="1278"/>
      <c r="Y43" s="3673"/>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9"/>
      <c r="Q44" s="1283">
        <f t="shared" si="11"/>
        <v>111</v>
      </c>
      <c r="R44" s="1279" t="s">
        <v>1493</v>
      </c>
      <c r="S44" s="1280">
        <f t="shared" si="12"/>
        <v>100</v>
      </c>
      <c r="T44" s="1279" t="s">
        <v>1493</v>
      </c>
      <c r="U44" s="1280">
        <f t="shared" si="13"/>
        <v>100</v>
      </c>
      <c r="V44" s="1279" t="s">
        <v>1493</v>
      </c>
      <c r="W44" s="1280">
        <f t="shared" si="14"/>
        <v>100</v>
      </c>
      <c r="X44" s="1281"/>
      <c r="Y44" s="3673"/>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9"/>
      <c r="Q45" s="663">
        <f t="shared" si="11"/>
        <v>111</v>
      </c>
      <c r="R45" s="1284" t="s">
        <v>1493</v>
      </c>
      <c r="S45" s="1285">
        <f t="shared" si="12"/>
        <v>100</v>
      </c>
      <c r="T45" s="1284" t="s">
        <v>1493</v>
      </c>
      <c r="U45" s="1285">
        <f t="shared" si="13"/>
        <v>100</v>
      </c>
      <c r="V45" s="1284" t="s">
        <v>1493</v>
      </c>
      <c r="W45" s="1285">
        <f t="shared" si="14"/>
        <v>100</v>
      </c>
      <c r="X45" s="1278"/>
      <c r="Y45" s="3673"/>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0"/>
      <c r="Q46" s="663">
        <f t="shared" si="11"/>
        <v>111</v>
      </c>
      <c r="R46" s="1284" t="s">
        <v>1493</v>
      </c>
      <c r="S46" s="1285">
        <f t="shared" si="12"/>
        <v>100</v>
      </c>
      <c r="T46" s="1284" t="s">
        <v>1493</v>
      </c>
      <c r="U46" s="1285">
        <f t="shared" si="13"/>
        <v>100</v>
      </c>
      <c r="V46" s="1284" t="s">
        <v>1493</v>
      </c>
      <c r="W46" s="1285">
        <f t="shared" si="14"/>
        <v>100</v>
      </c>
      <c r="X46" s="1278"/>
      <c r="Y46" s="3674"/>
      <c r="Z46" s="1268">
        <f t="shared" si="18"/>
        <v>111</v>
      </c>
      <c r="AA46" s="1295">
        <f t="shared" si="15"/>
        <v>1</v>
      </c>
      <c r="AB46" s="1295">
        <f t="shared" si="16"/>
        <v>1</v>
      </c>
      <c r="AC46" s="1295">
        <f t="shared" si="17"/>
        <v>1</v>
      </c>
    </row>
    <row r="47" spans="1:29" ht="15">
      <c r="A47" s="1167" t="s">
        <v>1524</v>
      </c>
      <c r="B47" s="1487"/>
      <c r="C47" s="1488" t="s">
        <v>124</v>
      </c>
      <c r="D47" s="1489"/>
      <c r="E47" s="1490"/>
      <c r="F47" s="1491"/>
      <c r="G47" s="1492"/>
      <c r="H47" s="1493"/>
      <c r="I47" s="1490"/>
      <c r="J47" s="1493"/>
      <c r="K47" s="1692"/>
      <c r="L47" s="1260"/>
      <c r="M47" s="1184"/>
      <c r="N47" s="1236"/>
      <c r="O47" s="1184"/>
      <c r="P47" s="3660" t="str">
        <f>A47</f>
        <v>成交单价（元/平方米）</v>
      </c>
      <c r="Q47" s="3660"/>
      <c r="R47" s="3661">
        <f>E47</f>
        <v>0</v>
      </c>
      <c r="S47" s="3661"/>
      <c r="T47" s="3661">
        <f>G47</f>
        <v>0</v>
      </c>
      <c r="U47" s="3661"/>
      <c r="V47" s="3661">
        <f>I47</f>
        <v>0</v>
      </c>
      <c r="W47" s="3661"/>
      <c r="X47" s="1224"/>
      <c r="Y47" s="1297"/>
      <c r="Z47" s="1224"/>
      <c r="AA47" s="1224"/>
      <c r="AB47" s="1224"/>
      <c r="AC47" s="1224"/>
    </row>
    <row r="48" spans="1:29" ht="15">
      <c r="A48" s="1175" t="s">
        <v>1525</v>
      </c>
      <c r="B48" s="1494"/>
      <c r="C48" s="1495" t="e">
        <f>R49</f>
        <v>#DIV/0!</v>
      </c>
      <c r="D48" s="1178" t="s">
        <v>1526</v>
      </c>
      <c r="E48" s="1496" t="e">
        <f>R48</f>
        <v>#DIV/0!</v>
      </c>
      <c r="F48" s="1179"/>
      <c r="G48" s="1495" t="e">
        <f>T48</f>
        <v>#DIV/0!</v>
      </c>
      <c r="H48" s="1179"/>
      <c r="I48" s="1496" t="e">
        <f>V48</f>
        <v>#DIV/0!</v>
      </c>
      <c r="J48" s="1179"/>
      <c r="K48" s="1693">
        <f>F48+H48+J48</f>
        <v>0</v>
      </c>
      <c r="L48" s="1260"/>
      <c r="M48" s="1184"/>
      <c r="N48" s="1184"/>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1527</v>
      </c>
      <c r="B49" s="1182"/>
      <c r="C49" s="1676" t="e">
        <f>R49</f>
        <v>#DIV/0!</v>
      </c>
      <c r="D49" s="1497"/>
      <c r="E49" s="1497"/>
      <c r="F49" s="1497"/>
      <c r="G49" s="1497"/>
      <c r="H49" s="1497"/>
      <c r="I49" s="1497"/>
      <c r="J49" s="1497"/>
      <c r="K49" s="1694"/>
      <c r="L49" s="1260"/>
      <c r="M49" s="1184"/>
      <c r="N49" s="1184"/>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1528</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1529</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1530</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1531</v>
      </c>
      <c r="B57" s="1224"/>
      <c r="C57" s="1225"/>
      <c r="D57" s="1225"/>
      <c r="E57" s="1225"/>
      <c r="F57" s="1226"/>
      <c r="G57" s="1226"/>
      <c r="H57" s="1225"/>
      <c r="I57" s="1225"/>
      <c r="J57" s="1225"/>
      <c r="K57" s="1442"/>
      <c r="L57" s="1443"/>
      <c r="M57" s="1276"/>
      <c r="N57" s="1276"/>
      <c r="O57" s="1276"/>
      <c r="P57" s="1696"/>
      <c r="Q57" s="1607"/>
    </row>
    <row r="58" spans="1:29" s="1073" customFormat="1" ht="15">
      <c r="A58" s="1499" t="s">
        <v>1491</v>
      </c>
      <c r="B58" s="1500"/>
      <c r="C58" s="1677" t="str">
        <f>YEAR(C7)&amp;"-"&amp;MONTH(C7)</f>
        <v>2024-5</v>
      </c>
      <c r="D58" s="1502">
        <f>EDATE(C58,-1)</f>
        <v>45383</v>
      </c>
      <c r="E58" s="1502">
        <f>EDATE(D58,-1)</f>
        <v>45352</v>
      </c>
      <c r="F58" s="1502">
        <f t="shared" ref="F58:O58" si="19">EDATE(E58,-1)</f>
        <v>45323</v>
      </c>
      <c r="G58" s="1502">
        <f t="shared" si="19"/>
        <v>45292</v>
      </c>
      <c r="H58" s="1502">
        <f t="shared" si="19"/>
        <v>45261</v>
      </c>
      <c r="I58" s="1502">
        <f t="shared" si="19"/>
        <v>45231</v>
      </c>
      <c r="J58" s="1502">
        <f t="shared" si="19"/>
        <v>45200</v>
      </c>
      <c r="K58" s="1502">
        <f t="shared" si="19"/>
        <v>45170</v>
      </c>
      <c r="L58" s="1502">
        <f t="shared" si="19"/>
        <v>45139</v>
      </c>
      <c r="M58" s="1502">
        <f t="shared" si="19"/>
        <v>45108</v>
      </c>
      <c r="N58" s="1502">
        <f t="shared" si="19"/>
        <v>45078</v>
      </c>
      <c r="O58" s="1502">
        <f t="shared" si="19"/>
        <v>45047</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1532</v>
      </c>
      <c r="B60" s="1305"/>
      <c r="C60" s="1306"/>
      <c r="D60" s="1307"/>
      <c r="E60" s="1307"/>
      <c r="F60" s="1307"/>
      <c r="G60" s="1307"/>
      <c r="H60" s="1307"/>
      <c r="I60" s="1307"/>
      <c r="J60" s="1307"/>
      <c r="K60" s="1307"/>
      <c r="L60" s="1307"/>
      <c r="M60" s="1355"/>
      <c r="N60" s="1307"/>
      <c r="O60" s="1355"/>
      <c r="P60" s="1698"/>
      <c r="Q60" s="1607"/>
    </row>
    <row r="61" spans="1:29" s="1068" customFormat="1" ht="15">
      <c r="A61" s="1308" t="s">
        <v>1494</v>
      </c>
      <c r="B61" s="1309"/>
      <c r="C61" s="1310" t="s">
        <v>1533</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1534</v>
      </c>
      <c r="B63" s="1315" t="s">
        <v>1497</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1500</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1501</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1502</v>
      </c>
      <c r="B76" s="1315" t="s">
        <v>1503</v>
      </c>
      <c r="C76" s="1336" t="s">
        <v>1535</v>
      </c>
      <c r="D76" s="1336" t="s">
        <v>1536</v>
      </c>
      <c r="E76" s="1336" t="s">
        <v>1537</v>
      </c>
      <c r="F76" s="1336" t="s">
        <v>1538</v>
      </c>
      <c r="G76" s="1336" t="s">
        <v>1539</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1505</v>
      </c>
      <c r="C78" s="1338" t="s">
        <v>1535</v>
      </c>
      <c r="D78" s="1338" t="s">
        <v>1536</v>
      </c>
      <c r="E78" s="1338" t="s">
        <v>1537</v>
      </c>
      <c r="F78" s="1338" t="s">
        <v>1538</v>
      </c>
      <c r="G78" s="1338" t="s">
        <v>1539</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1506</v>
      </c>
      <c r="C80" s="1338" t="s">
        <v>1535</v>
      </c>
      <c r="D80" s="1338" t="s">
        <v>1536</v>
      </c>
      <c r="E80" s="1338" t="s">
        <v>1537</v>
      </c>
      <c r="F80" s="1338" t="s">
        <v>1538</v>
      </c>
      <c r="G80" s="1338" t="s">
        <v>1539</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1507</v>
      </c>
      <c r="C82" s="1320" t="s">
        <v>1540</v>
      </c>
      <c r="D82" s="1320" t="s">
        <v>1541</v>
      </c>
      <c r="E82" s="1320" t="s">
        <v>1542</v>
      </c>
      <c r="F82" s="1320" t="s">
        <v>1543</v>
      </c>
      <c r="G82" s="1320" t="s">
        <v>1544</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1508</v>
      </c>
      <c r="C84" s="1338" t="s">
        <v>1535</v>
      </c>
      <c r="D84" s="1338" t="s">
        <v>1536</v>
      </c>
      <c r="E84" s="1338" t="s">
        <v>1537</v>
      </c>
      <c r="F84" s="1338" t="s">
        <v>1538</v>
      </c>
      <c r="G84" s="1338" t="s">
        <v>1539</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1509</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1510</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1511</v>
      </c>
      <c r="B100" s="1315" t="s">
        <v>1512</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1514</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1515</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1516</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1517</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1518</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1519</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1520</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1521</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1522</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1523</v>
      </c>
      <c r="C124" s="1338" t="s">
        <v>1535</v>
      </c>
      <c r="D124" s="1338" t="s">
        <v>1536</v>
      </c>
      <c r="E124" s="1338" t="s">
        <v>1537</v>
      </c>
      <c r="F124" s="1338" t="s">
        <v>1538</v>
      </c>
      <c r="G124" s="1338" t="s">
        <v>1539</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4">
        <f>ROUNDUP((J139-1)/2,0)</f>
        <v>10</v>
      </c>
      <c r="K140" s="1744">
        <v>100</v>
      </c>
    </row>
    <row r="141" spans="1:17" ht="15">
      <c r="B141" s="1727">
        <v>4</v>
      </c>
      <c r="C141" s="1728">
        <v>102</v>
      </c>
      <c r="D141" s="1728"/>
      <c r="E141" s="1729"/>
      <c r="F141" s="1730">
        <v>101.5</v>
      </c>
      <c r="G141" s="1728"/>
      <c r="H141" s="1731"/>
      <c r="I141" s="1743" t="s">
        <v>1557</v>
      </c>
      <c r="J141" s="454">
        <v>1</v>
      </c>
      <c r="K141" s="1745">
        <f>ROUND(100+(J141-J140)*K139*100,1)</f>
        <v>96.4</v>
      </c>
    </row>
    <row r="142" spans="1:17" ht="15">
      <c r="B142" s="1727">
        <v>3</v>
      </c>
      <c r="C142" s="1728">
        <v>103</v>
      </c>
      <c r="D142" s="1728"/>
      <c r="E142" s="1729"/>
      <c r="F142" s="1730">
        <v>101</v>
      </c>
      <c r="G142" s="1728"/>
      <c r="H142" s="1731"/>
      <c r="I142" s="1743" t="s">
        <v>1558</v>
      </c>
      <c r="J142" s="454">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1473</v>
      </c>
      <c r="B1" s="1646" t="s">
        <v>1565</v>
      </c>
      <c r="C1" s="1507" t="s">
        <v>1475</v>
      </c>
      <c r="D1" s="1450"/>
      <c r="E1" s="1647"/>
      <c r="F1" s="1452"/>
      <c r="G1" s="1453" t="s">
        <v>1476</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992</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993</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994</v>
      </c>
      <c r="B3" s="1085">
        <f>IF(C2="——",C49,ROUND(B2*10000/D3,0))</f>
        <v>0</v>
      </c>
      <c r="C3" s="1460" t="s">
        <v>1477</v>
      </c>
      <c r="D3" s="1461">
        <f>IF(D1="",'数据-汇总表'!E3,SUMIF('数据-汇总表'!$C19:$C33,D1,'数据-汇总表'!$E19:$E33))</f>
        <v>2541.1799999999998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1478</v>
      </c>
      <c r="B4" s="1088"/>
      <c r="C4" s="3645" t="s">
        <v>1479</v>
      </c>
      <c r="D4" s="3646"/>
      <c r="E4" s="3647" t="s">
        <v>1480</v>
      </c>
      <c r="F4" s="3648"/>
      <c r="G4" s="3645" t="s">
        <v>1481</v>
      </c>
      <c r="H4" s="3646"/>
      <c r="I4" s="3645" t="s">
        <v>1482</v>
      </c>
      <c r="J4" s="3646"/>
      <c r="K4" s="123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90" t="s">
        <v>1481</v>
      </c>
      <c r="AC4" s="3675" t="s">
        <v>1482</v>
      </c>
    </row>
    <row r="5" spans="1:29" ht="15">
      <c r="A5" s="1089"/>
      <c r="B5" s="1090"/>
      <c r="C5" s="3649" t="s">
        <v>1485</v>
      </c>
      <c r="D5" s="3650"/>
      <c r="E5" s="3651" t="s">
        <v>1486</v>
      </c>
      <c r="F5" s="3652"/>
      <c r="G5" s="3649" t="s">
        <v>1487</v>
      </c>
      <c r="H5" s="3650"/>
      <c r="I5" s="3649" t="s">
        <v>1488</v>
      </c>
      <c r="J5" s="3650"/>
      <c r="K5" s="1234"/>
      <c r="L5" s="1235"/>
      <c r="M5" s="1236"/>
      <c r="N5" s="1236"/>
      <c r="O5" s="1236"/>
      <c r="P5" s="3680"/>
      <c r="Q5" s="3681"/>
      <c r="R5" s="3686"/>
      <c r="S5" s="3687"/>
      <c r="T5" s="3686"/>
      <c r="U5" s="3687"/>
      <c r="V5" s="3690"/>
      <c r="W5" s="3690"/>
      <c r="X5" s="1278"/>
      <c r="Y5" s="3686"/>
      <c r="Z5" s="3687"/>
      <c r="AA5" s="3676"/>
      <c r="AB5" s="3690"/>
      <c r="AC5" s="3676"/>
    </row>
    <row r="6" spans="1:29" ht="15">
      <c r="A6" s="1091"/>
      <c r="B6" s="1092"/>
      <c r="C6" s="3653" t="s">
        <v>1489</v>
      </c>
      <c r="D6" s="3654"/>
      <c r="E6" s="3655" t="s">
        <v>1489</v>
      </c>
      <c r="F6" s="3656"/>
      <c r="G6" s="3653" t="s">
        <v>1489</v>
      </c>
      <c r="H6" s="3654"/>
      <c r="I6" s="3653" t="s">
        <v>1489</v>
      </c>
      <c r="J6" s="3654"/>
      <c r="K6" s="1234" t="s">
        <v>1490</v>
      </c>
      <c r="L6" s="1235"/>
      <c r="M6" s="1236"/>
      <c r="N6" s="1236"/>
      <c r="O6" s="1236"/>
      <c r="P6" s="3682"/>
      <c r="Q6" s="3683"/>
      <c r="R6" s="3686"/>
      <c r="S6" s="3687"/>
      <c r="T6" s="3688"/>
      <c r="U6" s="3689"/>
      <c r="V6" s="3690"/>
      <c r="W6" s="3690"/>
      <c r="X6" s="1278"/>
      <c r="Y6" s="3688"/>
      <c r="Z6" s="3689"/>
      <c r="AA6" s="3677"/>
      <c r="AB6" s="3690"/>
      <c r="AC6" s="3677"/>
    </row>
    <row r="7" spans="1:29" s="1068" customFormat="1" ht="15">
      <c r="A7" s="1093" t="s">
        <v>1491</v>
      </c>
      <c r="B7" s="1094"/>
      <c r="C7" s="1095">
        <f>'数据-取费表'!B2</f>
        <v>45422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7"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293" t="e">
        <f>D7/J7</f>
        <v>#DIV/0!</v>
      </c>
    </row>
    <row r="8" spans="1:29" s="1068" customFormat="1" ht="15">
      <c r="A8" s="1093" t="s">
        <v>1494</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7" t="s">
        <v>1495</v>
      </c>
      <c r="Q8" s="3659"/>
      <c r="R8" s="1279" t="s">
        <v>1493</v>
      </c>
      <c r="S8" s="1280">
        <f t="shared" si="0"/>
        <v>100</v>
      </c>
      <c r="T8" s="1279" t="s">
        <v>1493</v>
      </c>
      <c r="U8" s="1280">
        <f t="shared" si="1"/>
        <v>100</v>
      </c>
      <c r="V8" s="1279" t="s">
        <v>1493</v>
      </c>
      <c r="W8" s="1280">
        <f t="shared" si="2"/>
        <v>100</v>
      </c>
      <c r="X8" s="1281"/>
      <c r="Y8" s="3657" t="s">
        <v>1495</v>
      </c>
      <c r="Z8" s="3659"/>
      <c r="AA8" s="1293">
        <f t="shared" ref="AA8:AA46" si="3">D8/F8</f>
        <v>1</v>
      </c>
      <c r="AB8" s="1293">
        <f t="shared" ref="AB8:AB46" si="4">D8/H8</f>
        <v>1</v>
      </c>
      <c r="AC8" s="1293">
        <f t="shared" ref="AC8:AC46" si="5">D8/J8</f>
        <v>1</v>
      </c>
    </row>
    <row r="9" spans="1:29" s="1068" customFormat="1">
      <c r="A9" s="1101" t="s">
        <v>1496</v>
      </c>
      <c r="B9" s="1102" t="s">
        <v>1497</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5"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293">
        <f t="shared" si="5"/>
        <v>1</v>
      </c>
    </row>
    <row r="10" spans="1:29" s="1069" customFormat="1" ht="27">
      <c r="A10" s="1105"/>
      <c r="B10" s="1106" t="s">
        <v>1500</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5"/>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1501</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5"/>
      <c r="Q11" s="1283" t="str">
        <f t="shared" si="6"/>
        <v>容积率</v>
      </c>
      <c r="R11" s="1279" t="s">
        <v>1493</v>
      </c>
      <c r="S11" s="1280" t="e">
        <f t="shared" si="0"/>
        <v>#N/A</v>
      </c>
      <c r="T11" s="1279" t="s">
        <v>1493</v>
      </c>
      <c r="U11" s="1280" t="e">
        <f t="shared" si="1"/>
        <v>#N/A</v>
      </c>
      <c r="V11" s="1279" t="s">
        <v>1493</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5"/>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5"/>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5"/>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293">
        <f t="shared" si="5"/>
        <v>1</v>
      </c>
    </row>
    <row r="15" spans="1:29" ht="71.25">
      <c r="A15" s="1123" t="s">
        <v>1502</v>
      </c>
      <c r="B15" s="1416" t="s">
        <v>1566</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6" t="s">
        <v>1504</v>
      </c>
      <c r="Q15" s="663" t="str">
        <f t="shared" si="6"/>
        <v>商业繁华度</v>
      </c>
      <c r="R15" s="1284" t="s">
        <v>1493</v>
      </c>
      <c r="S15" s="1285">
        <f t="shared" si="0"/>
        <v>100</v>
      </c>
      <c r="T15" s="1284" t="s">
        <v>1493</v>
      </c>
      <c r="U15" s="1285">
        <f t="shared" si="1"/>
        <v>100</v>
      </c>
      <c r="V15" s="1284" t="s">
        <v>1493</v>
      </c>
      <c r="W15" s="1285">
        <f t="shared" si="2"/>
        <v>100</v>
      </c>
      <c r="X15" s="1278"/>
      <c r="Y15" s="3671" t="s">
        <v>1504</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295">
        <v>1</v>
      </c>
    </row>
    <row r="17" spans="1:29" ht="85.5">
      <c r="A17" s="1109"/>
      <c r="B17" s="1419" t="s">
        <v>1505</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7"/>
      <c r="Q17" s="663" t="str">
        <f>B17</f>
        <v>交通便捷度</v>
      </c>
      <c r="R17" s="1284" t="s">
        <v>1493</v>
      </c>
      <c r="S17" s="1285">
        <f>F17</f>
        <v>100</v>
      </c>
      <c r="T17" s="1284" t="s">
        <v>1493</v>
      </c>
      <c r="U17" s="1285">
        <f>H17</f>
        <v>100</v>
      </c>
      <c r="V17" s="1284" t="s">
        <v>1493</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1506</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7"/>
      <c r="Q19" s="663" t="str">
        <f>B19</f>
        <v>公共配套设施</v>
      </c>
      <c r="R19" s="1284" t="s">
        <v>1493</v>
      </c>
      <c r="S19" s="1285">
        <f>F19</f>
        <v>100</v>
      </c>
      <c r="T19" s="1284" t="s">
        <v>1493</v>
      </c>
      <c r="U19" s="1285">
        <f>H19</f>
        <v>100</v>
      </c>
      <c r="V19" s="1284" t="s">
        <v>1493</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1507</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7"/>
      <c r="Q21" s="663" t="str">
        <f>B21</f>
        <v>基础设施水平</v>
      </c>
      <c r="R21" s="1284" t="s">
        <v>1493</v>
      </c>
      <c r="S21" s="1285">
        <f>F21</f>
        <v>100</v>
      </c>
      <c r="T21" s="1284" t="s">
        <v>1493</v>
      </c>
      <c r="U21" s="1285">
        <f>H21</f>
        <v>100</v>
      </c>
      <c r="V21" s="1284" t="s">
        <v>1493</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7"/>
      <c r="Q22" s="663"/>
      <c r="R22" s="1284"/>
      <c r="S22" s="1285"/>
      <c r="T22" s="1284"/>
      <c r="U22" s="1285"/>
      <c r="V22" s="1284"/>
      <c r="W22" s="1285"/>
      <c r="X22" s="1278"/>
      <c r="Y22" s="3672"/>
      <c r="Z22" s="1268"/>
      <c r="AA22" s="1295">
        <v>1</v>
      </c>
      <c r="AB22" s="1295">
        <v>1</v>
      </c>
      <c r="AC22" s="1295">
        <v>1</v>
      </c>
    </row>
    <row r="23" spans="1:29" ht="57">
      <c r="A23" s="1109"/>
      <c r="B23" s="1419" t="s">
        <v>1508</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7"/>
      <c r="Q23" s="663" t="str">
        <f>B23</f>
        <v>自然及人文环境</v>
      </c>
      <c r="R23" s="1284" t="s">
        <v>1493</v>
      </c>
      <c r="S23" s="1285">
        <f>F23</f>
        <v>100</v>
      </c>
      <c r="T23" s="1284" t="s">
        <v>1493</v>
      </c>
      <c r="U23" s="1285">
        <f>H23</f>
        <v>100</v>
      </c>
      <c r="V23" s="1284" t="s">
        <v>1493</v>
      </c>
      <c r="W23" s="1285">
        <f>J23</f>
        <v>100</v>
      </c>
      <c r="X23" s="1278"/>
      <c r="Y23" s="3672"/>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1567</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7"/>
      <c r="Q25" s="663" t="str">
        <f t="shared" ref="Q25:Q46" si="11">B25</f>
        <v>临街状况</v>
      </c>
      <c r="R25" s="1284" t="s">
        <v>1493</v>
      </c>
      <c r="S25" s="1285">
        <f>F25</f>
        <v>100</v>
      </c>
      <c r="T25" s="1284" t="s">
        <v>1493</v>
      </c>
      <c r="U25" s="1285">
        <f>H25</f>
        <v>100</v>
      </c>
      <c r="V25" s="1284" t="s">
        <v>1493</v>
      </c>
      <c r="W25" s="1285">
        <f>J25</f>
        <v>100</v>
      </c>
      <c r="X25" s="1278"/>
      <c r="Y25" s="3672"/>
      <c r="Z25" s="1268" t="str">
        <f>Q25</f>
        <v>临街状况</v>
      </c>
      <c r="AA25" s="1295">
        <f t="shared" si="3"/>
        <v>1</v>
      </c>
      <c r="AB25" s="1295">
        <f t="shared" si="4"/>
        <v>1</v>
      </c>
      <c r="AC25" s="1295">
        <f t="shared" si="5"/>
        <v>1</v>
      </c>
    </row>
    <row r="26" spans="1:29" ht="15">
      <c r="A26" s="1109"/>
      <c r="B26" s="1424" t="s">
        <v>1568</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7"/>
      <c r="Q26" s="663" t="str">
        <f t="shared" si="11"/>
        <v>平面位置/可视性</v>
      </c>
      <c r="R26" s="1284" t="s">
        <v>1493</v>
      </c>
      <c r="S26" s="1285">
        <f>F26</f>
        <v>100</v>
      </c>
      <c r="T26" s="1284" t="s">
        <v>1493</v>
      </c>
      <c r="U26" s="1285">
        <f>H26</f>
        <v>100</v>
      </c>
      <c r="V26" s="1284" t="s">
        <v>1493</v>
      </c>
      <c r="W26" s="1285">
        <f>J26</f>
        <v>100</v>
      </c>
      <c r="X26" s="1278"/>
      <c r="Y26" s="3672"/>
      <c r="Z26" s="1268" t="str">
        <f>Q26</f>
        <v>平面位置/可视性</v>
      </c>
      <c r="AA26" s="1295">
        <f t="shared" si="3"/>
        <v>1</v>
      </c>
      <c r="AB26" s="1295">
        <f t="shared" si="4"/>
        <v>1</v>
      </c>
      <c r="AC26" s="1295">
        <f t="shared" si="5"/>
        <v>1</v>
      </c>
    </row>
    <row r="27" spans="1:29" s="1068" customFormat="1" ht="15">
      <c r="A27" s="1112"/>
      <c r="B27" s="1419" t="s">
        <v>1569</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7"/>
      <c r="Q27" s="1283" t="str">
        <f t="shared" si="11"/>
        <v>人流量</v>
      </c>
      <c r="R27" s="1279" t="s">
        <v>1493</v>
      </c>
      <c r="S27" s="1280">
        <f>F27</f>
        <v>100</v>
      </c>
      <c r="T27" s="1279" t="s">
        <v>1493</v>
      </c>
      <c r="U27" s="1280">
        <f>H27</f>
        <v>100</v>
      </c>
      <c r="V27" s="1279" t="s">
        <v>1493</v>
      </c>
      <c r="W27" s="1280">
        <f>J27</f>
        <v>100</v>
      </c>
      <c r="X27" s="1281"/>
      <c r="Y27" s="3672"/>
      <c r="Z27" s="1294" t="str">
        <f>Q27</f>
        <v>人流量</v>
      </c>
      <c r="AA27" s="1295">
        <f t="shared" si="3"/>
        <v>1</v>
      </c>
      <c r="AB27" s="1295">
        <f t="shared" si="4"/>
        <v>1</v>
      </c>
      <c r="AC27" s="1295">
        <f t="shared" si="5"/>
        <v>1</v>
      </c>
    </row>
    <row r="28" spans="1:29" ht="15">
      <c r="A28" s="1109"/>
      <c r="B28" s="1106" t="s">
        <v>1570</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7"/>
      <c r="Q28" s="663" t="str">
        <f t="shared" si="11"/>
        <v>楼层</v>
      </c>
      <c r="R28" s="1284" t="s">
        <v>1493</v>
      </c>
      <c r="S28" s="1285">
        <f t="shared" ref="S28:S46" si="12">F28</f>
        <v>100</v>
      </c>
      <c r="T28" s="1284" t="s">
        <v>1493</v>
      </c>
      <c r="U28" s="1285">
        <f t="shared" ref="U28:U46" si="13">H28</f>
        <v>100</v>
      </c>
      <c r="V28" s="1284" t="s">
        <v>1493</v>
      </c>
      <c r="W28" s="1285">
        <f t="shared" ref="W28:W46" si="14">J28</f>
        <v>100</v>
      </c>
      <c r="X28" s="1278"/>
      <c r="Y28" s="3672"/>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7"/>
      <c r="Q29" s="663">
        <f t="shared" si="11"/>
        <v>111</v>
      </c>
      <c r="R29" s="1284" t="s">
        <v>1493</v>
      </c>
      <c r="S29" s="1285">
        <f t="shared" si="12"/>
        <v>100</v>
      </c>
      <c r="T29" s="1284" t="s">
        <v>1493</v>
      </c>
      <c r="U29" s="1285">
        <f t="shared" si="13"/>
        <v>100</v>
      </c>
      <c r="V29" s="1284" t="s">
        <v>1493</v>
      </c>
      <c r="W29" s="1285">
        <f t="shared" si="14"/>
        <v>100</v>
      </c>
      <c r="X29" s="1278"/>
      <c r="Y29" s="3672"/>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7"/>
      <c r="Q30" s="663">
        <f t="shared" si="11"/>
        <v>111</v>
      </c>
      <c r="R30" s="1284" t="s">
        <v>1493</v>
      </c>
      <c r="S30" s="1285">
        <f t="shared" si="12"/>
        <v>100</v>
      </c>
      <c r="T30" s="1284" t="s">
        <v>1493</v>
      </c>
      <c r="U30" s="1285">
        <f t="shared" si="13"/>
        <v>100</v>
      </c>
      <c r="V30" s="1284" t="s">
        <v>1493</v>
      </c>
      <c r="W30" s="1285">
        <f t="shared" si="14"/>
        <v>100</v>
      </c>
      <c r="X30" s="1278"/>
      <c r="Y30" s="3672"/>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7"/>
      <c r="Q31" s="663">
        <f t="shared" si="11"/>
        <v>111</v>
      </c>
      <c r="R31" s="1284" t="s">
        <v>1493</v>
      </c>
      <c r="S31" s="1285">
        <f t="shared" si="12"/>
        <v>100</v>
      </c>
      <c r="T31" s="1284" t="s">
        <v>1493</v>
      </c>
      <c r="U31" s="1285">
        <f t="shared" si="13"/>
        <v>100</v>
      </c>
      <c r="V31" s="1284" t="s">
        <v>1493</v>
      </c>
      <c r="W31" s="1285">
        <f t="shared" si="14"/>
        <v>100</v>
      </c>
      <c r="X31" s="1278"/>
      <c r="Y31" s="3672"/>
      <c r="Z31" s="1268">
        <f t="shared" si="15"/>
        <v>111</v>
      </c>
      <c r="AA31" s="1295">
        <f t="shared" si="3"/>
        <v>1</v>
      </c>
      <c r="AB31" s="1295">
        <f t="shared" si="4"/>
        <v>1</v>
      </c>
      <c r="AC31" s="1295">
        <f t="shared" si="5"/>
        <v>1</v>
      </c>
    </row>
    <row r="32" spans="1:29" ht="15">
      <c r="A32" s="1123" t="s">
        <v>1511</v>
      </c>
      <c r="B32" s="1102" t="s">
        <v>1571</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8" t="s">
        <v>1513</v>
      </c>
      <c r="Q32" s="663" t="str">
        <f t="shared" si="11"/>
        <v>商业类型</v>
      </c>
      <c r="R32" s="1284" t="s">
        <v>1493</v>
      </c>
      <c r="S32" s="1285">
        <f t="shared" si="12"/>
        <v>100</v>
      </c>
      <c r="T32" s="1284" t="s">
        <v>1493</v>
      </c>
      <c r="U32" s="1285">
        <f t="shared" si="13"/>
        <v>100</v>
      </c>
      <c r="V32" s="1284" t="s">
        <v>1493</v>
      </c>
      <c r="W32" s="1285">
        <f t="shared" si="14"/>
        <v>100</v>
      </c>
      <c r="X32" s="1278"/>
      <c r="Y32" s="3673" t="s">
        <v>1513</v>
      </c>
      <c r="Z32" s="1268" t="str">
        <f t="shared" si="15"/>
        <v>商业类型</v>
      </c>
      <c r="AA32" s="1295">
        <f t="shared" si="3"/>
        <v>1</v>
      </c>
      <c r="AB32" s="1295">
        <f t="shared" si="4"/>
        <v>1</v>
      </c>
      <c r="AC32" s="1295">
        <f t="shared" si="5"/>
        <v>1</v>
      </c>
    </row>
    <row r="33" spans="1:29" s="1070" customFormat="1" ht="15">
      <c r="A33" s="1165"/>
      <c r="B33" s="1106" t="s">
        <v>1514</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9"/>
      <c r="Q33" s="1512" t="str">
        <f t="shared" si="11"/>
        <v>项目建筑规模</v>
      </c>
      <c r="R33" s="1286" t="s">
        <v>1493</v>
      </c>
      <c r="S33" s="1287" t="e">
        <f t="shared" si="12"/>
        <v>#N/A</v>
      </c>
      <c r="T33" s="1286" t="s">
        <v>1493</v>
      </c>
      <c r="U33" s="1287" t="e">
        <f t="shared" si="13"/>
        <v>#N/A</v>
      </c>
      <c r="V33" s="1286" t="s">
        <v>1493</v>
      </c>
      <c r="W33" s="1287" t="e">
        <f t="shared" si="14"/>
        <v>#N/A</v>
      </c>
      <c r="X33" s="1288"/>
      <c r="Y33" s="3673"/>
      <c r="Z33" s="1296" t="str">
        <f t="shared" si="15"/>
        <v>项目建筑规模</v>
      </c>
      <c r="AA33" s="1295" t="e">
        <f t="shared" si="3"/>
        <v>#N/A</v>
      </c>
      <c r="AB33" s="1295" t="e">
        <f t="shared" si="4"/>
        <v>#N/A</v>
      </c>
      <c r="AC33" s="1295" t="e">
        <f t="shared" si="5"/>
        <v>#N/A</v>
      </c>
    </row>
    <row r="34" spans="1:29" ht="15">
      <c r="A34" s="1160"/>
      <c r="B34" s="1106" t="s">
        <v>1515</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9"/>
      <c r="Q34" s="663" t="str">
        <f t="shared" si="11"/>
        <v>建筑结构</v>
      </c>
      <c r="R34" s="1284" t="s">
        <v>1493</v>
      </c>
      <c r="S34" s="1285">
        <f t="shared" si="12"/>
        <v>100</v>
      </c>
      <c r="T34" s="1284" t="s">
        <v>1493</v>
      </c>
      <c r="U34" s="1285">
        <f t="shared" si="13"/>
        <v>100</v>
      </c>
      <c r="V34" s="1284" t="s">
        <v>1493</v>
      </c>
      <c r="W34" s="1285">
        <f t="shared" si="14"/>
        <v>100</v>
      </c>
      <c r="X34" s="1278"/>
      <c r="Y34" s="3673"/>
      <c r="Z34" s="1268" t="str">
        <f t="shared" si="15"/>
        <v>建筑结构</v>
      </c>
      <c r="AA34" s="1295">
        <f t="shared" si="3"/>
        <v>1</v>
      </c>
      <c r="AB34" s="1295">
        <f t="shared" si="4"/>
        <v>1</v>
      </c>
      <c r="AC34" s="1295">
        <f t="shared" si="5"/>
        <v>1</v>
      </c>
    </row>
    <row r="35" spans="1:29" ht="15">
      <c r="A35" s="1160"/>
      <c r="B35" s="1106" t="s">
        <v>1517</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9"/>
      <c r="Q35" s="663" t="str">
        <f t="shared" si="11"/>
        <v>公共部分装修</v>
      </c>
      <c r="R35" s="1284" t="s">
        <v>1493</v>
      </c>
      <c r="S35" s="1285">
        <f t="shared" si="12"/>
        <v>100</v>
      </c>
      <c r="T35" s="1284" t="s">
        <v>1493</v>
      </c>
      <c r="U35" s="1285">
        <f t="shared" si="13"/>
        <v>100</v>
      </c>
      <c r="V35" s="1284" t="s">
        <v>1493</v>
      </c>
      <c r="W35" s="1285">
        <f t="shared" si="14"/>
        <v>100</v>
      </c>
      <c r="X35" s="1278"/>
      <c r="Y35" s="3673"/>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9"/>
      <c r="Q36" s="663" t="str">
        <f t="shared" si="11"/>
        <v>成新度</v>
      </c>
      <c r="R36" s="1284" t="s">
        <v>1493</v>
      </c>
      <c r="S36" s="1285" t="e">
        <f t="shared" si="12"/>
        <v>#N/A</v>
      </c>
      <c r="T36" s="1284" t="s">
        <v>1493</v>
      </c>
      <c r="U36" s="1285" t="e">
        <f t="shared" si="13"/>
        <v>#N/A</v>
      </c>
      <c r="V36" s="1284" t="s">
        <v>1493</v>
      </c>
      <c r="W36" s="1285" t="e">
        <f t="shared" si="14"/>
        <v>#N/A</v>
      </c>
      <c r="X36" s="1278"/>
      <c r="Y36" s="3673"/>
      <c r="Z36" s="1268" t="str">
        <f t="shared" si="15"/>
        <v>成新度</v>
      </c>
      <c r="AA36" s="1295" t="e">
        <f t="shared" si="3"/>
        <v>#N/A</v>
      </c>
      <c r="AB36" s="1295" t="e">
        <f t="shared" si="4"/>
        <v>#N/A</v>
      </c>
      <c r="AC36" s="1295" t="e">
        <f t="shared" si="5"/>
        <v>#N/A</v>
      </c>
    </row>
    <row r="37" spans="1:29" s="1068" customFormat="1" ht="15">
      <c r="A37" s="1162"/>
      <c r="B37" s="1106" t="s">
        <v>1519</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9"/>
      <c r="Q37" s="1283" t="str">
        <f t="shared" si="11"/>
        <v>市政基础设施</v>
      </c>
      <c r="R37" s="1279" t="s">
        <v>1493</v>
      </c>
      <c r="S37" s="1280">
        <f t="shared" si="12"/>
        <v>100</v>
      </c>
      <c r="T37" s="1279" t="s">
        <v>1493</v>
      </c>
      <c r="U37" s="1280">
        <f t="shared" si="13"/>
        <v>100</v>
      </c>
      <c r="V37" s="1279" t="s">
        <v>1493</v>
      </c>
      <c r="W37" s="1280">
        <f t="shared" si="14"/>
        <v>100</v>
      </c>
      <c r="X37" s="1281"/>
      <c r="Y37" s="3673"/>
      <c r="Z37" s="1294" t="str">
        <f t="shared" si="15"/>
        <v>市政基础设施</v>
      </c>
      <c r="AA37" s="1293">
        <f t="shared" si="3"/>
        <v>1</v>
      </c>
      <c r="AB37" s="1293">
        <f t="shared" si="4"/>
        <v>1</v>
      </c>
      <c r="AC37" s="1293">
        <f t="shared" si="5"/>
        <v>1</v>
      </c>
    </row>
    <row r="38" spans="1:29" ht="15">
      <c r="A38" s="1160"/>
      <c r="B38" s="1106" t="s">
        <v>1572</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9" t="s">
        <v>1513</v>
      </c>
      <c r="Q38" s="663" t="str">
        <f t="shared" si="11"/>
        <v>业态</v>
      </c>
      <c r="R38" s="1284" t="s">
        <v>1493</v>
      </c>
      <c r="S38" s="1285">
        <f t="shared" si="12"/>
        <v>100</v>
      </c>
      <c r="T38" s="1284" t="s">
        <v>1493</v>
      </c>
      <c r="U38" s="1285">
        <f t="shared" si="13"/>
        <v>100</v>
      </c>
      <c r="V38" s="1284" t="s">
        <v>1493</v>
      </c>
      <c r="W38" s="1285">
        <f t="shared" si="14"/>
        <v>100</v>
      </c>
      <c r="X38" s="1278"/>
      <c r="Y38" s="3673" t="s">
        <v>1513</v>
      </c>
      <c r="Z38" s="1268" t="str">
        <f t="shared" si="15"/>
        <v>业态</v>
      </c>
      <c r="AA38" s="1295">
        <f t="shared" si="3"/>
        <v>1</v>
      </c>
      <c r="AB38" s="1295">
        <f t="shared" si="4"/>
        <v>1</v>
      </c>
      <c r="AC38" s="1295">
        <f t="shared" si="5"/>
        <v>1</v>
      </c>
    </row>
    <row r="39" spans="1:29" ht="15">
      <c r="A39" s="1160"/>
      <c r="B39" s="1106" t="s">
        <v>1573</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9"/>
      <c r="Q39" s="663" t="str">
        <f t="shared" si="11"/>
        <v>层高</v>
      </c>
      <c r="R39" s="1284" t="s">
        <v>1493</v>
      </c>
      <c r="S39" s="1285">
        <f t="shared" si="12"/>
        <v>100</v>
      </c>
      <c r="T39" s="1284" t="s">
        <v>1493</v>
      </c>
      <c r="U39" s="1285">
        <f t="shared" si="13"/>
        <v>100</v>
      </c>
      <c r="V39" s="1284" t="s">
        <v>1493</v>
      </c>
      <c r="W39" s="1285">
        <f t="shared" si="14"/>
        <v>100</v>
      </c>
      <c r="X39" s="1278"/>
      <c r="Y39" s="3673"/>
      <c r="Z39" s="1268" t="str">
        <f t="shared" si="15"/>
        <v>层高</v>
      </c>
      <c r="AA39" s="1295">
        <f t="shared" si="3"/>
        <v>1</v>
      </c>
      <c r="AB39" s="1295">
        <f t="shared" si="4"/>
        <v>1</v>
      </c>
      <c r="AC39" s="1295">
        <f t="shared" si="5"/>
        <v>1</v>
      </c>
    </row>
    <row r="40" spans="1:29" ht="15">
      <c r="A40" s="1160"/>
      <c r="B40" s="1106" t="s">
        <v>1574</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9"/>
      <c r="Q40" s="663" t="str">
        <f t="shared" si="11"/>
        <v>单套建筑面积</v>
      </c>
      <c r="R40" s="1284" t="s">
        <v>1493</v>
      </c>
      <c r="S40" s="1285">
        <f t="shared" si="12"/>
        <v>100</v>
      </c>
      <c r="T40" s="1284" t="s">
        <v>1493</v>
      </c>
      <c r="U40" s="1285">
        <f t="shared" si="13"/>
        <v>100</v>
      </c>
      <c r="V40" s="1284" t="s">
        <v>1493</v>
      </c>
      <c r="W40" s="1285">
        <f t="shared" si="14"/>
        <v>100</v>
      </c>
      <c r="X40" s="1278"/>
      <c r="Y40" s="3673"/>
      <c r="Z40" s="1268" t="str">
        <f t="shared" si="15"/>
        <v>单套建筑面积</v>
      </c>
      <c r="AA40" s="1295">
        <f t="shared" si="3"/>
        <v>1</v>
      </c>
      <c r="AB40" s="1295">
        <f t="shared" si="4"/>
        <v>1</v>
      </c>
      <c r="AC40" s="1295">
        <f t="shared" si="5"/>
        <v>1</v>
      </c>
    </row>
    <row r="41" spans="1:29" s="1070" customFormat="1" ht="15">
      <c r="A41" s="1165"/>
      <c r="B41" s="1263" t="s">
        <v>1575</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9"/>
      <c r="Q41" s="1512" t="str">
        <f t="shared" si="11"/>
        <v>进深比</v>
      </c>
      <c r="R41" s="1286" t="s">
        <v>1493</v>
      </c>
      <c r="S41" s="1287">
        <f t="shared" si="12"/>
        <v>100</v>
      </c>
      <c r="T41" s="1286" t="s">
        <v>1493</v>
      </c>
      <c r="U41" s="1287">
        <f t="shared" si="13"/>
        <v>100</v>
      </c>
      <c r="V41" s="1286" t="s">
        <v>1493</v>
      </c>
      <c r="W41" s="1287">
        <f t="shared" si="14"/>
        <v>100</v>
      </c>
      <c r="X41" s="1288"/>
      <c r="Y41" s="3673"/>
      <c r="Z41" s="1296" t="str">
        <f t="shared" si="15"/>
        <v>进深比</v>
      </c>
      <c r="AA41" s="1295">
        <f t="shared" si="3"/>
        <v>1</v>
      </c>
      <c r="AB41" s="1295">
        <f t="shared" si="4"/>
        <v>1</v>
      </c>
      <c r="AC41" s="1295">
        <f t="shared" si="5"/>
        <v>1</v>
      </c>
    </row>
    <row r="42" spans="1:29" ht="15">
      <c r="A42" s="1160"/>
      <c r="B42" s="1106" t="s">
        <v>1522</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9"/>
      <c r="Q42" s="663" t="str">
        <f t="shared" si="11"/>
        <v>内部装修</v>
      </c>
      <c r="R42" s="1284" t="s">
        <v>1493</v>
      </c>
      <c r="S42" s="1285">
        <f t="shared" si="12"/>
        <v>100</v>
      </c>
      <c r="T42" s="1284" t="s">
        <v>1493</v>
      </c>
      <c r="U42" s="1285">
        <f t="shared" si="13"/>
        <v>100</v>
      </c>
      <c r="V42" s="1284" t="s">
        <v>1493</v>
      </c>
      <c r="W42" s="1285">
        <f t="shared" si="14"/>
        <v>100</v>
      </c>
      <c r="X42" s="1278"/>
      <c r="Y42" s="3673"/>
      <c r="Z42" s="1268" t="str">
        <f t="shared" si="15"/>
        <v>内部装修</v>
      </c>
      <c r="AA42" s="1295">
        <f t="shared" si="3"/>
        <v>1</v>
      </c>
      <c r="AB42" s="1295">
        <f t="shared" si="4"/>
        <v>1</v>
      </c>
      <c r="AC42" s="1295">
        <f t="shared" si="5"/>
        <v>1</v>
      </c>
    </row>
    <row r="43" spans="1:29" ht="15">
      <c r="A43" s="1160"/>
      <c r="B43" s="1106" t="s">
        <v>1523</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9"/>
      <c r="Q43" s="663" t="str">
        <f t="shared" si="11"/>
        <v>内部装修维护情况</v>
      </c>
      <c r="R43" s="1284" t="s">
        <v>1493</v>
      </c>
      <c r="S43" s="1285">
        <f t="shared" si="12"/>
        <v>100</v>
      </c>
      <c r="T43" s="1284" t="s">
        <v>1493</v>
      </c>
      <c r="U43" s="1285">
        <f t="shared" si="13"/>
        <v>100</v>
      </c>
      <c r="V43" s="1284" t="s">
        <v>1493</v>
      </c>
      <c r="W43" s="1285">
        <f t="shared" si="14"/>
        <v>100</v>
      </c>
      <c r="X43" s="1278"/>
      <c r="Y43" s="3673"/>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9"/>
      <c r="Q44" s="1283">
        <f t="shared" si="11"/>
        <v>111</v>
      </c>
      <c r="R44" s="1279" t="s">
        <v>1493</v>
      </c>
      <c r="S44" s="1280">
        <f t="shared" si="12"/>
        <v>100</v>
      </c>
      <c r="T44" s="1279" t="s">
        <v>1493</v>
      </c>
      <c r="U44" s="1280">
        <f t="shared" si="13"/>
        <v>100</v>
      </c>
      <c r="V44" s="1279" t="s">
        <v>1493</v>
      </c>
      <c r="W44" s="1280">
        <f t="shared" si="14"/>
        <v>100</v>
      </c>
      <c r="X44" s="1281"/>
      <c r="Y44" s="3673"/>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9"/>
      <c r="Q45" s="663">
        <f t="shared" si="11"/>
        <v>111</v>
      </c>
      <c r="R45" s="1284" t="s">
        <v>1493</v>
      </c>
      <c r="S45" s="1285">
        <f t="shared" si="12"/>
        <v>100</v>
      </c>
      <c r="T45" s="1284" t="s">
        <v>1493</v>
      </c>
      <c r="U45" s="1285">
        <f t="shared" si="13"/>
        <v>100</v>
      </c>
      <c r="V45" s="1284" t="s">
        <v>1493</v>
      </c>
      <c r="W45" s="1285">
        <f t="shared" si="14"/>
        <v>100</v>
      </c>
      <c r="X45" s="1278"/>
      <c r="Y45" s="3673"/>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0"/>
      <c r="Q46" s="663">
        <f t="shared" si="11"/>
        <v>111</v>
      </c>
      <c r="R46" s="1284" t="s">
        <v>1493</v>
      </c>
      <c r="S46" s="1285">
        <f t="shared" si="12"/>
        <v>100</v>
      </c>
      <c r="T46" s="1284" t="s">
        <v>1493</v>
      </c>
      <c r="U46" s="1285">
        <f t="shared" si="13"/>
        <v>100</v>
      </c>
      <c r="V46" s="1284" t="s">
        <v>1493</v>
      </c>
      <c r="W46" s="1285">
        <f t="shared" si="14"/>
        <v>100</v>
      </c>
      <c r="X46" s="1278"/>
      <c r="Y46" s="3674"/>
      <c r="Z46" s="1268">
        <f t="shared" si="15"/>
        <v>111</v>
      </c>
      <c r="AA46" s="1295">
        <f t="shared" si="3"/>
        <v>1</v>
      </c>
      <c r="AB46" s="1295">
        <f t="shared" si="4"/>
        <v>1</v>
      </c>
      <c r="AC46" s="1295">
        <f t="shared" si="5"/>
        <v>1</v>
      </c>
    </row>
    <row r="47" spans="1:29" ht="15">
      <c r="A47" s="1167" t="s">
        <v>1524</v>
      </c>
      <c r="B47" s="1487"/>
      <c r="C47" s="1488" t="s">
        <v>124</v>
      </c>
      <c r="D47" s="1489"/>
      <c r="E47" s="1490"/>
      <c r="F47" s="1491"/>
      <c r="G47" s="1492"/>
      <c r="H47" s="1493"/>
      <c r="I47" s="1490"/>
      <c r="J47" s="1493"/>
      <c r="K47" s="1259"/>
      <c r="L47" s="1260"/>
      <c r="M47" s="1184"/>
      <c r="N47" s="1236"/>
      <c r="O47" s="1184"/>
      <c r="P47" s="3660" t="str">
        <f>A47</f>
        <v>成交单价（元/平方米）</v>
      </c>
      <c r="Q47" s="3660"/>
      <c r="R47" s="3690">
        <f>E47</f>
        <v>0</v>
      </c>
      <c r="S47" s="3690"/>
      <c r="T47" s="3690">
        <f>G47</f>
        <v>0</v>
      </c>
      <c r="U47" s="3690"/>
      <c r="V47" s="3690">
        <f>I47</f>
        <v>0</v>
      </c>
      <c r="W47" s="3690"/>
      <c r="X47" s="1224"/>
      <c r="Y47" s="1297"/>
      <c r="Z47" s="1224"/>
      <c r="AA47" s="1224"/>
      <c r="AB47" s="1224"/>
      <c r="AC47" s="1224"/>
    </row>
    <row r="48" spans="1:29" ht="15">
      <c r="A48" s="1175" t="s">
        <v>1525</v>
      </c>
      <c r="B48" s="1494"/>
      <c r="C48" s="1495" t="e">
        <f>R49</f>
        <v>#DIV/0!</v>
      </c>
      <c r="D48" s="1178" t="s">
        <v>1526</v>
      </c>
      <c r="E48" s="1496" t="e">
        <f>R48</f>
        <v>#DIV/0!</v>
      </c>
      <c r="F48" s="1179"/>
      <c r="G48" s="1495" t="e">
        <f>T48</f>
        <v>#DIV/0!</v>
      </c>
      <c r="H48" s="1179"/>
      <c r="I48" s="1496" t="e">
        <f>V48</f>
        <v>#DIV/0!</v>
      </c>
      <c r="J48" s="1179"/>
      <c r="K48" s="1261">
        <f>F48+H48+J48</f>
        <v>0</v>
      </c>
      <c r="L48" s="1260"/>
      <c r="M48" s="1184"/>
      <c r="N48" s="1236"/>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1527</v>
      </c>
      <c r="B49" s="1182"/>
      <c r="C49" s="1497" t="e">
        <f>R49</f>
        <v>#DIV/0!</v>
      </c>
      <c r="D49" s="1497"/>
      <c r="E49" s="1497"/>
      <c r="F49" s="1497"/>
      <c r="G49" s="1497"/>
      <c r="H49" s="1497"/>
      <c r="I49" s="1497"/>
      <c r="J49" s="1497"/>
      <c r="K49" s="1262"/>
      <c r="L49" s="1260"/>
      <c r="M49" s="1184"/>
      <c r="N49" s="1236"/>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1528</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1529</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1530</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1531</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1491</v>
      </c>
      <c r="B58" s="1500"/>
      <c r="C58" s="1501" t="str">
        <f>YEAR(C7)&amp;"-"&amp;MONTH(C7)</f>
        <v>2024-5</v>
      </c>
      <c r="D58" s="1502">
        <f>EDATE(C58,-1)</f>
        <v>45383</v>
      </c>
      <c r="E58" s="1502">
        <f t="shared" ref="E58:O58" si="16">EDATE(D58,-1)</f>
        <v>45352</v>
      </c>
      <c r="F58" s="1502">
        <f t="shared" si="16"/>
        <v>45323</v>
      </c>
      <c r="G58" s="1502">
        <f t="shared" si="16"/>
        <v>45292</v>
      </c>
      <c r="H58" s="1502">
        <f t="shared" si="16"/>
        <v>45261</v>
      </c>
      <c r="I58" s="1502">
        <f t="shared" si="16"/>
        <v>45231</v>
      </c>
      <c r="J58" s="1502">
        <f t="shared" si="16"/>
        <v>45200</v>
      </c>
      <c r="K58" s="1502">
        <f t="shared" si="16"/>
        <v>45170</v>
      </c>
      <c r="L58" s="1502">
        <f t="shared" si="16"/>
        <v>45139</v>
      </c>
      <c r="M58" s="1502">
        <f t="shared" si="16"/>
        <v>45108</v>
      </c>
      <c r="N58" s="1502">
        <f t="shared" si="16"/>
        <v>45078</v>
      </c>
      <c r="O58" s="1502">
        <f t="shared" si="16"/>
        <v>45047</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1532</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1494</v>
      </c>
      <c r="B61" s="1309"/>
      <c r="C61" s="1310" t="s">
        <v>1533</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1534</v>
      </c>
      <c r="B63" s="1315" t="s">
        <v>1497</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1500</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1501</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1502</v>
      </c>
      <c r="B76" s="1315" t="s">
        <v>1503</v>
      </c>
      <c r="C76" s="1336" t="s">
        <v>1535</v>
      </c>
      <c r="D76" s="1336" t="s">
        <v>1536</v>
      </c>
      <c r="E76" s="1336" t="s">
        <v>1537</v>
      </c>
      <c r="F76" s="1336" t="s">
        <v>1538</v>
      </c>
      <c r="G76" s="1336" t="s">
        <v>1539</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1505</v>
      </c>
      <c r="C78" s="1338" t="s">
        <v>1535</v>
      </c>
      <c r="D78" s="1338" t="s">
        <v>1536</v>
      </c>
      <c r="E78" s="1338" t="s">
        <v>1537</v>
      </c>
      <c r="F78" s="1338" t="s">
        <v>1538</v>
      </c>
      <c r="G78" s="1338" t="s">
        <v>1539</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1506</v>
      </c>
      <c r="C80" s="1338" t="s">
        <v>1535</v>
      </c>
      <c r="D80" s="1338" t="s">
        <v>1536</v>
      </c>
      <c r="E80" s="1338" t="s">
        <v>1537</v>
      </c>
      <c r="F80" s="1338" t="s">
        <v>1538</v>
      </c>
      <c r="G80" s="1338" t="s">
        <v>1539</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1507</v>
      </c>
      <c r="C82" s="1343" t="s">
        <v>1540</v>
      </c>
      <c r="D82" s="1343" t="s">
        <v>1541</v>
      </c>
      <c r="E82" s="1343" t="s">
        <v>1542</v>
      </c>
      <c r="F82" s="1343" t="s">
        <v>1543</v>
      </c>
      <c r="G82" s="1343" t="s">
        <v>1544</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1508</v>
      </c>
      <c r="C84" s="1338" t="s">
        <v>1535</v>
      </c>
      <c r="D84" s="1338" t="s">
        <v>1536</v>
      </c>
      <c r="E84" s="1338" t="s">
        <v>1537</v>
      </c>
      <c r="F84" s="1338" t="s">
        <v>1538</v>
      </c>
      <c r="G84" s="1338" t="s">
        <v>1539</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1567</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1511</v>
      </c>
      <c r="B100" s="1315" t="s">
        <v>1571</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1514</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1515</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1517</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1519</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1572</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1573</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1574</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1576</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1522</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1523</v>
      </c>
      <c r="C124" s="1338" t="s">
        <v>1535</v>
      </c>
      <c r="D124" s="1338" t="s">
        <v>1536</v>
      </c>
      <c r="E124" s="1338" t="s">
        <v>1537</v>
      </c>
      <c r="F124" s="1338" t="s">
        <v>1538</v>
      </c>
      <c r="G124" s="1338" t="s">
        <v>1539</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1473</v>
      </c>
      <c r="B1" s="1583" t="s">
        <v>1577</v>
      </c>
      <c r="C1" s="1449" t="s">
        <v>1475</v>
      </c>
      <c r="D1" s="1450"/>
      <c r="E1" s="1451"/>
      <c r="F1" s="1452"/>
      <c r="G1" s="1453" t="s">
        <v>1476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992</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993</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f>IF(C2="——",C50,ROUND(B2*10000/D3,0))</f>
        <v>0</v>
      </c>
      <c r="C3" s="1460" t="s">
        <v>1477</v>
      </c>
      <c r="D3" s="1461">
        <f>IF(D1="",'数据-汇总表'!E3,SUMIF('数据-汇总表'!$C19:$C33,D1,'数据-汇总表'!$E19:$E33))</f>
        <v>2541.1799999999998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1478</v>
      </c>
      <c r="B4" s="1088"/>
      <c r="C4" s="3645" t="s">
        <v>1479</v>
      </c>
      <c r="D4" s="3646"/>
      <c r="E4" s="3647" t="s">
        <v>1480</v>
      </c>
      <c r="F4" s="3648"/>
      <c r="G4" s="3645" t="s">
        <v>1481</v>
      </c>
      <c r="H4" s="3646"/>
      <c r="I4" s="3645" t="s">
        <v>1482</v>
      </c>
      <c r="J4" s="3646"/>
      <c r="K4" s="1234" t="s">
        <v>1483</v>
      </c>
      <c r="L4" s="1235"/>
      <c r="M4" s="1236"/>
      <c r="N4" s="1236"/>
      <c r="O4" s="1236"/>
      <c r="P4" s="3699" t="s">
        <v>1484</v>
      </c>
      <c r="Q4" s="3700"/>
      <c r="R4" s="3703" t="s">
        <v>1480</v>
      </c>
      <c r="S4" s="3704"/>
      <c r="T4" s="3703" t="s">
        <v>1481</v>
      </c>
      <c r="U4" s="3704"/>
      <c r="V4" s="3705" t="s">
        <v>1482</v>
      </c>
      <c r="W4" s="3705"/>
      <c r="X4" s="1636"/>
      <c r="Y4" s="3703" t="s">
        <v>1484</v>
      </c>
      <c r="Z4" s="3704"/>
      <c r="AA4" s="3695" t="s">
        <v>1480</v>
      </c>
      <c r="AB4" s="3695" t="s">
        <v>1481</v>
      </c>
      <c r="AC4" s="3696" t="s">
        <v>1482</v>
      </c>
    </row>
    <row r="5" spans="1:29" ht="15">
      <c r="A5" s="1089"/>
      <c r="B5" s="1090"/>
      <c r="C5" s="3649" t="s">
        <v>1485</v>
      </c>
      <c r="D5" s="3650"/>
      <c r="E5" s="3651" t="s">
        <v>1486</v>
      </c>
      <c r="F5" s="3652"/>
      <c r="G5" s="3649" t="s">
        <v>1487</v>
      </c>
      <c r="H5" s="3650"/>
      <c r="I5" s="3649" t="s">
        <v>1488</v>
      </c>
      <c r="J5" s="3650"/>
      <c r="K5" s="1234"/>
      <c r="L5" s="1235"/>
      <c r="M5" s="1236"/>
      <c r="N5" s="1236"/>
      <c r="O5" s="1236"/>
      <c r="P5" s="3701"/>
      <c r="Q5" s="3681"/>
      <c r="R5" s="3686"/>
      <c r="S5" s="3687"/>
      <c r="T5" s="3686"/>
      <c r="U5" s="3687"/>
      <c r="V5" s="3690"/>
      <c r="W5" s="3690"/>
      <c r="X5" s="1278"/>
      <c r="Y5" s="3686"/>
      <c r="Z5" s="3687"/>
      <c r="AA5" s="3676"/>
      <c r="AB5" s="3676"/>
      <c r="AC5" s="3697"/>
    </row>
    <row r="6" spans="1:29" ht="15">
      <c r="A6" s="1091"/>
      <c r="B6" s="1092"/>
      <c r="C6" s="3653" t="s">
        <v>1489</v>
      </c>
      <c r="D6" s="3654"/>
      <c r="E6" s="3655" t="s">
        <v>1489</v>
      </c>
      <c r="F6" s="3656"/>
      <c r="G6" s="3653" t="s">
        <v>1489</v>
      </c>
      <c r="H6" s="3654"/>
      <c r="I6" s="3653" t="s">
        <v>1489</v>
      </c>
      <c r="J6" s="3654"/>
      <c r="K6" s="1234" t="s">
        <v>1490</v>
      </c>
      <c r="L6" s="1235"/>
      <c r="M6" s="1236"/>
      <c r="N6" s="1236"/>
      <c r="O6" s="1236"/>
      <c r="P6" s="3702"/>
      <c r="Q6" s="3683"/>
      <c r="R6" s="3686"/>
      <c r="S6" s="3687"/>
      <c r="T6" s="3688"/>
      <c r="U6" s="3689"/>
      <c r="V6" s="3690"/>
      <c r="W6" s="3690"/>
      <c r="X6" s="1278"/>
      <c r="Y6" s="3688"/>
      <c r="Z6" s="3689"/>
      <c r="AA6" s="3677"/>
      <c r="AB6" s="3677"/>
      <c r="AC6" s="3698"/>
    </row>
    <row r="7" spans="1:29" s="1068" customFormat="1" ht="15">
      <c r="A7" s="1093" t="s">
        <v>1491</v>
      </c>
      <c r="B7" s="1094"/>
      <c r="C7" s="1095">
        <f>'数据-取费表'!B2</f>
        <v>45422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1"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638" t="e">
        <f>D7/J7</f>
        <v>#DIV/0!</v>
      </c>
    </row>
    <row r="8" spans="1:29" s="1068" customFormat="1" ht="15">
      <c r="A8" s="1093" t="s">
        <v>1494</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1" t="s">
        <v>1495</v>
      </c>
      <c r="Q8" s="3659"/>
      <c r="R8" s="1279" t="s">
        <v>1493</v>
      </c>
      <c r="S8" s="1280">
        <f t="shared" si="0"/>
        <v>100</v>
      </c>
      <c r="T8" s="1279" t="s">
        <v>1493</v>
      </c>
      <c r="U8" s="1280">
        <f t="shared" si="1"/>
        <v>100</v>
      </c>
      <c r="V8" s="1279" t="s">
        <v>1493</v>
      </c>
      <c r="W8" s="1280">
        <f t="shared" si="2"/>
        <v>100</v>
      </c>
      <c r="X8" s="1281"/>
      <c r="Y8" s="3657" t="s">
        <v>1495</v>
      </c>
      <c r="Z8" s="3659"/>
      <c r="AA8" s="1293">
        <f t="shared" ref="AA8:AA47" si="3">D8/F8</f>
        <v>1</v>
      </c>
      <c r="AB8" s="1293">
        <f t="shared" ref="AB8:AB47" si="4">D8/H8</f>
        <v>1</v>
      </c>
      <c r="AC8" s="1638">
        <f t="shared" ref="AC8:AC47" si="5">D8/J8</f>
        <v>1</v>
      </c>
    </row>
    <row r="9" spans="1:29" s="1068" customFormat="1">
      <c r="A9" s="1101" t="s">
        <v>1496</v>
      </c>
      <c r="B9" s="1102" t="s">
        <v>1497</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5"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638">
        <f t="shared" si="5"/>
        <v>1</v>
      </c>
    </row>
    <row r="10" spans="1:29" s="1069" customFormat="1" ht="27">
      <c r="A10" s="1105"/>
      <c r="B10" s="1106" t="s">
        <v>1500</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5"/>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638">
        <f t="shared" si="5"/>
        <v>1</v>
      </c>
    </row>
    <row r="11" spans="1:29" ht="15">
      <c r="A11" s="1109"/>
      <c r="B11" s="1106" t="s">
        <v>1501</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5"/>
      <c r="Q11" s="1283" t="str">
        <f t="shared" si="6"/>
        <v>容积率</v>
      </c>
      <c r="R11" s="1279" t="s">
        <v>1493</v>
      </c>
      <c r="S11" s="1280">
        <f t="shared" si="0"/>
        <v>100</v>
      </c>
      <c r="T11" s="1279" t="s">
        <v>1493</v>
      </c>
      <c r="U11" s="1280">
        <f t="shared" si="1"/>
        <v>100</v>
      </c>
      <c r="V11" s="1279" t="s">
        <v>1493</v>
      </c>
      <c r="W11" s="1280">
        <f t="shared" si="2"/>
        <v>100</v>
      </c>
      <c r="X11" s="1281"/>
      <c r="Y11" s="3597"/>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5"/>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5"/>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5"/>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638">
        <f t="shared" si="5"/>
        <v>1</v>
      </c>
    </row>
    <row r="15" spans="1:29" ht="71.25">
      <c r="A15" s="1123" t="s">
        <v>1502</v>
      </c>
      <c r="B15" s="1124" t="s">
        <v>1578</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6" t="s">
        <v>1504</v>
      </c>
      <c r="Q15" s="663" t="str">
        <f t="shared" si="6"/>
        <v>办公集聚程度</v>
      </c>
      <c r="R15" s="1284" t="s">
        <v>1493</v>
      </c>
      <c r="S15" s="1285">
        <f t="shared" si="0"/>
        <v>100</v>
      </c>
      <c r="T15" s="1284" t="s">
        <v>1493</v>
      </c>
      <c r="U15" s="1285">
        <f t="shared" si="1"/>
        <v>100</v>
      </c>
      <c r="V15" s="1284" t="s">
        <v>1493</v>
      </c>
      <c r="W15" s="1285">
        <f t="shared" si="2"/>
        <v>100</v>
      </c>
      <c r="X15" s="1278"/>
      <c r="Y15" s="3671" t="s">
        <v>1504</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639">
        <v>1</v>
      </c>
    </row>
    <row r="17" spans="1:29" ht="71.25">
      <c r="A17" s="1109"/>
      <c r="B17" s="1133" t="s">
        <v>1505</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7"/>
      <c r="Q17" s="663" t="str">
        <f>B17</f>
        <v>交通便捷度</v>
      </c>
      <c r="R17" s="1284" t="s">
        <v>1493</v>
      </c>
      <c r="S17" s="1285">
        <f>F17</f>
        <v>100</v>
      </c>
      <c r="T17" s="1284" t="s">
        <v>1493</v>
      </c>
      <c r="U17" s="1285">
        <f>H17</f>
        <v>100</v>
      </c>
      <c r="V17" s="1284" t="s">
        <v>1493</v>
      </c>
      <c r="W17" s="1285">
        <f>J17</f>
        <v>100</v>
      </c>
      <c r="X17" s="1278"/>
      <c r="Y17" s="3672"/>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639">
        <v>1</v>
      </c>
    </row>
    <row r="19" spans="1:29" ht="42.75">
      <c r="A19" s="1109"/>
      <c r="B19" s="1133" t="s">
        <v>1506</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7"/>
      <c r="Q19" s="663" t="str">
        <f>B19</f>
        <v>公共配套设施</v>
      </c>
      <c r="R19" s="1284" t="s">
        <v>1493</v>
      </c>
      <c r="S19" s="1285">
        <f>F19</f>
        <v>100</v>
      </c>
      <c r="T19" s="1284" t="s">
        <v>1493</v>
      </c>
      <c r="U19" s="1285">
        <f>H19</f>
        <v>100</v>
      </c>
      <c r="V19" s="1284" t="s">
        <v>1493</v>
      </c>
      <c r="W19" s="1285">
        <f>J19</f>
        <v>100</v>
      </c>
      <c r="X19" s="1278"/>
      <c r="Y19" s="3672"/>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639">
        <v>1</v>
      </c>
    </row>
    <row r="21" spans="1:29" ht="28.5">
      <c r="A21" s="1109"/>
      <c r="B21" s="1140" t="s">
        <v>1507</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7"/>
      <c r="Q21" s="663" t="str">
        <f>B21</f>
        <v>基础设施水平</v>
      </c>
      <c r="R21" s="1284" t="s">
        <v>1493</v>
      </c>
      <c r="S21" s="1285">
        <f>F21</f>
        <v>100</v>
      </c>
      <c r="T21" s="1284" t="s">
        <v>1493</v>
      </c>
      <c r="U21" s="1285">
        <f>H21</f>
        <v>100</v>
      </c>
      <c r="V21" s="1284" t="s">
        <v>1493</v>
      </c>
      <c r="W21" s="1285">
        <f>J21</f>
        <v>100</v>
      </c>
      <c r="X21" s="1278"/>
      <c r="Y21" s="3672"/>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7"/>
      <c r="Q22" s="663"/>
      <c r="R22" s="1284"/>
      <c r="S22" s="1285"/>
      <c r="T22" s="1284"/>
      <c r="U22" s="1285"/>
      <c r="V22" s="1284"/>
      <c r="W22" s="1285"/>
      <c r="X22" s="1278"/>
      <c r="Y22" s="3672"/>
      <c r="Z22" s="1268"/>
      <c r="AA22" s="1295">
        <v>1</v>
      </c>
      <c r="AB22" s="1295">
        <v>1</v>
      </c>
      <c r="AC22" s="1639">
        <v>1</v>
      </c>
    </row>
    <row r="23" spans="1:29" ht="42.75">
      <c r="A23" s="1109"/>
      <c r="B23" s="1133" t="s">
        <v>1579</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7"/>
      <c r="Q23" s="663" t="str">
        <f>B23</f>
        <v>环境质量</v>
      </c>
      <c r="R23" s="1284" t="s">
        <v>1493</v>
      </c>
      <c r="S23" s="1285">
        <f>F23</f>
        <v>100</v>
      </c>
      <c r="T23" s="1284" t="s">
        <v>1493</v>
      </c>
      <c r="U23" s="1285">
        <f>H23</f>
        <v>100</v>
      </c>
      <c r="V23" s="1284" t="s">
        <v>1493</v>
      </c>
      <c r="W23" s="1285">
        <f>J23</f>
        <v>100</v>
      </c>
      <c r="X23" s="1278"/>
      <c r="Y23" s="3672"/>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639">
        <v>1</v>
      </c>
    </row>
    <row r="25" spans="1:29" ht="27">
      <c r="A25" s="1089"/>
      <c r="B25" s="1133" t="s">
        <v>1580</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7"/>
      <c r="Q25" s="663" t="str">
        <f>B25</f>
        <v>毗邻道路的类型与等级</v>
      </c>
      <c r="R25" s="1284" t="s">
        <v>1493</v>
      </c>
      <c r="S25" s="1285">
        <f>F25</f>
        <v>100</v>
      </c>
      <c r="T25" s="1284" t="s">
        <v>1493</v>
      </c>
      <c r="U25" s="1285">
        <f>H25</f>
        <v>100</v>
      </c>
      <c r="V25" s="1284" t="s">
        <v>1493</v>
      </c>
      <c r="W25" s="1285">
        <f>J25</f>
        <v>100</v>
      </c>
      <c r="X25" s="1278"/>
      <c r="Y25" s="3672"/>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7"/>
      <c r="Q26" s="663"/>
      <c r="R26" s="1284"/>
      <c r="S26" s="1285"/>
      <c r="T26" s="1284"/>
      <c r="U26" s="1285"/>
      <c r="V26" s="1284"/>
      <c r="W26" s="1285"/>
      <c r="X26" s="1278"/>
      <c r="Y26" s="3672"/>
      <c r="Z26" s="1268"/>
      <c r="AA26" s="1295">
        <v>1</v>
      </c>
      <c r="AB26" s="1295">
        <v>1</v>
      </c>
      <c r="AC26" s="1639">
        <v>1</v>
      </c>
    </row>
    <row r="27" spans="1:29" ht="15">
      <c r="A27" s="1109"/>
      <c r="B27" s="1137" t="s">
        <v>1570</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7"/>
      <c r="Q27" s="663" t="str">
        <f t="shared" ref="Q27:Q47" si="11">B27</f>
        <v>楼层</v>
      </c>
      <c r="R27" s="1284" t="s">
        <v>1493</v>
      </c>
      <c r="S27" s="1285">
        <f>F27</f>
        <v>100</v>
      </c>
      <c r="T27" s="1284" t="s">
        <v>1493</v>
      </c>
      <c r="U27" s="1285">
        <f>H27</f>
        <v>100</v>
      </c>
      <c r="V27" s="1284" t="s">
        <v>1493</v>
      </c>
      <c r="W27" s="1285">
        <f>J27</f>
        <v>100</v>
      </c>
      <c r="X27" s="1278"/>
      <c r="Y27" s="3672"/>
      <c r="Z27" s="1268" t="str">
        <f>Q27</f>
        <v>楼层</v>
      </c>
      <c r="AA27" s="1295">
        <f t="shared" si="3"/>
        <v>1</v>
      </c>
      <c r="AB27" s="1295">
        <f t="shared" si="4"/>
        <v>1</v>
      </c>
      <c r="AC27" s="1639">
        <f t="shared" si="5"/>
        <v>1</v>
      </c>
    </row>
    <row r="28" spans="1:29" s="1068" customFormat="1" ht="15">
      <c r="A28" s="1112"/>
      <c r="B28" s="1133" t="s">
        <v>1510</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7"/>
      <c r="Q28" s="1283" t="str">
        <f t="shared" si="11"/>
        <v>朝向</v>
      </c>
      <c r="R28" s="1279" t="s">
        <v>1493</v>
      </c>
      <c r="S28" s="1280">
        <f>F28</f>
        <v>100</v>
      </c>
      <c r="T28" s="1279" t="s">
        <v>1493</v>
      </c>
      <c r="U28" s="1280">
        <f>H28</f>
        <v>100</v>
      </c>
      <c r="V28" s="1279" t="s">
        <v>1493</v>
      </c>
      <c r="W28" s="1280">
        <f>J28</f>
        <v>100</v>
      </c>
      <c r="X28" s="1281"/>
      <c r="Y28" s="3672"/>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7"/>
      <c r="Q29" s="663">
        <f t="shared" si="11"/>
        <v>111</v>
      </c>
      <c r="R29" s="1284" t="s">
        <v>1493</v>
      </c>
      <c r="S29" s="1285">
        <f t="shared" ref="S29:S47" si="12">F29</f>
        <v>100</v>
      </c>
      <c r="T29" s="1284" t="s">
        <v>1493</v>
      </c>
      <c r="U29" s="1285">
        <f t="shared" ref="U29:U47" si="13">H29</f>
        <v>100</v>
      </c>
      <c r="V29" s="1284" t="s">
        <v>1493</v>
      </c>
      <c r="W29" s="1285">
        <f t="shared" ref="W29:W47" si="14">J29</f>
        <v>100</v>
      </c>
      <c r="X29" s="1278"/>
      <c r="Y29" s="3672"/>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7"/>
      <c r="Q30" s="663">
        <f t="shared" si="11"/>
        <v>111</v>
      </c>
      <c r="R30" s="1284" t="s">
        <v>1493</v>
      </c>
      <c r="S30" s="1285">
        <f t="shared" si="12"/>
        <v>100</v>
      </c>
      <c r="T30" s="1284" t="s">
        <v>1493</v>
      </c>
      <c r="U30" s="1285">
        <f t="shared" si="13"/>
        <v>100</v>
      </c>
      <c r="V30" s="1284" t="s">
        <v>1493</v>
      </c>
      <c r="W30" s="1285">
        <f t="shared" si="14"/>
        <v>100</v>
      </c>
      <c r="X30" s="1278"/>
      <c r="Y30" s="3672"/>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7"/>
      <c r="Q31" s="663">
        <f t="shared" si="11"/>
        <v>111</v>
      </c>
      <c r="R31" s="1284" t="s">
        <v>1493</v>
      </c>
      <c r="S31" s="1285">
        <f t="shared" si="12"/>
        <v>100</v>
      </c>
      <c r="T31" s="1284" t="s">
        <v>1493</v>
      </c>
      <c r="U31" s="1285">
        <f t="shared" si="13"/>
        <v>100</v>
      </c>
      <c r="V31" s="1284" t="s">
        <v>1493</v>
      </c>
      <c r="W31" s="1285">
        <f t="shared" si="14"/>
        <v>100</v>
      </c>
      <c r="X31" s="1278"/>
      <c r="Y31" s="3672"/>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7"/>
      <c r="Q32" s="663">
        <f t="shared" si="11"/>
        <v>111</v>
      </c>
      <c r="R32" s="1284" t="s">
        <v>1493</v>
      </c>
      <c r="S32" s="1285">
        <f t="shared" si="12"/>
        <v>100</v>
      </c>
      <c r="T32" s="1284" t="s">
        <v>1493</v>
      </c>
      <c r="U32" s="1285">
        <f t="shared" si="13"/>
        <v>100</v>
      </c>
      <c r="V32" s="1284" t="s">
        <v>1493</v>
      </c>
      <c r="W32" s="1285">
        <f t="shared" si="14"/>
        <v>100</v>
      </c>
      <c r="X32" s="1278"/>
      <c r="Y32" s="3672"/>
      <c r="Z32" s="1268">
        <f t="shared" si="15"/>
        <v>111</v>
      </c>
      <c r="AA32" s="1295">
        <f t="shared" si="3"/>
        <v>1</v>
      </c>
      <c r="AB32" s="1295">
        <f t="shared" si="4"/>
        <v>1</v>
      </c>
      <c r="AC32" s="1639">
        <f t="shared" si="5"/>
        <v>1</v>
      </c>
    </row>
    <row r="33" spans="1:29" ht="15">
      <c r="A33" s="1123" t="s">
        <v>1511</v>
      </c>
      <c r="B33" s="1102" t="s">
        <v>1512</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8" t="s">
        <v>1513</v>
      </c>
      <c r="Q33" s="663" t="str">
        <f t="shared" si="11"/>
        <v>建筑类型</v>
      </c>
      <c r="R33" s="1284" t="s">
        <v>1493</v>
      </c>
      <c r="S33" s="1285">
        <f t="shared" si="12"/>
        <v>100</v>
      </c>
      <c r="T33" s="1284" t="s">
        <v>1493</v>
      </c>
      <c r="U33" s="1285">
        <f t="shared" si="13"/>
        <v>100</v>
      </c>
      <c r="V33" s="1284" t="s">
        <v>1493</v>
      </c>
      <c r="W33" s="1285">
        <f t="shared" si="14"/>
        <v>100</v>
      </c>
      <c r="X33" s="1278"/>
      <c r="Y33" s="3673" t="s">
        <v>1513</v>
      </c>
      <c r="Z33" s="1268" t="str">
        <f t="shared" si="15"/>
        <v>建筑类型</v>
      </c>
      <c r="AA33" s="1295">
        <f t="shared" si="3"/>
        <v>1</v>
      </c>
      <c r="AB33" s="1295">
        <f t="shared" si="4"/>
        <v>1</v>
      </c>
      <c r="AC33" s="1639">
        <f t="shared" si="5"/>
        <v>1</v>
      </c>
    </row>
    <row r="34" spans="1:29" s="1070" customFormat="1" ht="15">
      <c r="A34" s="1165"/>
      <c r="B34" s="1106" t="s">
        <v>1514</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9"/>
      <c r="Q34" s="1512" t="str">
        <f t="shared" si="11"/>
        <v>项目建筑规模</v>
      </c>
      <c r="R34" s="1286" t="s">
        <v>1493</v>
      </c>
      <c r="S34" s="1287" t="e">
        <f t="shared" si="12"/>
        <v>#N/A</v>
      </c>
      <c r="T34" s="1286" t="s">
        <v>1493</v>
      </c>
      <c r="U34" s="1287" t="e">
        <f t="shared" si="13"/>
        <v>#N/A</v>
      </c>
      <c r="V34" s="1286" t="s">
        <v>1493</v>
      </c>
      <c r="W34" s="1287" t="e">
        <f t="shared" si="14"/>
        <v>#N/A</v>
      </c>
      <c r="X34" s="1288"/>
      <c r="Y34" s="3673"/>
      <c r="Z34" s="1296" t="str">
        <f t="shared" si="15"/>
        <v>项目建筑规模</v>
      </c>
      <c r="AA34" s="1295" t="e">
        <f t="shared" si="3"/>
        <v>#N/A</v>
      </c>
      <c r="AB34" s="1295" t="e">
        <f t="shared" si="4"/>
        <v>#N/A</v>
      </c>
      <c r="AC34" s="1639" t="e">
        <f t="shared" si="5"/>
        <v>#N/A</v>
      </c>
    </row>
    <row r="35" spans="1:29" ht="15">
      <c r="A35" s="1160"/>
      <c r="B35" s="1106" t="s">
        <v>1515</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9"/>
      <c r="Q35" s="663" t="str">
        <f t="shared" si="11"/>
        <v>建筑结构</v>
      </c>
      <c r="R35" s="1284" t="s">
        <v>1493</v>
      </c>
      <c r="S35" s="1285">
        <f t="shared" si="12"/>
        <v>100</v>
      </c>
      <c r="T35" s="1284" t="s">
        <v>1493</v>
      </c>
      <c r="U35" s="1285">
        <f t="shared" si="13"/>
        <v>100</v>
      </c>
      <c r="V35" s="1284" t="s">
        <v>1493</v>
      </c>
      <c r="W35" s="1285">
        <f t="shared" si="14"/>
        <v>100</v>
      </c>
      <c r="X35" s="1278"/>
      <c r="Y35" s="3673"/>
      <c r="Z35" s="1268" t="str">
        <f t="shared" si="15"/>
        <v>建筑结构</v>
      </c>
      <c r="AA35" s="1295">
        <f t="shared" si="3"/>
        <v>1</v>
      </c>
      <c r="AB35" s="1295">
        <f t="shared" si="4"/>
        <v>1</v>
      </c>
      <c r="AC35" s="1639">
        <f t="shared" si="5"/>
        <v>1</v>
      </c>
    </row>
    <row r="36" spans="1:29" ht="15">
      <c r="A36" s="1160"/>
      <c r="B36" s="1106" t="s">
        <v>1517</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9"/>
      <c r="Q36" s="663" t="str">
        <f t="shared" si="11"/>
        <v>公共部分装修</v>
      </c>
      <c r="R36" s="1284" t="s">
        <v>1493</v>
      </c>
      <c r="S36" s="1285">
        <f t="shared" si="12"/>
        <v>100</v>
      </c>
      <c r="T36" s="1284" t="s">
        <v>1493</v>
      </c>
      <c r="U36" s="1285">
        <f t="shared" si="13"/>
        <v>100</v>
      </c>
      <c r="V36" s="1284" t="s">
        <v>1493</v>
      </c>
      <c r="W36" s="1285">
        <f t="shared" si="14"/>
        <v>100</v>
      </c>
      <c r="X36" s="1278"/>
      <c r="Y36" s="3673"/>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9"/>
      <c r="Q37" s="663" t="str">
        <f t="shared" si="11"/>
        <v>成新度</v>
      </c>
      <c r="R37" s="1284" t="s">
        <v>1493</v>
      </c>
      <c r="S37" s="1285" t="e">
        <f t="shared" si="12"/>
        <v>#N/A</v>
      </c>
      <c r="T37" s="1284" t="s">
        <v>1493</v>
      </c>
      <c r="U37" s="1285" t="e">
        <f t="shared" si="13"/>
        <v>#N/A</v>
      </c>
      <c r="V37" s="1284" t="s">
        <v>1493</v>
      </c>
      <c r="W37" s="1285" t="e">
        <f t="shared" si="14"/>
        <v>#N/A</v>
      </c>
      <c r="X37" s="1278"/>
      <c r="Y37" s="3673"/>
      <c r="Z37" s="1268" t="str">
        <f t="shared" si="15"/>
        <v>成新度</v>
      </c>
      <c r="AA37" s="1295" t="e">
        <f t="shared" si="3"/>
        <v>#N/A</v>
      </c>
      <c r="AB37" s="1295" t="e">
        <f t="shared" si="4"/>
        <v>#N/A</v>
      </c>
      <c r="AC37" s="1639" t="e">
        <f t="shared" si="5"/>
        <v>#N/A</v>
      </c>
    </row>
    <row r="38" spans="1:29" s="1068" customFormat="1" ht="15">
      <c r="A38" s="1162"/>
      <c r="B38" s="1106" t="s">
        <v>1581</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9"/>
      <c r="Q38" s="1283" t="str">
        <f t="shared" si="11"/>
        <v>写字楼等级</v>
      </c>
      <c r="R38" s="1279" t="s">
        <v>1493</v>
      </c>
      <c r="S38" s="1280">
        <f t="shared" si="12"/>
        <v>100</v>
      </c>
      <c r="T38" s="1279" t="s">
        <v>1493</v>
      </c>
      <c r="U38" s="1280">
        <f t="shared" si="13"/>
        <v>100</v>
      </c>
      <c r="V38" s="1279" t="s">
        <v>1493</v>
      </c>
      <c r="W38" s="1280">
        <f t="shared" si="14"/>
        <v>100</v>
      </c>
      <c r="X38" s="1281"/>
      <c r="Y38" s="3673"/>
      <c r="Z38" s="1294" t="str">
        <f t="shared" si="15"/>
        <v>写字楼等级</v>
      </c>
      <c r="AA38" s="1293">
        <f t="shared" si="3"/>
        <v>1</v>
      </c>
      <c r="AB38" s="1293">
        <f t="shared" si="4"/>
        <v>1</v>
      </c>
      <c r="AC38" s="1638">
        <f t="shared" si="5"/>
        <v>1</v>
      </c>
    </row>
    <row r="39" spans="1:29" ht="15">
      <c r="A39" s="1160"/>
      <c r="B39" s="1106" t="s">
        <v>1518</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9" t="s">
        <v>1513</v>
      </c>
      <c r="Q39" s="663" t="str">
        <f t="shared" si="11"/>
        <v>物业管理</v>
      </c>
      <c r="R39" s="1284" t="s">
        <v>1493</v>
      </c>
      <c r="S39" s="1285">
        <f t="shared" si="12"/>
        <v>100</v>
      </c>
      <c r="T39" s="1284" t="s">
        <v>1493</v>
      </c>
      <c r="U39" s="1285">
        <f t="shared" si="13"/>
        <v>100</v>
      </c>
      <c r="V39" s="1284" t="s">
        <v>1493</v>
      </c>
      <c r="W39" s="1285">
        <f t="shared" si="14"/>
        <v>100</v>
      </c>
      <c r="X39" s="1278"/>
      <c r="Y39" s="3673" t="s">
        <v>1513</v>
      </c>
      <c r="Z39" s="1268" t="str">
        <f t="shared" si="15"/>
        <v>物业管理</v>
      </c>
      <c r="AA39" s="1295">
        <f t="shared" si="3"/>
        <v>1</v>
      </c>
      <c r="AB39" s="1295">
        <f t="shared" si="4"/>
        <v>1</v>
      </c>
      <c r="AC39" s="1639">
        <f t="shared" si="5"/>
        <v>1</v>
      </c>
    </row>
    <row r="40" spans="1:29" ht="15">
      <c r="A40" s="1160"/>
      <c r="B40" s="1106" t="s">
        <v>1519</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9"/>
      <c r="Q40" s="663" t="str">
        <f t="shared" si="11"/>
        <v>市政基础设施</v>
      </c>
      <c r="R40" s="1284" t="s">
        <v>1493</v>
      </c>
      <c r="S40" s="1285">
        <f t="shared" si="12"/>
        <v>100</v>
      </c>
      <c r="T40" s="1284" t="s">
        <v>1493</v>
      </c>
      <c r="U40" s="1285">
        <f t="shared" si="13"/>
        <v>100</v>
      </c>
      <c r="V40" s="1284" t="s">
        <v>1493</v>
      </c>
      <c r="W40" s="1285">
        <f t="shared" si="14"/>
        <v>100</v>
      </c>
      <c r="X40" s="1278"/>
      <c r="Y40" s="3673"/>
      <c r="Z40" s="1268" t="str">
        <f t="shared" si="15"/>
        <v>市政基础设施</v>
      </c>
      <c r="AA40" s="1295">
        <f t="shared" si="3"/>
        <v>1</v>
      </c>
      <c r="AB40" s="1295">
        <f t="shared" si="4"/>
        <v>1</v>
      </c>
      <c r="AC40" s="1639">
        <f t="shared" si="5"/>
        <v>1</v>
      </c>
    </row>
    <row r="41" spans="1:29" ht="15">
      <c r="A41" s="1160"/>
      <c r="B41" s="1106" t="s">
        <v>1573</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9"/>
      <c r="Q41" s="663" t="str">
        <f t="shared" si="11"/>
        <v>层高</v>
      </c>
      <c r="R41" s="1284" t="s">
        <v>1493</v>
      </c>
      <c r="S41" s="1285">
        <f t="shared" si="12"/>
        <v>100</v>
      </c>
      <c r="T41" s="1284" t="s">
        <v>1493</v>
      </c>
      <c r="U41" s="1285">
        <f t="shared" si="13"/>
        <v>100</v>
      </c>
      <c r="V41" s="1284" t="s">
        <v>1493</v>
      </c>
      <c r="W41" s="1285">
        <f t="shared" si="14"/>
        <v>100</v>
      </c>
      <c r="X41" s="1278"/>
      <c r="Y41" s="3673"/>
      <c r="Z41" s="1268" t="str">
        <f t="shared" si="15"/>
        <v>层高</v>
      </c>
      <c r="AA41" s="1295">
        <f t="shared" si="3"/>
        <v>1</v>
      </c>
      <c r="AB41" s="1295">
        <f t="shared" si="4"/>
        <v>1</v>
      </c>
      <c r="AC41" s="1639">
        <f t="shared" si="5"/>
        <v>1</v>
      </c>
    </row>
    <row r="42" spans="1:29" s="1070" customFormat="1" ht="15">
      <c r="A42" s="1165"/>
      <c r="B42" s="1263" t="s">
        <v>1582</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9"/>
      <c r="Q42" s="1512" t="str">
        <f t="shared" si="11"/>
        <v>单套建筑面积</v>
      </c>
      <c r="R42" s="1286" t="s">
        <v>1493</v>
      </c>
      <c r="S42" s="1287">
        <f t="shared" si="12"/>
        <v>100</v>
      </c>
      <c r="T42" s="1286" t="s">
        <v>1493</v>
      </c>
      <c r="U42" s="1287">
        <f t="shared" si="13"/>
        <v>100</v>
      </c>
      <c r="V42" s="1286" t="s">
        <v>1493</v>
      </c>
      <c r="W42" s="1287">
        <f t="shared" si="14"/>
        <v>100</v>
      </c>
      <c r="X42" s="1288"/>
      <c r="Y42" s="3673"/>
      <c r="Z42" s="1296" t="str">
        <f t="shared" si="15"/>
        <v>单套建筑面积</v>
      </c>
      <c r="AA42" s="1295">
        <f t="shared" si="3"/>
        <v>1</v>
      </c>
      <c r="AB42" s="1295">
        <f t="shared" si="4"/>
        <v>1</v>
      </c>
      <c r="AC42" s="1639">
        <f t="shared" si="5"/>
        <v>1</v>
      </c>
    </row>
    <row r="43" spans="1:29" ht="15">
      <c r="A43" s="1160"/>
      <c r="B43" s="1106" t="s">
        <v>1522</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9"/>
      <c r="Q43" s="663" t="str">
        <f t="shared" si="11"/>
        <v>内部装修</v>
      </c>
      <c r="R43" s="1284" t="s">
        <v>1493</v>
      </c>
      <c r="S43" s="1285">
        <f t="shared" si="12"/>
        <v>100</v>
      </c>
      <c r="T43" s="1284" t="s">
        <v>1493</v>
      </c>
      <c r="U43" s="1285">
        <f t="shared" si="13"/>
        <v>100</v>
      </c>
      <c r="V43" s="1284" t="s">
        <v>1493</v>
      </c>
      <c r="W43" s="1285">
        <f t="shared" si="14"/>
        <v>100</v>
      </c>
      <c r="X43" s="1278"/>
      <c r="Y43" s="3673"/>
      <c r="Z43" s="1268" t="str">
        <f t="shared" si="15"/>
        <v>内部装修</v>
      </c>
      <c r="AA43" s="1295">
        <f t="shared" si="3"/>
        <v>1</v>
      </c>
      <c r="AB43" s="1295">
        <f t="shared" si="4"/>
        <v>1</v>
      </c>
      <c r="AC43" s="1639">
        <f t="shared" si="5"/>
        <v>1</v>
      </c>
    </row>
    <row r="44" spans="1:29" ht="15">
      <c r="A44" s="1160"/>
      <c r="B44" s="1106" t="s">
        <v>1523</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9"/>
      <c r="Q44" s="663" t="str">
        <f t="shared" si="11"/>
        <v>内部装修维护情况</v>
      </c>
      <c r="R44" s="1284" t="s">
        <v>1493</v>
      </c>
      <c r="S44" s="1285">
        <f t="shared" si="12"/>
        <v>100</v>
      </c>
      <c r="T44" s="1284" t="s">
        <v>1493</v>
      </c>
      <c r="U44" s="1285">
        <f t="shared" si="13"/>
        <v>100</v>
      </c>
      <c r="V44" s="1284" t="s">
        <v>1493</v>
      </c>
      <c r="W44" s="1285">
        <f t="shared" si="14"/>
        <v>100</v>
      </c>
      <c r="X44" s="1278"/>
      <c r="Y44" s="3673"/>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9"/>
      <c r="Q45" s="1283">
        <f t="shared" si="11"/>
        <v>111</v>
      </c>
      <c r="R45" s="1279" t="s">
        <v>1493</v>
      </c>
      <c r="S45" s="1280">
        <f t="shared" si="12"/>
        <v>100</v>
      </c>
      <c r="T45" s="1279" t="s">
        <v>1493</v>
      </c>
      <c r="U45" s="1280">
        <f t="shared" si="13"/>
        <v>100</v>
      </c>
      <c r="V45" s="1279" t="s">
        <v>1493</v>
      </c>
      <c r="W45" s="1280">
        <f t="shared" si="14"/>
        <v>100</v>
      </c>
      <c r="X45" s="1281"/>
      <c r="Y45" s="3673"/>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9"/>
      <c r="Q46" s="663">
        <f t="shared" si="11"/>
        <v>111</v>
      </c>
      <c r="R46" s="1284" t="s">
        <v>1493</v>
      </c>
      <c r="S46" s="1285">
        <f t="shared" si="12"/>
        <v>100</v>
      </c>
      <c r="T46" s="1284" t="s">
        <v>1493</v>
      </c>
      <c r="U46" s="1285">
        <f t="shared" si="13"/>
        <v>100</v>
      </c>
      <c r="V46" s="1284" t="s">
        <v>1493</v>
      </c>
      <c r="W46" s="1285">
        <f t="shared" si="14"/>
        <v>100</v>
      </c>
      <c r="X46" s="1278"/>
      <c r="Y46" s="3673"/>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0"/>
      <c r="Q47" s="663">
        <f t="shared" si="11"/>
        <v>111</v>
      </c>
      <c r="R47" s="1284" t="s">
        <v>1493</v>
      </c>
      <c r="S47" s="1285">
        <f t="shared" si="12"/>
        <v>100</v>
      </c>
      <c r="T47" s="1284" t="s">
        <v>1493</v>
      </c>
      <c r="U47" s="1285">
        <f t="shared" si="13"/>
        <v>100</v>
      </c>
      <c r="V47" s="1284" t="s">
        <v>1493</v>
      </c>
      <c r="W47" s="1285">
        <f t="shared" si="14"/>
        <v>100</v>
      </c>
      <c r="X47" s="1278"/>
      <c r="Y47" s="3674"/>
      <c r="Z47" s="1268">
        <f t="shared" si="15"/>
        <v>111</v>
      </c>
      <c r="AA47" s="1295">
        <f t="shared" si="3"/>
        <v>1</v>
      </c>
      <c r="AB47" s="1295">
        <f t="shared" si="4"/>
        <v>1</v>
      </c>
      <c r="AC47" s="1639">
        <f t="shared" si="5"/>
        <v>1</v>
      </c>
    </row>
    <row r="48" spans="1:29" ht="15">
      <c r="A48" s="1167" t="s">
        <v>1524</v>
      </c>
      <c r="B48" s="1487"/>
      <c r="C48" s="1488" t="s">
        <v>124</v>
      </c>
      <c r="D48" s="1489"/>
      <c r="E48" s="1490"/>
      <c r="F48" s="1491"/>
      <c r="G48" s="1492"/>
      <c r="H48" s="1493"/>
      <c r="I48" s="1490"/>
      <c r="J48" s="1174"/>
      <c r="K48" s="1259"/>
      <c r="L48" s="1260"/>
      <c r="M48" s="1236"/>
      <c r="N48" s="1236"/>
      <c r="O48" s="1236"/>
      <c r="P48" s="3665" t="str">
        <f>A48</f>
        <v>成交单价（元/平方米）</v>
      </c>
      <c r="Q48" s="3660"/>
      <c r="R48" s="3661">
        <f>E48</f>
        <v>0</v>
      </c>
      <c r="S48" s="3661"/>
      <c r="T48" s="3661">
        <f>G48</f>
        <v>0</v>
      </c>
      <c r="U48" s="3661"/>
      <c r="V48" s="3661">
        <f>I48</f>
        <v>0</v>
      </c>
      <c r="W48" s="3661"/>
      <c r="X48" s="1418"/>
      <c r="Y48" s="1297"/>
      <c r="Z48" s="1418"/>
      <c r="AA48" s="1418"/>
      <c r="AB48" s="1418"/>
      <c r="AC48" s="1128"/>
    </row>
    <row r="49" spans="1:29" ht="15">
      <c r="A49" s="1175" t="s">
        <v>1525</v>
      </c>
      <c r="B49" s="1494"/>
      <c r="C49" s="1495" t="e">
        <f>R50</f>
        <v>#DIV/0!</v>
      </c>
      <c r="D49" s="1178" t="s">
        <v>1526</v>
      </c>
      <c r="E49" s="1496" t="e">
        <f>R49</f>
        <v>#DIV/0!</v>
      </c>
      <c r="F49" s="1179"/>
      <c r="G49" s="1495" t="e">
        <f>T49</f>
        <v>#DIV/0!</v>
      </c>
      <c r="H49" s="1179"/>
      <c r="I49" s="1496" t="e">
        <f>V49</f>
        <v>#DIV/0!</v>
      </c>
      <c r="J49" s="1179"/>
      <c r="K49" s="1261">
        <f>F49+H49+J49</f>
        <v>0</v>
      </c>
      <c r="L49" s="1260"/>
      <c r="M49" s="1236"/>
      <c r="N49" s="1236"/>
      <c r="O49" s="1236"/>
      <c r="P49" s="366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18"/>
      <c r="Y49" s="1418"/>
      <c r="Z49" s="1418"/>
      <c r="AA49" s="1418"/>
      <c r="AB49" s="1418"/>
      <c r="AC49" s="1128"/>
    </row>
    <row r="50" spans="1:29" ht="15">
      <c r="A50" s="1181" t="s">
        <v>1527</v>
      </c>
      <c r="B50" s="1182"/>
      <c r="C50" s="1497" t="e">
        <f>R50</f>
        <v>#DIV/0!</v>
      </c>
      <c r="D50" s="1497"/>
      <c r="E50" s="1497"/>
      <c r="F50" s="1497"/>
      <c r="G50" s="1497"/>
      <c r="H50" s="1497"/>
      <c r="I50" s="1497"/>
      <c r="J50" s="1183"/>
      <c r="K50" s="1262"/>
      <c r="L50" s="1260"/>
      <c r="M50" s="1236"/>
      <c r="N50" s="1236"/>
      <c r="O50" s="1236"/>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1528</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1529</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1530</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1531</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1491</v>
      </c>
      <c r="B59" s="1500"/>
      <c r="C59" s="1501" t="str">
        <f>YEAR(C7)&amp;"-"&amp;MONTH(C7)</f>
        <v>2024-5</v>
      </c>
      <c r="D59" s="1502">
        <f>EDATE(C59,-1)</f>
        <v>45383</v>
      </c>
      <c r="E59" s="1502">
        <f>EDATE(D59,-1)</f>
        <v>45352</v>
      </c>
      <c r="F59" s="1502">
        <f t="shared" ref="F59:O59" si="16">EDATE(E59,-1)</f>
        <v>45323</v>
      </c>
      <c r="G59" s="1502">
        <f t="shared" si="16"/>
        <v>45292</v>
      </c>
      <c r="H59" s="1502">
        <f t="shared" si="16"/>
        <v>45261</v>
      </c>
      <c r="I59" s="1502">
        <f t="shared" si="16"/>
        <v>45231</v>
      </c>
      <c r="J59" s="1502">
        <f t="shared" si="16"/>
        <v>45200</v>
      </c>
      <c r="K59" s="1502">
        <f t="shared" si="16"/>
        <v>45170</v>
      </c>
      <c r="L59" s="1502">
        <f t="shared" si="16"/>
        <v>45139</v>
      </c>
      <c r="M59" s="1502">
        <f t="shared" si="16"/>
        <v>45108</v>
      </c>
      <c r="N59" s="1502">
        <f t="shared" si="16"/>
        <v>45078</v>
      </c>
      <c r="O59" s="1502">
        <f t="shared" si="16"/>
        <v>45047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1532</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1494</v>
      </c>
      <c r="B62" s="1309"/>
      <c r="C62" s="1310" t="s">
        <v>1533</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1534</v>
      </c>
      <c r="B64" s="1315" t="s">
        <v>1497</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1500</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1501</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1502</v>
      </c>
      <c r="B77" s="1315" t="s">
        <v>1578</v>
      </c>
      <c r="C77" s="1336" t="s">
        <v>1535</v>
      </c>
      <c r="D77" s="1336" t="s">
        <v>1536</v>
      </c>
      <c r="E77" s="1336" t="s">
        <v>1537</v>
      </c>
      <c r="F77" s="1336" t="s">
        <v>1538</v>
      </c>
      <c r="G77" s="1336" t="s">
        <v>1539</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1505</v>
      </c>
      <c r="C79" s="1338" t="s">
        <v>1535</v>
      </c>
      <c r="D79" s="1338" t="s">
        <v>1536</v>
      </c>
      <c r="E79" s="1338" t="s">
        <v>1537</v>
      </c>
      <c r="F79" s="1338" t="s">
        <v>1538</v>
      </c>
      <c r="G79" s="1338" t="s">
        <v>1539</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1506</v>
      </c>
      <c r="C81" s="1338" t="s">
        <v>1535</v>
      </c>
      <c r="D81" s="1338" t="s">
        <v>1536</v>
      </c>
      <c r="E81" s="1338" t="s">
        <v>1537</v>
      </c>
      <c r="F81" s="1338" t="s">
        <v>1538</v>
      </c>
      <c r="G81" s="1338" t="s">
        <v>1539</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1507</v>
      </c>
      <c r="C83" s="1343" t="s">
        <v>1540</v>
      </c>
      <c r="D83" s="1343" t="s">
        <v>1541</v>
      </c>
      <c r="E83" s="1343" t="s">
        <v>1542</v>
      </c>
      <c r="F83" s="1343" t="s">
        <v>1543</v>
      </c>
      <c r="G83" s="1343" t="s">
        <v>1544</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1579</v>
      </c>
      <c r="C85" s="1338" t="s">
        <v>1535</v>
      </c>
      <c r="D85" s="1338" t="s">
        <v>1536</v>
      </c>
      <c r="E85" s="1338" t="s">
        <v>1537</v>
      </c>
      <c r="F85" s="1338" t="s">
        <v>1538</v>
      </c>
      <c r="G85" s="1338" t="s">
        <v>1539</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1580</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1511</v>
      </c>
      <c r="B101" s="1315" t="s">
        <v>1512</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1514</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1515</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1517</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1581</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1518</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1519</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1583</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1574</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1522</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1523</v>
      </c>
      <c r="C125" s="1338" t="s">
        <v>1535</v>
      </c>
      <c r="D125" s="1338" t="s">
        <v>1536</v>
      </c>
      <c r="E125" s="1338" t="s">
        <v>1537</v>
      </c>
      <c r="F125" s="1338" t="s">
        <v>1538</v>
      </c>
      <c r="G125" s="1338" t="s">
        <v>1539</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1473</v>
      </c>
      <c r="B1" s="1583" t="s">
        <v>1584</v>
      </c>
      <c r="C1" s="1449" t="s">
        <v>1475</v>
      </c>
      <c r="D1" s="1450"/>
      <c r="E1" s="1451"/>
      <c r="F1" s="1452"/>
      <c r="G1" s="1453" t="s">
        <v>1476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992</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993</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994</v>
      </c>
      <c r="B3" s="1085">
        <f>IF(C2="——",C43,ROUND(B2*10000/D3,0))</f>
        <v>0</v>
      </c>
      <c r="C3" s="1460" t="s">
        <v>1477</v>
      </c>
      <c r="D3" s="1461">
        <f>IF(D1="",'数据-汇总表'!E3,SUMIF('数据-汇总表'!$C19:$C33,D1,'数据-汇总表'!$E19:$E33))</f>
        <v>2541.1799999999998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1478</v>
      </c>
      <c r="B4" s="1088"/>
      <c r="C4" s="3645" t="s">
        <v>1479</v>
      </c>
      <c r="D4" s="3646"/>
      <c r="E4" s="3647" t="s">
        <v>1480</v>
      </c>
      <c r="F4" s="3648"/>
      <c r="G4" s="3645" t="s">
        <v>1481</v>
      </c>
      <c r="H4" s="3646"/>
      <c r="I4" s="3645" t="s">
        <v>1482</v>
      </c>
      <c r="J4" s="3646"/>
      <c r="K4" s="1234" t="s">
        <v>1483</v>
      </c>
      <c r="L4" s="1589"/>
      <c r="M4" s="1590"/>
      <c r="N4" s="1590"/>
      <c r="O4" s="1590"/>
      <c r="P4" s="3678" t="s">
        <v>1484</v>
      </c>
      <c r="Q4" s="3679"/>
      <c r="R4" s="3684" t="s">
        <v>1480</v>
      </c>
      <c r="S4" s="3685"/>
      <c r="T4" s="3684" t="s">
        <v>1481</v>
      </c>
      <c r="U4" s="3685"/>
      <c r="V4" s="3690" t="s">
        <v>1482</v>
      </c>
      <c r="W4" s="3690"/>
      <c r="X4" s="1278"/>
      <c r="Y4" s="3684" t="s">
        <v>1484</v>
      </c>
      <c r="Z4" s="3685"/>
      <c r="AA4" s="3675" t="s">
        <v>1480</v>
      </c>
      <c r="AB4" s="3676" t="s">
        <v>1481</v>
      </c>
      <c r="AC4" s="3675" t="s">
        <v>1482</v>
      </c>
    </row>
    <row r="5" spans="1:29" ht="15">
      <c r="A5" s="1089"/>
      <c r="B5" s="1090"/>
      <c r="C5" s="3649" t="s">
        <v>1485</v>
      </c>
      <c r="D5" s="3650"/>
      <c r="E5" s="3651" t="s">
        <v>1486</v>
      </c>
      <c r="F5" s="3652"/>
      <c r="G5" s="3649" t="s">
        <v>1487</v>
      </c>
      <c r="H5" s="3650"/>
      <c r="I5" s="3649" t="s">
        <v>1488</v>
      </c>
      <c r="J5" s="3650"/>
      <c r="K5" s="1234"/>
      <c r="L5" s="1589"/>
      <c r="M5" s="1590"/>
      <c r="N5" s="1590"/>
      <c r="O5" s="1590"/>
      <c r="P5" s="3680"/>
      <c r="Q5" s="3681"/>
      <c r="R5" s="3686"/>
      <c r="S5" s="3687"/>
      <c r="T5" s="3686"/>
      <c r="U5" s="3687"/>
      <c r="V5" s="3690"/>
      <c r="W5" s="3690"/>
      <c r="X5" s="1278"/>
      <c r="Y5" s="3686"/>
      <c r="Z5" s="3687"/>
      <c r="AA5" s="3676"/>
      <c r="AB5" s="3676"/>
      <c r="AC5" s="3676"/>
    </row>
    <row r="6" spans="1:29" ht="15">
      <c r="A6" s="1091"/>
      <c r="B6" s="1092"/>
      <c r="C6" s="3653" t="s">
        <v>1489</v>
      </c>
      <c r="D6" s="3654"/>
      <c r="E6" s="3655" t="s">
        <v>1489</v>
      </c>
      <c r="F6" s="3656"/>
      <c r="G6" s="3653" t="s">
        <v>1489</v>
      </c>
      <c r="H6" s="3654"/>
      <c r="I6" s="3653" t="s">
        <v>1489</v>
      </c>
      <c r="J6" s="3654"/>
      <c r="K6" s="1234" t="s">
        <v>1490</v>
      </c>
      <c r="L6" s="1589"/>
      <c r="M6" s="1590"/>
      <c r="N6" s="1590"/>
      <c r="O6" s="1590"/>
      <c r="P6" s="3682"/>
      <c r="Q6" s="3683"/>
      <c r="R6" s="3686"/>
      <c r="S6" s="3687"/>
      <c r="T6" s="3688"/>
      <c r="U6" s="3689"/>
      <c r="V6" s="3690"/>
      <c r="W6" s="3690"/>
      <c r="X6" s="1278"/>
      <c r="Y6" s="3688"/>
      <c r="Z6" s="3689"/>
      <c r="AA6" s="3677"/>
      <c r="AB6" s="3677"/>
      <c r="AC6" s="3677"/>
    </row>
    <row r="7" spans="1:29" s="1068" customFormat="1" ht="15">
      <c r="A7" s="1093" t="s">
        <v>1491</v>
      </c>
      <c r="B7" s="1094"/>
      <c r="C7" s="1095">
        <f>'数据-取费表'!B2</f>
        <v>45422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7"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293" t="e">
        <f>D7/J7</f>
        <v>#DIV/0!</v>
      </c>
    </row>
    <row r="8" spans="1:29" s="1068" customFormat="1" ht="15">
      <c r="A8" s="1093" t="s">
        <v>1494</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7" t="s">
        <v>1495</v>
      </c>
      <c r="Q8" s="3659"/>
      <c r="R8" s="1279" t="s">
        <v>1493</v>
      </c>
      <c r="S8" s="1280">
        <f t="shared" si="0"/>
        <v>100</v>
      </c>
      <c r="T8" s="1279" t="s">
        <v>1493</v>
      </c>
      <c r="U8" s="1280">
        <f t="shared" si="1"/>
        <v>100</v>
      </c>
      <c r="V8" s="1279" t="s">
        <v>1493</v>
      </c>
      <c r="W8" s="1280">
        <f t="shared" si="2"/>
        <v>100</v>
      </c>
      <c r="X8" s="1281"/>
      <c r="Y8" s="3657" t="s">
        <v>1495</v>
      </c>
      <c r="Z8" s="3659"/>
      <c r="AA8" s="1293">
        <f t="shared" ref="AA8:AA40" si="3">D8/F8</f>
        <v>1</v>
      </c>
      <c r="AB8" s="1293">
        <f t="shared" ref="AB8:AB40" si="4">D8/H8</f>
        <v>1</v>
      </c>
      <c r="AC8" s="1293">
        <f t="shared" ref="AC8:AC40" si="5">D8/J8</f>
        <v>1</v>
      </c>
    </row>
    <row r="9" spans="1:29" s="1068" customFormat="1">
      <c r="A9" s="1101" t="s">
        <v>1496</v>
      </c>
      <c r="B9" s="1102" t="s">
        <v>1497</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0"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293">
        <f t="shared" si="5"/>
        <v>1</v>
      </c>
    </row>
    <row r="10" spans="1:29" s="1069" customFormat="1" ht="27">
      <c r="A10" s="1105"/>
      <c r="B10" s="1106" t="s">
        <v>1500</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0"/>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1501</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0"/>
      <c r="Q11" s="1283" t="str">
        <f t="shared" si="6"/>
        <v>容积率</v>
      </c>
      <c r="R11" s="1279" t="s">
        <v>1493</v>
      </c>
      <c r="S11" s="1280">
        <f t="shared" si="0"/>
        <v>100</v>
      </c>
      <c r="T11" s="1279" t="s">
        <v>1493</v>
      </c>
      <c r="U11" s="1280">
        <f t="shared" si="1"/>
        <v>100</v>
      </c>
      <c r="V11" s="1279" t="s">
        <v>1493</v>
      </c>
      <c r="W11" s="1280">
        <f t="shared" si="2"/>
        <v>100</v>
      </c>
      <c r="X11" s="1281"/>
      <c r="Y11" s="3597"/>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0"/>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0"/>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0"/>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293">
        <f t="shared" si="5"/>
        <v>1</v>
      </c>
    </row>
    <row r="15" spans="1:29" ht="57">
      <c r="A15" s="1123" t="s">
        <v>1502</v>
      </c>
      <c r="B15" s="1416" t="s">
        <v>1585</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1" t="s">
        <v>1504</v>
      </c>
      <c r="Q15" s="663" t="str">
        <f t="shared" si="6"/>
        <v>产业集聚程度</v>
      </c>
      <c r="R15" s="1284" t="s">
        <v>1493</v>
      </c>
      <c r="S15" s="1285">
        <f t="shared" si="0"/>
        <v>100</v>
      </c>
      <c r="T15" s="1284" t="s">
        <v>1493</v>
      </c>
      <c r="U15" s="1285">
        <f t="shared" si="1"/>
        <v>100</v>
      </c>
      <c r="V15" s="1284" t="s">
        <v>1493</v>
      </c>
      <c r="W15" s="1285">
        <f t="shared" si="2"/>
        <v>100</v>
      </c>
      <c r="X15" s="1278"/>
      <c r="Y15" s="3671" t="s">
        <v>1504</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2"/>
      <c r="Q16" s="663"/>
      <c r="R16" s="1284"/>
      <c r="S16" s="1285"/>
      <c r="T16" s="1284"/>
      <c r="U16" s="1285"/>
      <c r="V16" s="1284"/>
      <c r="W16" s="1285"/>
      <c r="X16" s="1278"/>
      <c r="Y16" s="3672"/>
      <c r="Z16" s="1268"/>
      <c r="AA16" s="1295">
        <v>1</v>
      </c>
      <c r="AB16" s="1295">
        <v>1</v>
      </c>
      <c r="AC16" s="1295">
        <v>1</v>
      </c>
    </row>
    <row r="17" spans="1:29" ht="85.5">
      <c r="A17" s="1109"/>
      <c r="B17" s="1419" t="s">
        <v>1505</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2"/>
      <c r="Q17" s="663" t="str">
        <f>B17</f>
        <v>交通便捷度</v>
      </c>
      <c r="R17" s="1284" t="s">
        <v>1493</v>
      </c>
      <c r="S17" s="1285">
        <f>F17</f>
        <v>100</v>
      </c>
      <c r="T17" s="1284" t="s">
        <v>1493</v>
      </c>
      <c r="U17" s="1285">
        <f>H17</f>
        <v>100</v>
      </c>
      <c r="V17" s="1284" t="s">
        <v>1493</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2"/>
      <c r="Q18" s="663"/>
      <c r="R18" s="1284"/>
      <c r="S18" s="1285"/>
      <c r="T18" s="1284"/>
      <c r="U18" s="1285"/>
      <c r="V18" s="1284"/>
      <c r="W18" s="1285"/>
      <c r="X18" s="1278"/>
      <c r="Y18" s="3672"/>
      <c r="Z18" s="1268"/>
      <c r="AA18" s="1295">
        <v>1</v>
      </c>
      <c r="AB18" s="1295">
        <v>1</v>
      </c>
      <c r="AC18" s="1295">
        <v>1</v>
      </c>
    </row>
    <row r="19" spans="1:29" ht="42.75">
      <c r="A19" s="1109"/>
      <c r="B19" s="1419" t="s">
        <v>1506</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2"/>
      <c r="Q19" s="663" t="str">
        <f>B19</f>
        <v>公共配套设施</v>
      </c>
      <c r="R19" s="1284" t="s">
        <v>1493</v>
      </c>
      <c r="S19" s="1285">
        <f>F19</f>
        <v>100</v>
      </c>
      <c r="T19" s="1284" t="s">
        <v>1493</v>
      </c>
      <c r="U19" s="1285">
        <f>H19</f>
        <v>100</v>
      </c>
      <c r="V19" s="1284" t="s">
        <v>1493</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2"/>
      <c r="Q20" s="663"/>
      <c r="R20" s="1284"/>
      <c r="S20" s="1285"/>
      <c r="T20" s="1284"/>
      <c r="U20" s="1285"/>
      <c r="V20" s="1284"/>
      <c r="W20" s="1285"/>
      <c r="X20" s="1278"/>
      <c r="Y20" s="3672"/>
      <c r="Z20" s="1268"/>
      <c r="AA20" s="1295">
        <v>1</v>
      </c>
      <c r="AB20" s="1295">
        <v>1</v>
      </c>
      <c r="AC20" s="1295">
        <v>1</v>
      </c>
    </row>
    <row r="21" spans="1:29" ht="28.5">
      <c r="A21" s="1109"/>
      <c r="B21" s="1423" t="s">
        <v>1507</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2"/>
      <c r="Q21" s="663" t="str">
        <f>B21</f>
        <v>基础设施水平</v>
      </c>
      <c r="R21" s="1284" t="s">
        <v>1493</v>
      </c>
      <c r="S21" s="1285">
        <f>F21</f>
        <v>100</v>
      </c>
      <c r="T21" s="1284" t="s">
        <v>1493</v>
      </c>
      <c r="U21" s="1285">
        <f>H21</f>
        <v>100</v>
      </c>
      <c r="V21" s="1284" t="s">
        <v>1493</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2"/>
      <c r="Q22" s="663"/>
      <c r="R22" s="1284"/>
      <c r="S22" s="1285"/>
      <c r="T22" s="1284"/>
      <c r="U22" s="1285"/>
      <c r="V22" s="1284"/>
      <c r="W22" s="1285"/>
      <c r="X22" s="1278"/>
      <c r="Y22" s="3672"/>
      <c r="Z22" s="1268"/>
      <c r="AA22" s="1295">
        <v>1</v>
      </c>
      <c r="AB22" s="1295">
        <v>1</v>
      </c>
      <c r="AC22" s="1295">
        <v>1</v>
      </c>
    </row>
    <row r="23" spans="1:29" ht="71.25">
      <c r="A23" s="1109"/>
      <c r="B23" s="1419" t="s">
        <v>1579</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2"/>
      <c r="Q23" s="663" t="str">
        <f>B23</f>
        <v>环境质量</v>
      </c>
      <c r="R23" s="1284" t="s">
        <v>1493</v>
      </c>
      <c r="S23" s="1285">
        <f>F23</f>
        <v>100</v>
      </c>
      <c r="T23" s="1284" t="s">
        <v>1493</v>
      </c>
      <c r="U23" s="1285">
        <f>H23</f>
        <v>100</v>
      </c>
      <c r="V23" s="1284" t="s">
        <v>1493</v>
      </c>
      <c r="W23" s="1285">
        <f>J23</f>
        <v>100</v>
      </c>
      <c r="X23" s="1278"/>
      <c r="Y23" s="3672"/>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2"/>
      <c r="Q24" s="663"/>
      <c r="R24" s="1284"/>
      <c r="S24" s="1285"/>
      <c r="T24" s="1284"/>
      <c r="U24" s="1285"/>
      <c r="V24" s="1284"/>
      <c r="W24" s="1285"/>
      <c r="X24" s="1278"/>
      <c r="Y24" s="3672"/>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2"/>
      <c r="Q25" s="663">
        <f>B25</f>
        <v>111</v>
      </c>
      <c r="R25" s="1284" t="s">
        <v>1493</v>
      </c>
      <c r="S25" s="1285">
        <f>F25</f>
        <v>100</v>
      </c>
      <c r="T25" s="1284" t="s">
        <v>1493</v>
      </c>
      <c r="U25" s="1285">
        <f>H25</f>
        <v>100</v>
      </c>
      <c r="V25" s="1284" t="s">
        <v>1493</v>
      </c>
      <c r="W25" s="1285">
        <f>J25</f>
        <v>100</v>
      </c>
      <c r="X25" s="1278"/>
      <c r="Y25" s="3672"/>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2"/>
      <c r="Q26" s="663">
        <f t="shared" ref="Q26:Q40" si="11">B26</f>
        <v>111</v>
      </c>
      <c r="R26" s="1284" t="s">
        <v>1493</v>
      </c>
      <c r="S26" s="1285">
        <f>F26</f>
        <v>100</v>
      </c>
      <c r="T26" s="1284" t="s">
        <v>1493</v>
      </c>
      <c r="U26" s="1285">
        <f>H26</f>
        <v>100</v>
      </c>
      <c r="V26" s="1284" t="s">
        <v>1493</v>
      </c>
      <c r="W26" s="1285">
        <f>J26</f>
        <v>100</v>
      </c>
      <c r="X26" s="1278"/>
      <c r="Y26" s="3672"/>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2"/>
      <c r="Q27" s="1283">
        <f t="shared" si="11"/>
        <v>111</v>
      </c>
      <c r="R27" s="1279" t="s">
        <v>1493</v>
      </c>
      <c r="S27" s="1280">
        <f>F27</f>
        <v>100</v>
      </c>
      <c r="T27" s="1279" t="s">
        <v>1493</v>
      </c>
      <c r="U27" s="1280">
        <f>H27</f>
        <v>100</v>
      </c>
      <c r="V27" s="1279" t="s">
        <v>1493</v>
      </c>
      <c r="W27" s="1280">
        <f>J27</f>
        <v>100</v>
      </c>
      <c r="X27" s="1281"/>
      <c r="Y27" s="3672"/>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2"/>
      <c r="Q28" s="663">
        <f t="shared" si="11"/>
        <v>111</v>
      </c>
      <c r="R28" s="1284" t="s">
        <v>1493</v>
      </c>
      <c r="S28" s="1285">
        <f t="shared" ref="S28:S40" si="12">F28</f>
        <v>100</v>
      </c>
      <c r="T28" s="1284" t="s">
        <v>1493</v>
      </c>
      <c r="U28" s="1285">
        <f t="shared" ref="U28:U40" si="13">H28</f>
        <v>100</v>
      </c>
      <c r="V28" s="1284" t="s">
        <v>1493</v>
      </c>
      <c r="W28" s="1285">
        <f t="shared" ref="W28:W40" si="14">J28</f>
        <v>100</v>
      </c>
      <c r="X28" s="1278"/>
      <c r="Y28" s="3672"/>
      <c r="Z28" s="1268">
        <f t="shared" ref="Z28:Z40" si="15">Q28</f>
        <v>111</v>
      </c>
      <c r="AA28" s="1295">
        <f t="shared" si="3"/>
        <v>1</v>
      </c>
      <c r="AB28" s="1295">
        <f t="shared" si="4"/>
        <v>1</v>
      </c>
      <c r="AC28" s="1295">
        <f t="shared" si="5"/>
        <v>1</v>
      </c>
    </row>
    <row r="29" spans="1:29" ht="28.5">
      <c r="A29" s="1477" t="s">
        <v>1511</v>
      </c>
      <c r="B29" s="1102" t="s">
        <v>1512</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6" t="s">
        <v>1513</v>
      </c>
      <c r="Q29" s="663" t="str">
        <f t="shared" si="11"/>
        <v>建筑类型</v>
      </c>
      <c r="R29" s="1284" t="s">
        <v>1493</v>
      </c>
      <c r="S29" s="1285">
        <f t="shared" si="12"/>
        <v>100</v>
      </c>
      <c r="T29" s="1284" t="s">
        <v>1493</v>
      </c>
      <c r="U29" s="1285">
        <f t="shared" si="13"/>
        <v>100</v>
      </c>
      <c r="V29" s="1284" t="s">
        <v>1493</v>
      </c>
      <c r="W29" s="1285">
        <f t="shared" si="14"/>
        <v>100</v>
      </c>
      <c r="X29" s="1278"/>
      <c r="Y29" s="3673" t="s">
        <v>1513</v>
      </c>
      <c r="Z29" s="1268" t="str">
        <f t="shared" si="15"/>
        <v>建筑类型</v>
      </c>
      <c r="AA29" s="1295">
        <f t="shared" si="3"/>
        <v>1</v>
      </c>
      <c r="AB29" s="1295">
        <f t="shared" si="4"/>
        <v>1</v>
      </c>
      <c r="AC29" s="1295">
        <f t="shared" si="5"/>
        <v>1</v>
      </c>
    </row>
    <row r="30" spans="1:29" s="1070" customFormat="1" ht="15">
      <c r="A30" s="1165"/>
      <c r="B30" s="1106" t="s">
        <v>1514</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3"/>
      <c r="Q30" s="1512" t="str">
        <f t="shared" si="11"/>
        <v>项目建筑规模</v>
      </c>
      <c r="R30" s="1286" t="s">
        <v>1493</v>
      </c>
      <c r="S30" s="1287" t="e">
        <f t="shared" si="12"/>
        <v>#N/A</v>
      </c>
      <c r="T30" s="1286" t="s">
        <v>1493</v>
      </c>
      <c r="U30" s="1287" t="e">
        <f t="shared" si="13"/>
        <v>#N/A</v>
      </c>
      <c r="V30" s="1286" t="s">
        <v>1493</v>
      </c>
      <c r="W30" s="1287" t="e">
        <f t="shared" si="14"/>
        <v>#N/A</v>
      </c>
      <c r="X30" s="1288"/>
      <c r="Y30" s="3673"/>
      <c r="Z30" s="1296" t="str">
        <f t="shared" si="15"/>
        <v>项目建筑规模</v>
      </c>
      <c r="AA30" s="1295" t="e">
        <f t="shared" si="3"/>
        <v>#N/A</v>
      </c>
      <c r="AB30" s="1295" t="e">
        <f t="shared" si="4"/>
        <v>#N/A</v>
      </c>
      <c r="AC30" s="1295" t="e">
        <f t="shared" si="5"/>
        <v>#N/A</v>
      </c>
    </row>
    <row r="31" spans="1:29" ht="15">
      <c r="A31" s="1160"/>
      <c r="B31" s="1106" t="s">
        <v>1515</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3"/>
      <c r="Q31" s="663" t="str">
        <f t="shared" si="11"/>
        <v>建筑结构</v>
      </c>
      <c r="R31" s="1284" t="s">
        <v>1493</v>
      </c>
      <c r="S31" s="1285">
        <f t="shared" si="12"/>
        <v>100</v>
      </c>
      <c r="T31" s="1284" t="s">
        <v>1493</v>
      </c>
      <c r="U31" s="1285">
        <f t="shared" si="13"/>
        <v>100</v>
      </c>
      <c r="V31" s="1284" t="s">
        <v>1493</v>
      </c>
      <c r="W31" s="1285">
        <f t="shared" si="14"/>
        <v>100</v>
      </c>
      <c r="X31" s="1278"/>
      <c r="Y31" s="3673"/>
      <c r="Z31" s="1268" t="str">
        <f t="shared" si="15"/>
        <v>建筑结构</v>
      </c>
      <c r="AA31" s="1295">
        <f t="shared" si="3"/>
        <v>1</v>
      </c>
      <c r="AB31" s="1295">
        <f t="shared" si="4"/>
        <v>1</v>
      </c>
      <c r="AC31" s="1295">
        <f t="shared" si="5"/>
        <v>1</v>
      </c>
    </row>
    <row r="32" spans="1:29" ht="15">
      <c r="A32" s="1160"/>
      <c r="B32" s="1106" t="s">
        <v>1517</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3"/>
      <c r="Q32" s="663" t="str">
        <f t="shared" si="11"/>
        <v>公共部分装修</v>
      </c>
      <c r="R32" s="1284" t="s">
        <v>1493</v>
      </c>
      <c r="S32" s="1285">
        <f t="shared" si="12"/>
        <v>100</v>
      </c>
      <c r="T32" s="1284" t="s">
        <v>1493</v>
      </c>
      <c r="U32" s="1285">
        <f t="shared" si="13"/>
        <v>100</v>
      </c>
      <c r="V32" s="1284" t="s">
        <v>1493</v>
      </c>
      <c r="W32" s="1285">
        <f t="shared" si="14"/>
        <v>100</v>
      </c>
      <c r="X32" s="1278"/>
      <c r="Y32" s="3673"/>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3"/>
      <c r="Q33" s="663" t="str">
        <f t="shared" si="11"/>
        <v>成新度</v>
      </c>
      <c r="R33" s="1284" t="s">
        <v>1493</v>
      </c>
      <c r="S33" s="1285" t="e">
        <f t="shared" si="12"/>
        <v>#N/A</v>
      </c>
      <c r="T33" s="1284" t="s">
        <v>1493</v>
      </c>
      <c r="U33" s="1285" t="e">
        <f t="shared" si="13"/>
        <v>#N/A</v>
      </c>
      <c r="V33" s="1284" t="s">
        <v>1493</v>
      </c>
      <c r="W33" s="1285" t="e">
        <f t="shared" si="14"/>
        <v>#N/A</v>
      </c>
      <c r="X33" s="1278"/>
      <c r="Y33" s="3673"/>
      <c r="Z33" s="1268" t="str">
        <f t="shared" si="15"/>
        <v>成新度</v>
      </c>
      <c r="AA33" s="1295" t="e">
        <f t="shared" si="3"/>
        <v>#N/A</v>
      </c>
      <c r="AB33" s="1295" t="e">
        <f t="shared" si="4"/>
        <v>#N/A</v>
      </c>
      <c r="AC33" s="1295" t="e">
        <f t="shared" si="5"/>
        <v>#N/A</v>
      </c>
    </row>
    <row r="34" spans="1:29" s="1068" customFormat="1" ht="15">
      <c r="A34" s="1162"/>
      <c r="B34" s="1106" t="s">
        <v>1518</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3"/>
      <c r="Q34" s="1283" t="str">
        <f t="shared" si="11"/>
        <v>物业管理</v>
      </c>
      <c r="R34" s="1279" t="s">
        <v>1493</v>
      </c>
      <c r="S34" s="1280">
        <f t="shared" si="12"/>
        <v>100</v>
      </c>
      <c r="T34" s="1279" t="s">
        <v>1493</v>
      </c>
      <c r="U34" s="1280">
        <f t="shared" si="13"/>
        <v>100</v>
      </c>
      <c r="V34" s="1279" t="s">
        <v>1493</v>
      </c>
      <c r="W34" s="1280">
        <f t="shared" si="14"/>
        <v>100</v>
      </c>
      <c r="X34" s="1281"/>
      <c r="Y34" s="3673"/>
      <c r="Z34" s="1294" t="str">
        <f t="shared" si="15"/>
        <v>物业管理</v>
      </c>
      <c r="AA34" s="1293">
        <f t="shared" si="3"/>
        <v>1</v>
      </c>
      <c r="AB34" s="1293">
        <f t="shared" si="4"/>
        <v>1</v>
      </c>
      <c r="AC34" s="1293">
        <f t="shared" si="5"/>
        <v>1</v>
      </c>
    </row>
    <row r="35" spans="1:29" ht="15">
      <c r="A35" s="1160"/>
      <c r="B35" s="1106" t="s">
        <v>1519</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3" t="s">
        <v>1513</v>
      </c>
      <c r="Q35" s="663" t="str">
        <f t="shared" si="11"/>
        <v>市政基础设施</v>
      </c>
      <c r="R35" s="1284" t="s">
        <v>1493</v>
      </c>
      <c r="S35" s="1285">
        <f t="shared" si="12"/>
        <v>100</v>
      </c>
      <c r="T35" s="1284" t="s">
        <v>1493</v>
      </c>
      <c r="U35" s="1285">
        <f t="shared" si="13"/>
        <v>100</v>
      </c>
      <c r="V35" s="1284" t="s">
        <v>1493</v>
      </c>
      <c r="W35" s="1285">
        <f t="shared" si="14"/>
        <v>100</v>
      </c>
      <c r="X35" s="1278"/>
      <c r="Y35" s="3673" t="s">
        <v>1513</v>
      </c>
      <c r="Z35" s="1268" t="str">
        <f t="shared" si="15"/>
        <v>市政基础设施</v>
      </c>
      <c r="AA35" s="1295">
        <f t="shared" si="3"/>
        <v>1</v>
      </c>
      <c r="AB35" s="1295">
        <f t="shared" si="4"/>
        <v>1</v>
      </c>
      <c r="AC35" s="1295">
        <f t="shared" si="5"/>
        <v>1</v>
      </c>
    </row>
    <row r="36" spans="1:29" ht="15">
      <c r="A36" s="1160"/>
      <c r="B36" s="1106" t="s">
        <v>1522</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3"/>
      <c r="Q36" s="663" t="str">
        <f t="shared" si="11"/>
        <v>内部装修</v>
      </c>
      <c r="R36" s="1284" t="s">
        <v>1493</v>
      </c>
      <c r="S36" s="1285">
        <f t="shared" si="12"/>
        <v>100</v>
      </c>
      <c r="T36" s="1284" t="s">
        <v>1493</v>
      </c>
      <c r="U36" s="1285">
        <f t="shared" si="13"/>
        <v>100</v>
      </c>
      <c r="V36" s="1284" t="s">
        <v>1493</v>
      </c>
      <c r="W36" s="1285">
        <f t="shared" si="14"/>
        <v>100</v>
      </c>
      <c r="X36" s="1278"/>
      <c r="Y36" s="3673"/>
      <c r="Z36" s="1268" t="str">
        <f t="shared" si="15"/>
        <v>内部装修</v>
      </c>
      <c r="AA36" s="1295">
        <f t="shared" si="3"/>
        <v>1</v>
      </c>
      <c r="AB36" s="1295">
        <f t="shared" si="4"/>
        <v>1</v>
      </c>
      <c r="AC36" s="1295">
        <f t="shared" si="5"/>
        <v>1</v>
      </c>
    </row>
    <row r="37" spans="1:29" ht="15">
      <c r="A37" s="1160"/>
      <c r="B37" s="1106" t="s">
        <v>1586</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3"/>
      <c r="Q37" s="663" t="str">
        <f t="shared" si="11"/>
        <v>内部装修状况</v>
      </c>
      <c r="R37" s="1284" t="s">
        <v>1493</v>
      </c>
      <c r="S37" s="1285">
        <f t="shared" si="12"/>
        <v>100</v>
      </c>
      <c r="T37" s="1284" t="s">
        <v>1493</v>
      </c>
      <c r="U37" s="1285">
        <f t="shared" si="13"/>
        <v>100</v>
      </c>
      <c r="V37" s="1284" t="s">
        <v>1493</v>
      </c>
      <c r="W37" s="1285">
        <f t="shared" si="14"/>
        <v>100</v>
      </c>
      <c r="X37" s="1278"/>
      <c r="Y37" s="3673"/>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3"/>
      <c r="Q38" s="1512">
        <f t="shared" si="11"/>
        <v>111</v>
      </c>
      <c r="R38" s="1286" t="s">
        <v>1493</v>
      </c>
      <c r="S38" s="1287">
        <f t="shared" si="12"/>
        <v>100</v>
      </c>
      <c r="T38" s="1286" t="s">
        <v>1493</v>
      </c>
      <c r="U38" s="1287">
        <f t="shared" si="13"/>
        <v>100</v>
      </c>
      <c r="V38" s="1286" t="s">
        <v>1493</v>
      </c>
      <c r="W38" s="1287">
        <f t="shared" si="14"/>
        <v>100</v>
      </c>
      <c r="X38" s="1288"/>
      <c r="Y38" s="3673"/>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3"/>
      <c r="Q39" s="663">
        <f t="shared" si="11"/>
        <v>111</v>
      </c>
      <c r="R39" s="1284" t="s">
        <v>1493</v>
      </c>
      <c r="S39" s="1285">
        <f t="shared" si="12"/>
        <v>100</v>
      </c>
      <c r="T39" s="1284" t="s">
        <v>1493</v>
      </c>
      <c r="U39" s="1285">
        <f t="shared" si="13"/>
        <v>100</v>
      </c>
      <c r="V39" s="1284" t="s">
        <v>1493</v>
      </c>
      <c r="W39" s="1285">
        <f t="shared" si="14"/>
        <v>100</v>
      </c>
      <c r="X39" s="1278"/>
      <c r="Y39" s="3673"/>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4"/>
      <c r="Q40" s="663">
        <f t="shared" si="11"/>
        <v>111</v>
      </c>
      <c r="R40" s="1284" t="s">
        <v>1493</v>
      </c>
      <c r="S40" s="1285">
        <f t="shared" si="12"/>
        <v>100</v>
      </c>
      <c r="T40" s="1284" t="s">
        <v>1493</v>
      </c>
      <c r="U40" s="1285">
        <f t="shared" si="13"/>
        <v>100</v>
      </c>
      <c r="V40" s="1284" t="s">
        <v>1493</v>
      </c>
      <c r="W40" s="1285">
        <f t="shared" si="14"/>
        <v>100</v>
      </c>
      <c r="X40" s="1278"/>
      <c r="Y40" s="3674"/>
      <c r="Z40" s="1268">
        <f t="shared" si="15"/>
        <v>111</v>
      </c>
      <c r="AA40" s="1295">
        <f t="shared" si="3"/>
        <v>1</v>
      </c>
      <c r="AB40" s="1295">
        <f t="shared" si="4"/>
        <v>1</v>
      </c>
      <c r="AC40" s="1295">
        <f t="shared" si="5"/>
        <v>1</v>
      </c>
    </row>
    <row r="41" spans="1:29" ht="15">
      <c r="A41" s="1167" t="s">
        <v>1524</v>
      </c>
      <c r="B41" s="1487"/>
      <c r="C41" s="1488" t="s">
        <v>124</v>
      </c>
      <c r="D41" s="1489"/>
      <c r="E41" s="1490"/>
      <c r="F41" s="1491"/>
      <c r="G41" s="1492"/>
      <c r="H41" s="1493"/>
      <c r="I41" s="1490"/>
      <c r="J41" s="1493"/>
      <c r="K41" s="1259"/>
      <c r="L41" s="1602"/>
      <c r="M41" s="1219"/>
      <c r="N41" s="1590"/>
      <c r="O41" s="1219"/>
      <c r="P41" s="3660" t="str">
        <f>A41</f>
        <v>成交单价（元/平方米）</v>
      </c>
      <c r="Q41" s="3660"/>
      <c r="R41" s="3661">
        <f>E41</f>
        <v>0</v>
      </c>
      <c r="S41" s="3661"/>
      <c r="T41" s="3661">
        <f>G41</f>
        <v>0</v>
      </c>
      <c r="U41" s="3661"/>
      <c r="V41" s="3661">
        <f>I41</f>
        <v>0</v>
      </c>
      <c r="W41" s="3661"/>
      <c r="X41" s="1224"/>
      <c r="Y41" s="1297"/>
      <c r="Z41" s="1224"/>
      <c r="AA41" s="1224"/>
      <c r="AB41" s="1224"/>
      <c r="AC41" s="1224"/>
    </row>
    <row r="42" spans="1:29" ht="15">
      <c r="A42" s="1175" t="s">
        <v>1525</v>
      </c>
      <c r="B42" s="1494"/>
      <c r="C42" s="1495" t="e">
        <f>R43</f>
        <v>#DIV/0!</v>
      </c>
      <c r="D42" s="1178" t="s">
        <v>1526</v>
      </c>
      <c r="E42" s="1496" t="e">
        <f>R42</f>
        <v>#DIV/0!</v>
      </c>
      <c r="F42" s="1179"/>
      <c r="G42" s="1495" t="e">
        <f>T42</f>
        <v>#DIV/0!</v>
      </c>
      <c r="H42" s="1179"/>
      <c r="I42" s="1496" t="e">
        <f>V42</f>
        <v>#DIV/0!</v>
      </c>
      <c r="J42" s="1179"/>
      <c r="K42" s="1261">
        <f>F42+H42+J42</f>
        <v>0</v>
      </c>
      <c r="L42" s="1602"/>
      <c r="M42" s="1219"/>
      <c r="N42" s="1590"/>
      <c r="O42" s="1219"/>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4"/>
      <c r="Y42" s="1224"/>
      <c r="Z42" s="1224"/>
      <c r="AA42" s="1224"/>
      <c r="AB42" s="1224"/>
      <c r="AC42" s="1224"/>
    </row>
    <row r="43" spans="1:29" ht="15">
      <c r="A43" s="1181" t="s">
        <v>1527</v>
      </c>
      <c r="B43" s="1182"/>
      <c r="C43" s="1497" t="e">
        <f>R43</f>
        <v>#DIV/0!</v>
      </c>
      <c r="D43" s="1497"/>
      <c r="E43" s="1497"/>
      <c r="F43" s="1497"/>
      <c r="G43" s="1497"/>
      <c r="H43" s="1497"/>
      <c r="I43" s="1497"/>
      <c r="J43" s="1497"/>
      <c r="K43" s="1262"/>
      <c r="L43" s="1602"/>
      <c r="M43" s="1219"/>
      <c r="N43" s="1219"/>
      <c r="O43" s="1219"/>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1528</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1529</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1530</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1531</v>
      </c>
      <c r="B51" s="1224"/>
      <c r="C51" s="1225"/>
      <c r="D51" s="1225"/>
      <c r="E51" s="1225"/>
      <c r="F51" s="1226"/>
      <c r="G51" s="1226"/>
      <c r="H51" s="1225"/>
      <c r="I51" s="1225"/>
      <c r="J51" s="1225"/>
      <c r="K51" s="1442"/>
      <c r="L51" s="1443"/>
      <c r="M51" s="1276"/>
      <c r="N51" s="1276"/>
      <c r="O51" s="1276"/>
      <c r="P51" s="1605"/>
      <c r="Q51" s="1607"/>
    </row>
    <row r="52" spans="1:17" s="1073" customFormat="1" ht="15">
      <c r="A52" s="1499" t="s">
        <v>1491</v>
      </c>
      <c r="B52" s="1500"/>
      <c r="C52" s="1501" t="str">
        <f>YEAR(C7)&amp;"-"&amp;MONTH(C7)</f>
        <v>2024-5</v>
      </c>
      <c r="D52" s="1502">
        <f>EDATE(C52,-1)</f>
        <v>45383</v>
      </c>
      <c r="E52" s="1502">
        <f t="shared" ref="E52:O52" si="16">EDATE(D52,-1)</f>
        <v>45352</v>
      </c>
      <c r="F52" s="1502">
        <f t="shared" si="16"/>
        <v>45323</v>
      </c>
      <c r="G52" s="1502">
        <f t="shared" si="16"/>
        <v>45292</v>
      </c>
      <c r="H52" s="1502">
        <f t="shared" si="16"/>
        <v>45261</v>
      </c>
      <c r="I52" s="1502">
        <f t="shared" si="16"/>
        <v>45231</v>
      </c>
      <c r="J52" s="1502">
        <f t="shared" si="16"/>
        <v>45200</v>
      </c>
      <c r="K52" s="1502">
        <f t="shared" si="16"/>
        <v>45170</v>
      </c>
      <c r="L52" s="1502">
        <f t="shared" si="16"/>
        <v>45139</v>
      </c>
      <c r="M52" s="1502">
        <f t="shared" si="16"/>
        <v>45108</v>
      </c>
      <c r="N52" s="1502">
        <f t="shared" si="16"/>
        <v>45078</v>
      </c>
      <c r="O52" s="1502">
        <f t="shared" si="16"/>
        <v>45047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1532</v>
      </c>
      <c r="B54" s="1305"/>
      <c r="C54" s="1306"/>
      <c r="D54" s="1307"/>
      <c r="E54" s="1307"/>
      <c r="F54" s="1307"/>
      <c r="G54" s="1307"/>
      <c r="H54" s="1307"/>
      <c r="I54" s="1307"/>
      <c r="J54" s="1307"/>
      <c r="K54" s="1307"/>
      <c r="L54" s="1307"/>
      <c r="M54" s="1355"/>
      <c r="N54" s="1608"/>
      <c r="O54" s="1609"/>
      <c r="P54" s="1607"/>
      <c r="Q54" s="1607"/>
    </row>
    <row r="55" spans="1:17" s="1068" customFormat="1" ht="15">
      <c r="A55" s="1308" t="s">
        <v>1494</v>
      </c>
      <c r="B55" s="1309"/>
      <c r="C55" s="1310" t="s">
        <v>1533</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1534</v>
      </c>
      <c r="B57" s="1315" t="s">
        <v>1497</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1500</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1501</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1502</v>
      </c>
      <c r="B70" s="1315" t="s">
        <v>1585</v>
      </c>
      <c r="C70" s="1336" t="s">
        <v>1535</v>
      </c>
      <c r="D70" s="1336" t="s">
        <v>1536</v>
      </c>
      <c r="E70" s="1336" t="s">
        <v>1537</v>
      </c>
      <c r="F70" s="1336" t="s">
        <v>1538</v>
      </c>
      <c r="G70" s="1336" t="s">
        <v>1539</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1505</v>
      </c>
      <c r="C72" s="1338" t="s">
        <v>1535</v>
      </c>
      <c r="D72" s="1338" t="s">
        <v>1536</v>
      </c>
      <c r="E72" s="1338" t="s">
        <v>1537</v>
      </c>
      <c r="F72" s="1338" t="s">
        <v>1538</v>
      </c>
      <c r="G72" s="1338" t="s">
        <v>1539</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1506</v>
      </c>
      <c r="C74" s="1338" t="s">
        <v>1535</v>
      </c>
      <c r="D74" s="1338" t="s">
        <v>1536</v>
      </c>
      <c r="E74" s="1338" t="s">
        <v>1537</v>
      </c>
      <c r="F74" s="1338" t="s">
        <v>1538</v>
      </c>
      <c r="G74" s="1338" t="s">
        <v>1539</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1507</v>
      </c>
      <c r="C76" s="1343" t="s">
        <v>1540</v>
      </c>
      <c r="D76" s="1343" t="s">
        <v>1541</v>
      </c>
      <c r="E76" s="1343" t="s">
        <v>1542</v>
      </c>
      <c r="F76" s="1343" t="s">
        <v>1543</v>
      </c>
      <c r="G76" s="1343" t="s">
        <v>1544</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1579</v>
      </c>
      <c r="C78" s="1338" t="s">
        <v>1535</v>
      </c>
      <c r="D78" s="1338" t="s">
        <v>1536</v>
      </c>
      <c r="E78" s="1338" t="s">
        <v>1537</v>
      </c>
      <c r="F78" s="1338" t="s">
        <v>1538</v>
      </c>
      <c r="G78" s="1338" t="s">
        <v>1539</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1511</v>
      </c>
      <c r="B88" s="1315" t="s">
        <v>1512</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1514</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1515</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1517</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1518</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1519</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1522</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1587</v>
      </c>
      <c r="C106" s="1338" t="s">
        <v>1535</v>
      </c>
      <c r="D106" s="1338" t="s">
        <v>1536</v>
      </c>
      <c r="E106" s="1338" t="s">
        <v>1537</v>
      </c>
      <c r="F106" s="1338" t="s">
        <v>1538</v>
      </c>
      <c r="G106" s="1338" t="s">
        <v>1539</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估价对象为北京市房地产，为所有。根据《国有土地使用证》[]，估价对象（分摊）出让国有建设用地使用权面积为2068.02平方米，建筑面积为2541.18平方米。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估价对象为北京市房地产,属开发建设的，该项目尚在开发建设中。根据《国有土地使用证》[]，估价对象（分摊）出让国有建设用地使用权面积为2068.02平方米，规划建筑面积为2541.18平方米。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2024年5月10日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1588</v>
      </c>
      <c r="B1" s="1448" t="s">
        <v>1589</v>
      </c>
      <c r="C1" s="1449" t="s">
        <v>1475</v>
      </c>
      <c r="D1" s="1450"/>
      <c r="E1" s="1451"/>
      <c r="F1" s="1452"/>
      <c r="G1" s="1527" t="s">
        <v>1476</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992</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993</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994</v>
      </c>
      <c r="B3" s="1085" t="e">
        <f>IF(AND(C2="——",B37="元/平方米"),C39,ROUND(B2*10000/D3,0))</f>
        <v>#DIV/0!</v>
      </c>
      <c r="C3" s="1460" t="s">
        <v>1477</v>
      </c>
      <c r="D3" s="1461">
        <f>SUMIF('数据-汇总表'!$C19:$C33,D1,'数据-汇总表'!$E19:$E33)</f>
        <v>0</v>
      </c>
      <c r="E3" s="1460" t="s">
        <v>1590</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1478</v>
      </c>
      <c r="B4" s="1088"/>
      <c r="C4" s="3645" t="s">
        <v>1479</v>
      </c>
      <c r="D4" s="3646"/>
      <c r="E4" s="3647" t="s">
        <v>1480</v>
      </c>
      <c r="F4" s="3648"/>
      <c r="G4" s="3645" t="s">
        <v>1481</v>
      </c>
      <c r="H4" s="3646"/>
      <c r="I4" s="3645" t="s">
        <v>1482</v>
      </c>
      <c r="J4" s="3646"/>
      <c r="K4" s="123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76" t="s">
        <v>1481</v>
      </c>
      <c r="AC4" s="3675" t="s">
        <v>1482</v>
      </c>
    </row>
    <row r="5" spans="1:29" ht="15">
      <c r="A5" s="1089"/>
      <c r="B5" s="1090"/>
      <c r="C5" s="3649" t="s">
        <v>1485</v>
      </c>
      <c r="D5" s="3650"/>
      <c r="E5" s="3651" t="s">
        <v>1486</v>
      </c>
      <c r="F5" s="3652"/>
      <c r="G5" s="3649" t="s">
        <v>1487</v>
      </c>
      <c r="H5" s="3650"/>
      <c r="I5" s="3649" t="s">
        <v>1488</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1489</v>
      </c>
      <c r="D6" s="3654"/>
      <c r="E6" s="3655" t="s">
        <v>1489</v>
      </c>
      <c r="F6" s="3656"/>
      <c r="G6" s="3653" t="s">
        <v>1489</v>
      </c>
      <c r="H6" s="3654"/>
      <c r="I6" s="3653" t="s">
        <v>1489</v>
      </c>
      <c r="J6" s="3654"/>
      <c r="K6" s="1234" t="s">
        <v>1490</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1491</v>
      </c>
      <c r="B7" s="1094"/>
      <c r="C7" s="1095">
        <f>'数据-取费表'!B2</f>
        <v>45422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7" t="s">
        <v>1492</v>
      </c>
      <c r="Q7" s="3658"/>
      <c r="R7" s="1279" t="s">
        <v>1493</v>
      </c>
      <c r="S7" s="1280">
        <f t="shared" ref="S7:S14" si="0">F7</f>
        <v>0</v>
      </c>
      <c r="T7" s="1279" t="s">
        <v>1493</v>
      </c>
      <c r="U7" s="1280">
        <f t="shared" ref="U7:U14" si="1">H7</f>
        <v>0</v>
      </c>
      <c r="V7" s="1279" t="s">
        <v>1493</v>
      </c>
      <c r="W7" s="1280">
        <f t="shared" ref="W7:W14" si="2">J7</f>
        <v>0</v>
      </c>
      <c r="X7" s="1281"/>
      <c r="Y7" s="3657" t="s">
        <v>1492</v>
      </c>
      <c r="Z7" s="3659"/>
      <c r="AA7" s="1293" t="e">
        <f>D7/F7</f>
        <v>#DIV/0!</v>
      </c>
      <c r="AB7" s="1293" t="e">
        <f>D7/H7</f>
        <v>#DIV/0!</v>
      </c>
      <c r="AC7" s="1293" t="e">
        <f>D7/J7</f>
        <v>#DIV/0!</v>
      </c>
    </row>
    <row r="8" spans="1:29" s="1068" customFormat="1" ht="15">
      <c r="A8" s="1093" t="s">
        <v>1494</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7" t="s">
        <v>1495</v>
      </c>
      <c r="Q8" s="3659"/>
      <c r="R8" s="1279" t="s">
        <v>1493</v>
      </c>
      <c r="S8" s="1280">
        <f t="shared" si="0"/>
        <v>100</v>
      </c>
      <c r="T8" s="1279" t="s">
        <v>1493</v>
      </c>
      <c r="U8" s="1280">
        <f t="shared" si="1"/>
        <v>100</v>
      </c>
      <c r="V8" s="1279" t="s">
        <v>1493</v>
      </c>
      <c r="W8" s="1280">
        <f t="shared" si="2"/>
        <v>100</v>
      </c>
      <c r="X8" s="1281"/>
      <c r="Y8" s="3657" t="s">
        <v>1495</v>
      </c>
      <c r="Z8" s="3659"/>
      <c r="AA8" s="1293">
        <f t="shared" ref="AA8:AA36" si="3">D8/F8</f>
        <v>1</v>
      </c>
      <c r="AB8" s="1293">
        <f t="shared" ref="AB8:AB36" si="4">D8/H8</f>
        <v>1</v>
      </c>
      <c r="AC8" s="1293">
        <f t="shared" ref="AC8:AC36" si="5">D8/J8</f>
        <v>1</v>
      </c>
    </row>
    <row r="9" spans="1:29" s="1068" customFormat="1">
      <c r="A9" s="1529" t="s">
        <v>1496</v>
      </c>
      <c r="B9" s="1530" t="s">
        <v>1497</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0" t="s">
        <v>1498</v>
      </c>
      <c r="Q9" s="1283" t="str">
        <f t="shared" ref="Q9:Q14" si="6">B9</f>
        <v>用途</v>
      </c>
      <c r="R9" s="1279" t="s">
        <v>1493</v>
      </c>
      <c r="S9" s="1280">
        <f t="shared" si="0"/>
        <v>100</v>
      </c>
      <c r="T9" s="1279" t="s">
        <v>1493</v>
      </c>
      <c r="U9" s="1280">
        <f t="shared" si="1"/>
        <v>100</v>
      </c>
      <c r="V9" s="1279" t="s">
        <v>1493</v>
      </c>
      <c r="W9" s="1280">
        <f t="shared" si="2"/>
        <v>100</v>
      </c>
      <c r="X9" s="1281"/>
      <c r="Y9" s="3597" t="s">
        <v>1499</v>
      </c>
      <c r="Z9" s="1294" t="str">
        <f t="shared" ref="Z9:Z14" si="7">Q9</f>
        <v>用途</v>
      </c>
      <c r="AA9" s="1293">
        <f t="shared" si="3"/>
        <v>1</v>
      </c>
      <c r="AB9" s="1293">
        <f t="shared" si="4"/>
        <v>1</v>
      </c>
      <c r="AC9" s="1293">
        <f t="shared" si="5"/>
        <v>1</v>
      </c>
    </row>
    <row r="10" spans="1:29" s="1069" customFormat="1" ht="27">
      <c r="A10" s="1532"/>
      <c r="B10" s="1533" t="s">
        <v>1500</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0"/>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0"/>
      <c r="Q11" s="1283">
        <f t="shared" si="6"/>
        <v>111</v>
      </c>
      <c r="R11" s="1279" t="s">
        <v>1493</v>
      </c>
      <c r="S11" s="1280">
        <f t="shared" si="0"/>
        <v>100</v>
      </c>
      <c r="T11" s="1279" t="s">
        <v>1493</v>
      </c>
      <c r="U11" s="1280">
        <f t="shared" si="1"/>
        <v>100</v>
      </c>
      <c r="V11" s="1279" t="s">
        <v>1493</v>
      </c>
      <c r="W11" s="1280">
        <f t="shared" si="2"/>
        <v>100</v>
      </c>
      <c r="X11" s="1281"/>
      <c r="Y11" s="3597"/>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0"/>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0"/>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85.5">
      <c r="A14" s="1087" t="s">
        <v>1502</v>
      </c>
      <c r="B14" s="1124" t="s">
        <v>1505</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1" t="s">
        <v>1504</v>
      </c>
      <c r="Q14" s="663" t="str">
        <f t="shared" si="6"/>
        <v>交通便捷度</v>
      </c>
      <c r="R14" s="1284" t="s">
        <v>1493</v>
      </c>
      <c r="S14" s="1285">
        <f t="shared" si="0"/>
        <v>100</v>
      </c>
      <c r="T14" s="1284" t="s">
        <v>1493</v>
      </c>
      <c r="U14" s="1285">
        <f t="shared" si="1"/>
        <v>100</v>
      </c>
      <c r="V14" s="1284" t="s">
        <v>1493</v>
      </c>
      <c r="W14" s="1285">
        <f t="shared" si="2"/>
        <v>100</v>
      </c>
      <c r="X14" s="1278"/>
      <c r="Y14" s="3671" t="s">
        <v>1504</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2"/>
      <c r="Q15" s="663"/>
      <c r="R15" s="1284"/>
      <c r="S15" s="1285"/>
      <c r="T15" s="1284"/>
      <c r="U15" s="1285"/>
      <c r="V15" s="1284"/>
      <c r="W15" s="1285"/>
      <c r="X15" s="1278"/>
      <c r="Y15" s="3672"/>
      <c r="Z15" s="1268"/>
      <c r="AA15" s="1295">
        <v>1</v>
      </c>
      <c r="AB15" s="1295">
        <v>1</v>
      </c>
      <c r="AC15" s="1295">
        <v>1</v>
      </c>
    </row>
    <row r="16" spans="1:29" ht="42.75">
      <c r="A16" s="1089"/>
      <c r="B16" s="1133" t="s">
        <v>1506</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2"/>
      <c r="Q16" s="663" t="str">
        <f>B16</f>
        <v>公共配套设施</v>
      </c>
      <c r="R16" s="1284" t="s">
        <v>1493</v>
      </c>
      <c r="S16" s="1285">
        <f>F16</f>
        <v>100</v>
      </c>
      <c r="T16" s="1284" t="s">
        <v>1493</v>
      </c>
      <c r="U16" s="1285">
        <f>H16</f>
        <v>100</v>
      </c>
      <c r="V16" s="1284" t="s">
        <v>1493</v>
      </c>
      <c r="W16" s="1285">
        <f>J16</f>
        <v>100</v>
      </c>
      <c r="X16" s="1278"/>
      <c r="Y16" s="3672"/>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2"/>
      <c r="Q17" s="663"/>
      <c r="R17" s="1284"/>
      <c r="S17" s="1285"/>
      <c r="T17" s="1284"/>
      <c r="U17" s="1285"/>
      <c r="V17" s="1284"/>
      <c r="W17" s="1285"/>
      <c r="X17" s="1278"/>
      <c r="Y17" s="3672"/>
      <c r="Z17" s="1268"/>
      <c r="AA17" s="1295">
        <v>1</v>
      </c>
      <c r="AB17" s="1295">
        <v>1</v>
      </c>
      <c r="AC17" s="1295">
        <v>1</v>
      </c>
    </row>
    <row r="18" spans="1:29" ht="28.5">
      <c r="A18" s="1089"/>
      <c r="B18" s="1140" t="s">
        <v>1507</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2"/>
      <c r="Q18" s="663" t="str">
        <f>B18</f>
        <v>基础设施水平</v>
      </c>
      <c r="R18" s="1284" t="s">
        <v>1493</v>
      </c>
      <c r="S18" s="1285">
        <f>F18</f>
        <v>100</v>
      </c>
      <c r="T18" s="1284" t="s">
        <v>1493</v>
      </c>
      <c r="U18" s="1285">
        <f>H18</f>
        <v>100</v>
      </c>
      <c r="V18" s="1284" t="s">
        <v>1493</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2"/>
      <c r="Q19" s="663"/>
      <c r="R19" s="1284"/>
      <c r="S19" s="1285"/>
      <c r="T19" s="1284"/>
      <c r="U19" s="1285"/>
      <c r="V19" s="1284"/>
      <c r="W19" s="1285"/>
      <c r="X19" s="1278"/>
      <c r="Y19" s="3672"/>
      <c r="Z19" s="1268"/>
      <c r="AA19" s="1295">
        <v>1</v>
      </c>
      <c r="AB19" s="1295">
        <v>1</v>
      </c>
      <c r="AC19" s="1295">
        <v>1</v>
      </c>
    </row>
    <row r="20" spans="1:29" ht="57">
      <c r="A20" s="1089"/>
      <c r="B20" s="1133" t="s">
        <v>1508</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2"/>
      <c r="Q20" s="663" t="str">
        <f>B20</f>
        <v>自然及人文环境</v>
      </c>
      <c r="R20" s="1284" t="s">
        <v>1493</v>
      </c>
      <c r="S20" s="1285">
        <f>F20</f>
        <v>100</v>
      </c>
      <c r="T20" s="1284" t="s">
        <v>1493</v>
      </c>
      <c r="U20" s="1285">
        <f>H20</f>
        <v>100</v>
      </c>
      <c r="V20" s="1284" t="s">
        <v>1493</v>
      </c>
      <c r="W20" s="1285">
        <f>J20</f>
        <v>100</v>
      </c>
      <c r="X20" s="1278"/>
      <c r="Y20" s="3672"/>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2"/>
      <c r="Q21" s="663"/>
      <c r="R21" s="1284"/>
      <c r="S21" s="1285"/>
      <c r="T21" s="1284"/>
      <c r="U21" s="1285"/>
      <c r="V21" s="1284"/>
      <c r="W21" s="1285"/>
      <c r="X21" s="1278"/>
      <c r="Y21" s="3672"/>
      <c r="Z21" s="1268"/>
      <c r="AA21" s="1295">
        <v>1</v>
      </c>
      <c r="AB21" s="1295">
        <v>1</v>
      </c>
      <c r="AC21" s="1295">
        <v>1</v>
      </c>
    </row>
    <row r="22" spans="1:29" ht="15">
      <c r="A22" s="1089"/>
      <c r="B22" s="1133" t="s">
        <v>1570</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2"/>
      <c r="Q22" s="663" t="str">
        <f>B22</f>
        <v>楼层</v>
      </c>
      <c r="R22" s="1284" t="s">
        <v>1493</v>
      </c>
      <c r="S22" s="1285">
        <f>F22</f>
        <v>100</v>
      </c>
      <c r="T22" s="1284" t="s">
        <v>1493</v>
      </c>
      <c r="U22" s="1285">
        <f>H22</f>
        <v>100</v>
      </c>
      <c r="V22" s="1284" t="s">
        <v>1493</v>
      </c>
      <c r="W22" s="1285">
        <f>J22</f>
        <v>100</v>
      </c>
      <c r="X22" s="1278"/>
      <c r="Y22" s="3672"/>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2"/>
      <c r="Q23" s="663">
        <f>B23</f>
        <v>111</v>
      </c>
      <c r="R23" s="1284" t="s">
        <v>1493</v>
      </c>
      <c r="S23" s="1285">
        <f>F23</f>
        <v>100</v>
      </c>
      <c r="T23" s="1284" t="s">
        <v>1493</v>
      </c>
      <c r="U23" s="1285">
        <f>H23</f>
        <v>100</v>
      </c>
      <c r="V23" s="1284" t="s">
        <v>1493</v>
      </c>
      <c r="W23" s="1285">
        <f>J23</f>
        <v>100</v>
      </c>
      <c r="X23" s="1278"/>
      <c r="Y23" s="3672"/>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2"/>
      <c r="Q24" s="663">
        <f t="shared" ref="Q24:Q36" si="11">B24</f>
        <v>111</v>
      </c>
      <c r="R24" s="1284" t="s">
        <v>1493</v>
      </c>
      <c r="S24" s="1285">
        <f>F24</f>
        <v>100</v>
      </c>
      <c r="T24" s="1284" t="s">
        <v>1493</v>
      </c>
      <c r="U24" s="1285">
        <f>H24</f>
        <v>100</v>
      </c>
      <c r="V24" s="1284" t="s">
        <v>1493</v>
      </c>
      <c r="W24" s="1285">
        <f>J24</f>
        <v>100</v>
      </c>
      <c r="X24" s="1278"/>
      <c r="Y24" s="3672"/>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2"/>
      <c r="Q25" s="1283">
        <f t="shared" si="11"/>
        <v>111</v>
      </c>
      <c r="R25" s="1279" t="s">
        <v>1493</v>
      </c>
      <c r="S25" s="1280">
        <f>F25</f>
        <v>100</v>
      </c>
      <c r="T25" s="1279" t="s">
        <v>1493</v>
      </c>
      <c r="U25" s="1280">
        <f>H25</f>
        <v>100</v>
      </c>
      <c r="V25" s="1279" t="s">
        <v>1493</v>
      </c>
      <c r="W25" s="1280">
        <f>J25</f>
        <v>100</v>
      </c>
      <c r="X25" s="1281"/>
      <c r="Y25" s="3672"/>
      <c r="Z25" s="1294">
        <f>Q25</f>
        <v>111</v>
      </c>
      <c r="AA25" s="1295">
        <f t="shared" si="3"/>
        <v>1</v>
      </c>
      <c r="AB25" s="1295">
        <f t="shared" si="4"/>
        <v>1</v>
      </c>
      <c r="AC25" s="1295">
        <f t="shared" si="5"/>
        <v>1</v>
      </c>
    </row>
    <row r="26" spans="1:29" ht="28.5">
      <c r="A26" s="1545" t="s">
        <v>1511</v>
      </c>
      <c r="B26" s="1546" t="s">
        <v>1591</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6" t="s">
        <v>1513</v>
      </c>
      <c r="Q26" s="663" t="str">
        <f t="shared" si="11"/>
        <v>配套类型</v>
      </c>
      <c r="R26" s="1284" t="s">
        <v>1493</v>
      </c>
      <c r="S26" s="1285">
        <f t="shared" ref="S26:S36" si="12">F26</f>
        <v>0</v>
      </c>
      <c r="T26" s="1284" t="s">
        <v>1493</v>
      </c>
      <c r="U26" s="1285">
        <f t="shared" ref="U26:U36" si="13">H26</f>
        <v>0</v>
      </c>
      <c r="V26" s="1284" t="s">
        <v>1493</v>
      </c>
      <c r="W26" s="1285">
        <f t="shared" ref="W26:W36" si="14">J26</f>
        <v>0</v>
      </c>
      <c r="X26" s="1278"/>
      <c r="Y26" s="3673" t="s">
        <v>1513</v>
      </c>
      <c r="Z26" s="1268" t="str">
        <f t="shared" ref="Z26:Z36" si="15">Q26</f>
        <v>配套类型</v>
      </c>
      <c r="AA26" s="1295" t="e">
        <f t="shared" si="3"/>
        <v>#DIV/0!</v>
      </c>
      <c r="AB26" s="1295" t="e">
        <f t="shared" si="4"/>
        <v>#DIV/0!</v>
      </c>
      <c r="AC26" s="1295" t="e">
        <f t="shared" si="5"/>
        <v>#DIV/0!</v>
      </c>
    </row>
    <row r="27" spans="1:29" s="1070" customFormat="1" ht="15">
      <c r="A27" s="1548"/>
      <c r="B27" s="1146" t="s">
        <v>1592</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3"/>
      <c r="Q27" s="1512" t="str">
        <f t="shared" si="11"/>
        <v>项目停车位配比</v>
      </c>
      <c r="R27" s="1286" t="s">
        <v>1493</v>
      </c>
      <c r="S27" s="1287">
        <f t="shared" si="12"/>
        <v>100</v>
      </c>
      <c r="T27" s="1286" t="s">
        <v>1493</v>
      </c>
      <c r="U27" s="1287">
        <f t="shared" si="13"/>
        <v>100</v>
      </c>
      <c r="V27" s="1286" t="s">
        <v>1493</v>
      </c>
      <c r="W27" s="1287">
        <f t="shared" si="14"/>
        <v>100</v>
      </c>
      <c r="X27" s="1288"/>
      <c r="Y27" s="3673"/>
      <c r="Z27" s="1296" t="str">
        <f t="shared" si="15"/>
        <v>项目停车位配比</v>
      </c>
      <c r="AA27" s="1295">
        <f t="shared" si="3"/>
        <v>1</v>
      </c>
      <c r="AB27" s="1295">
        <f t="shared" si="4"/>
        <v>1</v>
      </c>
      <c r="AC27" s="1295">
        <f t="shared" si="5"/>
        <v>1</v>
      </c>
    </row>
    <row r="28" spans="1:29" ht="15">
      <c r="A28" s="1550"/>
      <c r="B28" s="1146" t="s">
        <v>1517</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3"/>
      <c r="Q28" s="663" t="str">
        <f t="shared" si="11"/>
        <v>公共部分装修</v>
      </c>
      <c r="R28" s="1284" t="s">
        <v>1493</v>
      </c>
      <c r="S28" s="1285">
        <f t="shared" si="12"/>
        <v>100</v>
      </c>
      <c r="T28" s="1284" t="s">
        <v>1493</v>
      </c>
      <c r="U28" s="1285">
        <f t="shared" si="13"/>
        <v>100</v>
      </c>
      <c r="V28" s="1284" t="s">
        <v>1493</v>
      </c>
      <c r="W28" s="1285">
        <f t="shared" si="14"/>
        <v>100</v>
      </c>
      <c r="X28" s="1278"/>
      <c r="Y28" s="3673"/>
      <c r="Z28" s="1268" t="str">
        <f t="shared" si="15"/>
        <v>公共部分装修</v>
      </c>
      <c r="AA28" s="1295">
        <f t="shared" si="3"/>
        <v>1</v>
      </c>
      <c r="AB28" s="1295">
        <f t="shared" si="4"/>
        <v>1</v>
      </c>
      <c r="AC28" s="1295">
        <f t="shared" si="5"/>
        <v>1</v>
      </c>
    </row>
    <row r="29" spans="1:29" ht="15">
      <c r="A29" s="1550"/>
      <c r="B29" s="1146" t="s">
        <v>1593</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3"/>
      <c r="Q29" s="663" t="str">
        <f t="shared" si="11"/>
        <v>成新率</v>
      </c>
      <c r="R29" s="1284" t="s">
        <v>1493</v>
      </c>
      <c r="S29" s="1285" t="e">
        <f t="shared" si="12"/>
        <v>#N/A</v>
      </c>
      <c r="T29" s="1284" t="s">
        <v>1493</v>
      </c>
      <c r="U29" s="1285" t="e">
        <f t="shared" si="13"/>
        <v>#N/A</v>
      </c>
      <c r="V29" s="1284" t="s">
        <v>1493</v>
      </c>
      <c r="W29" s="1285" t="e">
        <f t="shared" si="14"/>
        <v>#N/A</v>
      </c>
      <c r="X29" s="1278"/>
      <c r="Y29" s="3673"/>
      <c r="Z29" s="1268" t="str">
        <f t="shared" si="15"/>
        <v>成新率</v>
      </c>
      <c r="AA29" s="1295" t="e">
        <f t="shared" si="3"/>
        <v>#N/A</v>
      </c>
      <c r="AB29" s="1295" t="e">
        <f t="shared" si="4"/>
        <v>#N/A</v>
      </c>
      <c r="AC29" s="1295" t="e">
        <f t="shared" si="5"/>
        <v>#N/A</v>
      </c>
    </row>
    <row r="30" spans="1:29" ht="15">
      <c r="A30" s="1550"/>
      <c r="B30" s="1146" t="s">
        <v>1594</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3"/>
      <c r="Q30" s="663" t="str">
        <f t="shared" si="11"/>
        <v>物业等级</v>
      </c>
      <c r="R30" s="1284" t="s">
        <v>1493</v>
      </c>
      <c r="S30" s="1285">
        <f t="shared" si="12"/>
        <v>100</v>
      </c>
      <c r="T30" s="1284" t="s">
        <v>1493</v>
      </c>
      <c r="U30" s="1285">
        <f t="shared" si="13"/>
        <v>100</v>
      </c>
      <c r="V30" s="1284" t="s">
        <v>1493</v>
      </c>
      <c r="W30" s="1285">
        <f t="shared" si="14"/>
        <v>100</v>
      </c>
      <c r="X30" s="1278"/>
      <c r="Y30" s="3673"/>
      <c r="Z30" s="1268" t="str">
        <f t="shared" si="15"/>
        <v>物业等级</v>
      </c>
      <c r="AA30" s="1295">
        <f t="shared" si="3"/>
        <v>1</v>
      </c>
      <c r="AB30" s="1295">
        <f t="shared" si="4"/>
        <v>1</v>
      </c>
      <c r="AC30" s="1295">
        <f t="shared" si="5"/>
        <v>1</v>
      </c>
    </row>
    <row r="31" spans="1:29" s="1068" customFormat="1" ht="15">
      <c r="A31" s="1551"/>
      <c r="B31" s="1146" t="s">
        <v>1595</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3"/>
      <c r="Q31" s="1283" t="str">
        <f t="shared" si="11"/>
        <v>停车位面积</v>
      </c>
      <c r="R31" s="1279" t="s">
        <v>1493</v>
      </c>
      <c r="S31" s="1280" t="e">
        <f t="shared" si="12"/>
        <v>#N/A</v>
      </c>
      <c r="T31" s="1279" t="s">
        <v>1493</v>
      </c>
      <c r="U31" s="1280" t="e">
        <f t="shared" si="13"/>
        <v>#N/A</v>
      </c>
      <c r="V31" s="1279" t="s">
        <v>1493</v>
      </c>
      <c r="W31" s="1280" t="e">
        <f t="shared" si="14"/>
        <v>#N/A</v>
      </c>
      <c r="X31" s="1281"/>
      <c r="Y31" s="3673"/>
      <c r="Z31" s="1294" t="str">
        <f t="shared" si="15"/>
        <v>停车位面积</v>
      </c>
      <c r="AA31" s="1293" t="e">
        <f t="shared" si="3"/>
        <v>#N/A</v>
      </c>
      <c r="AB31" s="1293" t="e">
        <f t="shared" si="4"/>
        <v>#N/A</v>
      </c>
      <c r="AC31" s="1293" t="e">
        <f t="shared" si="5"/>
        <v>#N/A</v>
      </c>
    </row>
    <row r="32" spans="1:29" ht="15">
      <c r="A32" s="1550"/>
      <c r="B32" s="1146" t="s">
        <v>1596</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3" t="s">
        <v>1513</v>
      </c>
      <c r="Q32" s="663" t="str">
        <f t="shared" si="11"/>
        <v>车位类型</v>
      </c>
      <c r="R32" s="1284" t="s">
        <v>1493</v>
      </c>
      <c r="S32" s="1285">
        <f t="shared" si="12"/>
        <v>100</v>
      </c>
      <c r="T32" s="1284" t="s">
        <v>1493</v>
      </c>
      <c r="U32" s="1285">
        <f t="shared" si="13"/>
        <v>100</v>
      </c>
      <c r="V32" s="1284" t="s">
        <v>1493</v>
      </c>
      <c r="W32" s="1285">
        <f t="shared" si="14"/>
        <v>100</v>
      </c>
      <c r="X32" s="1278"/>
      <c r="Y32" s="3673" t="s">
        <v>1513</v>
      </c>
      <c r="Z32" s="1268" t="str">
        <f t="shared" si="15"/>
        <v>车位类型</v>
      </c>
      <c r="AA32" s="1295">
        <f t="shared" si="3"/>
        <v>1</v>
      </c>
      <c r="AB32" s="1295">
        <f t="shared" si="4"/>
        <v>1</v>
      </c>
      <c r="AC32" s="1295">
        <f t="shared" si="5"/>
        <v>1</v>
      </c>
    </row>
    <row r="33" spans="1:29" ht="15">
      <c r="A33" s="1550"/>
      <c r="B33" s="1146" t="s">
        <v>1597</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3"/>
      <c r="Q33" s="663" t="str">
        <f t="shared" si="11"/>
        <v>是否直接入户</v>
      </c>
      <c r="R33" s="1284" t="s">
        <v>1493</v>
      </c>
      <c r="S33" s="1285">
        <f t="shared" si="12"/>
        <v>100</v>
      </c>
      <c r="T33" s="1284" t="s">
        <v>1493</v>
      </c>
      <c r="U33" s="1285">
        <f t="shared" si="13"/>
        <v>100</v>
      </c>
      <c r="V33" s="1284" t="s">
        <v>1493</v>
      </c>
      <c r="W33" s="1285">
        <f t="shared" si="14"/>
        <v>100</v>
      </c>
      <c r="X33" s="1278"/>
      <c r="Y33" s="3673"/>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3"/>
      <c r="Q34" s="663">
        <f t="shared" si="11"/>
        <v>111</v>
      </c>
      <c r="R34" s="1284" t="s">
        <v>1493</v>
      </c>
      <c r="S34" s="1285">
        <f t="shared" si="12"/>
        <v>100</v>
      </c>
      <c r="T34" s="1284" t="s">
        <v>1493</v>
      </c>
      <c r="U34" s="1285">
        <f t="shared" si="13"/>
        <v>100</v>
      </c>
      <c r="V34" s="1284" t="s">
        <v>1493</v>
      </c>
      <c r="W34" s="1285">
        <f t="shared" si="14"/>
        <v>100</v>
      </c>
      <c r="X34" s="1278"/>
      <c r="Y34" s="3673"/>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3"/>
      <c r="Q35" s="1512">
        <f t="shared" si="11"/>
        <v>111</v>
      </c>
      <c r="R35" s="1286" t="s">
        <v>1493</v>
      </c>
      <c r="S35" s="1287">
        <f t="shared" si="12"/>
        <v>100</v>
      </c>
      <c r="T35" s="1286" t="s">
        <v>1493</v>
      </c>
      <c r="U35" s="1287">
        <f t="shared" si="13"/>
        <v>100</v>
      </c>
      <c r="V35" s="1286" t="s">
        <v>1493</v>
      </c>
      <c r="W35" s="1287">
        <f t="shared" si="14"/>
        <v>100</v>
      </c>
      <c r="X35" s="1288"/>
      <c r="Y35" s="3673"/>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3"/>
      <c r="Q36" s="663">
        <f t="shared" si="11"/>
        <v>111</v>
      </c>
      <c r="R36" s="1284" t="s">
        <v>1493</v>
      </c>
      <c r="S36" s="1285">
        <f t="shared" si="12"/>
        <v>100</v>
      </c>
      <c r="T36" s="1284" t="s">
        <v>1493</v>
      </c>
      <c r="U36" s="1285">
        <f t="shared" si="13"/>
        <v>100</v>
      </c>
      <c r="V36" s="1284" t="s">
        <v>1493</v>
      </c>
      <c r="W36" s="1285">
        <f t="shared" si="14"/>
        <v>100</v>
      </c>
      <c r="X36" s="1278"/>
      <c r="Y36" s="3673"/>
      <c r="Z36" s="1268">
        <f t="shared" si="15"/>
        <v>111</v>
      </c>
      <c r="AA36" s="1295">
        <f t="shared" si="3"/>
        <v>1</v>
      </c>
      <c r="AB36" s="1295">
        <f t="shared" si="4"/>
        <v>1</v>
      </c>
      <c r="AC36" s="1295">
        <f t="shared" si="5"/>
        <v>1</v>
      </c>
    </row>
    <row r="37" spans="1:29" ht="15">
      <c r="A37" s="1167" t="s">
        <v>1598</v>
      </c>
      <c r="B37" s="1553" t="s">
        <v>1599</v>
      </c>
      <c r="C37" s="1488" t="s">
        <v>124</v>
      </c>
      <c r="D37" s="1489"/>
      <c r="E37" s="1490"/>
      <c r="F37" s="1491"/>
      <c r="G37" s="1492"/>
      <c r="H37" s="1493"/>
      <c r="I37" s="1490"/>
      <c r="J37" s="1493"/>
      <c r="K37" s="1562"/>
      <c r="L37" s="1260"/>
      <c r="M37" s="1184"/>
      <c r="N37" s="1236"/>
      <c r="O37" s="1184"/>
      <c r="P37" s="3660" t="str">
        <f>A37</f>
        <v>成交单价</v>
      </c>
      <c r="Q37" s="3660"/>
      <c r="R37" s="3661">
        <f>E37</f>
        <v>0</v>
      </c>
      <c r="S37" s="3661"/>
      <c r="T37" s="3661">
        <f>G37</f>
        <v>0</v>
      </c>
      <c r="U37" s="3661"/>
      <c r="V37" s="3661">
        <f>I37</f>
        <v>0</v>
      </c>
      <c r="W37" s="3661"/>
      <c r="X37" s="1224"/>
      <c r="Y37" s="1297"/>
      <c r="Z37" s="1224"/>
      <c r="AA37" s="1224"/>
      <c r="AB37" s="1224"/>
      <c r="AC37" s="1224"/>
    </row>
    <row r="38" spans="1:29" ht="15">
      <c r="A38" s="1175" t="s">
        <v>1525</v>
      </c>
      <c r="B38" s="1494" t="str">
        <f>B37</f>
        <v>元/平方米</v>
      </c>
      <c r="C38" s="1495" t="e">
        <f>R39</f>
        <v>#DIV/0!</v>
      </c>
      <c r="D38" s="1178" t="s">
        <v>1526</v>
      </c>
      <c r="E38" s="1496" t="e">
        <f>R38</f>
        <v>#DIV/0!</v>
      </c>
      <c r="F38" s="1179"/>
      <c r="G38" s="1495" t="e">
        <f>T38</f>
        <v>#DIV/0!</v>
      </c>
      <c r="H38" s="1179"/>
      <c r="I38" s="1496" t="e">
        <f>V38</f>
        <v>#DIV/0!</v>
      </c>
      <c r="J38" s="1179"/>
      <c r="K38" s="1261">
        <f>F38+H38+J38</f>
        <v>0</v>
      </c>
      <c r="L38" s="1260"/>
      <c r="M38" s="1184"/>
      <c r="N38" s="1184"/>
      <c r="O38" s="1184"/>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4"/>
      <c r="Y38" s="1224"/>
      <c r="Z38" s="1224"/>
      <c r="AA38" s="1224"/>
      <c r="AB38" s="1224"/>
      <c r="AC38" s="1224"/>
    </row>
    <row r="39" spans="1:29" ht="15">
      <c r="A39" s="1181" t="s">
        <v>1600</v>
      </c>
      <c r="B39" s="1182"/>
      <c r="C39" s="1497" t="e">
        <f>R39</f>
        <v>#DIV/0!</v>
      </c>
      <c r="D39" s="1497"/>
      <c r="E39" s="1497"/>
      <c r="F39" s="1497"/>
      <c r="G39" s="1497"/>
      <c r="H39" s="1497"/>
      <c r="I39" s="1497"/>
      <c r="J39" s="1497"/>
      <c r="K39" s="1563"/>
      <c r="L39" s="1260"/>
      <c r="M39" s="1184"/>
      <c r="N39" s="1184"/>
      <c r="O39" s="1184"/>
      <c r="P39" s="3662" t="str">
        <f>A39</f>
        <v>估价对象XX用房的比较价值（楼面单价，元/平方米）</v>
      </c>
      <c r="Q39" s="3663"/>
      <c r="R39" s="3707" t="e">
        <f>IF(F1="售价",ROUND(IF(D38="简单平均",AVERAGE(R38:W38),R38*F38+T38*H38+V38*J38),0),ROUND(IF(D38="简单平均",AVERAGE(R38:V38),R38*F38+T38*H38+V38*J38),1))</f>
        <v>#DIV/0!</v>
      </c>
      <c r="S39" s="3707"/>
      <c r="T39" s="3707"/>
      <c r="U39" s="3707"/>
      <c r="V39" s="3707"/>
      <c r="W39" s="370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1528</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1529</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1530</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1531</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1491</v>
      </c>
      <c r="B48" s="1500"/>
      <c r="C48" s="1501" t="str">
        <f>YEAR(C7)&amp;"-"&amp;MONTH(C7)</f>
        <v>2024-5</v>
      </c>
      <c r="D48" s="1502">
        <f>EDATE(C48,-1)</f>
        <v>45383</v>
      </c>
      <c r="E48" s="1502">
        <f t="shared" ref="E48:O48" si="16">EDATE(D48,-1)</f>
        <v>45352</v>
      </c>
      <c r="F48" s="1502">
        <f t="shared" si="16"/>
        <v>45323</v>
      </c>
      <c r="G48" s="1502">
        <f t="shared" si="16"/>
        <v>45292</v>
      </c>
      <c r="H48" s="1502">
        <f t="shared" si="16"/>
        <v>45261</v>
      </c>
      <c r="I48" s="1502">
        <f t="shared" si="16"/>
        <v>45231</v>
      </c>
      <c r="J48" s="1502">
        <f t="shared" si="16"/>
        <v>45200</v>
      </c>
      <c r="K48" s="1502">
        <f t="shared" si="16"/>
        <v>45170</v>
      </c>
      <c r="L48" s="1502">
        <f t="shared" si="16"/>
        <v>45139</v>
      </c>
      <c r="M48" s="1502">
        <f t="shared" si="16"/>
        <v>45108</v>
      </c>
      <c r="N48" s="1502">
        <f t="shared" si="16"/>
        <v>45078</v>
      </c>
      <c r="O48" s="1502">
        <f t="shared" si="16"/>
        <v>45047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1532</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1494</v>
      </c>
      <c r="B51" s="1309"/>
      <c r="C51" s="1310" t="s">
        <v>1533</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1534</v>
      </c>
      <c r="B53" s="1315" t="s">
        <v>1497</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1500</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1502</v>
      </c>
      <c r="B63" s="1315" t="s">
        <v>1505</v>
      </c>
      <c r="C63" s="1336" t="s">
        <v>1535</v>
      </c>
      <c r="D63" s="1336" t="s">
        <v>1536</v>
      </c>
      <c r="E63" s="1336" t="s">
        <v>1537</v>
      </c>
      <c r="F63" s="1336" t="s">
        <v>1538</v>
      </c>
      <c r="G63" s="1336" t="s">
        <v>1539</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1506</v>
      </c>
      <c r="C65" s="1338" t="s">
        <v>1535</v>
      </c>
      <c r="D65" s="1338" t="s">
        <v>1536</v>
      </c>
      <c r="E65" s="1338" t="s">
        <v>1537</v>
      </c>
      <c r="F65" s="1338" t="s">
        <v>1538</v>
      </c>
      <c r="G65" s="1338" t="s">
        <v>1539</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1507</v>
      </c>
      <c r="C67" s="1343" t="s">
        <v>1540</v>
      </c>
      <c r="D67" s="1343" t="s">
        <v>1541</v>
      </c>
      <c r="E67" s="1343" t="s">
        <v>1542</v>
      </c>
      <c r="F67" s="1343" t="s">
        <v>1543</v>
      </c>
      <c r="G67" s="1343" t="s">
        <v>1544</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1508</v>
      </c>
      <c r="C69" s="1338" t="s">
        <v>1535</v>
      </c>
      <c r="D69" s="1338" t="s">
        <v>1536</v>
      </c>
      <c r="E69" s="1338" t="s">
        <v>1537</v>
      </c>
      <c r="F69" s="1338" t="s">
        <v>1538</v>
      </c>
      <c r="G69" s="1338" t="s">
        <v>1539</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1570</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1511</v>
      </c>
      <c r="B79" s="1315" t="s">
        <v>1601</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1592</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1517</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1594</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1596</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1597</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1588</v>
      </c>
      <c r="B1" s="1448" t="s">
        <v>1602</v>
      </c>
      <c r="C1" s="1449" t="s">
        <v>1475</v>
      </c>
      <c r="D1" s="1450"/>
      <c r="E1" s="1451"/>
      <c r="F1" s="1452"/>
      <c r="G1" s="1453" t="s">
        <v>1476</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992</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993</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t="e">
        <f>IF(C2="——",C37,ROUND(B2*10000/D3,0))</f>
        <v>#DIV/0!</v>
      </c>
      <c r="C3" s="1460" t="s">
        <v>1477</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1478</v>
      </c>
      <c r="B4" s="1088"/>
      <c r="C4" s="3645" t="s">
        <v>1479</v>
      </c>
      <c r="D4" s="3646"/>
      <c r="E4" s="3647" t="s">
        <v>1480</v>
      </c>
      <c r="F4" s="3648"/>
      <c r="G4" s="3645" t="s">
        <v>1481</v>
      </c>
      <c r="H4" s="3646"/>
      <c r="I4" s="3645" t="s">
        <v>1482</v>
      </c>
      <c r="J4" s="3646"/>
      <c r="K4" s="123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76" t="s">
        <v>1481</v>
      </c>
      <c r="AC4" s="3675" t="s">
        <v>1482</v>
      </c>
    </row>
    <row r="5" spans="1:29" ht="15">
      <c r="A5" s="1089"/>
      <c r="B5" s="1090"/>
      <c r="C5" s="3649" t="s">
        <v>1485</v>
      </c>
      <c r="D5" s="3650"/>
      <c r="E5" s="3651" t="s">
        <v>1486</v>
      </c>
      <c r="F5" s="3652"/>
      <c r="G5" s="3649" t="s">
        <v>1487</v>
      </c>
      <c r="H5" s="3650"/>
      <c r="I5" s="3649" t="s">
        <v>1488</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1489</v>
      </c>
      <c r="D6" s="3654"/>
      <c r="E6" s="3655" t="s">
        <v>1489</v>
      </c>
      <c r="F6" s="3656"/>
      <c r="G6" s="3653" t="s">
        <v>1489</v>
      </c>
      <c r="H6" s="3654"/>
      <c r="I6" s="3653" t="s">
        <v>1489</v>
      </c>
      <c r="J6" s="3654"/>
      <c r="K6" s="1234" t="s">
        <v>1490</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1491</v>
      </c>
      <c r="B7" s="1094"/>
      <c r="C7" s="1095">
        <f>'数据-取费表'!B2</f>
        <v>45422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7" t="s">
        <v>1492</v>
      </c>
      <c r="Q7" s="3658"/>
      <c r="R7" s="1279" t="s">
        <v>1493</v>
      </c>
      <c r="S7" s="1280">
        <f t="shared" ref="S7:S14" si="0">F7</f>
        <v>0</v>
      </c>
      <c r="T7" s="1279" t="s">
        <v>1493</v>
      </c>
      <c r="U7" s="1280">
        <f t="shared" ref="U7:U14" si="1">H7</f>
        <v>0</v>
      </c>
      <c r="V7" s="1279" t="s">
        <v>1493</v>
      </c>
      <c r="W7" s="1280">
        <f t="shared" ref="W7:W14" si="2">J7</f>
        <v>0</v>
      </c>
      <c r="X7" s="1281"/>
      <c r="Y7" s="3657" t="s">
        <v>1492</v>
      </c>
      <c r="Z7" s="3659"/>
      <c r="AA7" s="1293" t="e">
        <f>D7/F7</f>
        <v>#DIV/0!</v>
      </c>
      <c r="AB7" s="1293" t="e">
        <f>D7/H7</f>
        <v>#DIV/0!</v>
      </c>
      <c r="AC7" s="1293" t="e">
        <f>D7/J7</f>
        <v>#DIV/0!</v>
      </c>
    </row>
    <row r="8" spans="1:29" s="1068" customFormat="1" ht="15">
      <c r="A8" s="1093" t="s">
        <v>1494</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7" t="s">
        <v>1495</v>
      </c>
      <c r="Q8" s="3659"/>
      <c r="R8" s="1279" t="s">
        <v>1493</v>
      </c>
      <c r="S8" s="1280">
        <f t="shared" si="0"/>
        <v>100</v>
      </c>
      <c r="T8" s="1279" t="s">
        <v>1493</v>
      </c>
      <c r="U8" s="1280">
        <f t="shared" si="1"/>
        <v>100</v>
      </c>
      <c r="V8" s="1279" t="s">
        <v>1493</v>
      </c>
      <c r="W8" s="1280">
        <f t="shared" si="2"/>
        <v>100</v>
      </c>
      <c r="X8" s="1281"/>
      <c r="Y8" s="3657" t="s">
        <v>1495</v>
      </c>
      <c r="Z8" s="3659"/>
      <c r="AA8" s="1293">
        <f t="shared" ref="AA8:AA34" si="3">D8/F8</f>
        <v>1</v>
      </c>
      <c r="AB8" s="1293">
        <f t="shared" ref="AB8:AB34" si="4">D8/H8</f>
        <v>1</v>
      </c>
      <c r="AC8" s="1293">
        <f t="shared" ref="AC8:AC34" si="5">D8/J8</f>
        <v>1</v>
      </c>
    </row>
    <row r="9" spans="1:29" s="1068" customFormat="1">
      <c r="A9" s="1101" t="s">
        <v>1496</v>
      </c>
      <c r="B9" s="1102" t="s">
        <v>1497</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0" t="s">
        <v>1498</v>
      </c>
      <c r="Q9" s="1283" t="str">
        <f t="shared" ref="Q9:Q14" si="6">B9</f>
        <v>用途</v>
      </c>
      <c r="R9" s="1279" t="s">
        <v>1493</v>
      </c>
      <c r="S9" s="1280">
        <f t="shared" si="0"/>
        <v>100</v>
      </c>
      <c r="T9" s="1279" t="s">
        <v>1493</v>
      </c>
      <c r="U9" s="1280">
        <f t="shared" si="1"/>
        <v>100</v>
      </c>
      <c r="V9" s="1279" t="s">
        <v>1493</v>
      </c>
      <c r="W9" s="1280">
        <f t="shared" si="2"/>
        <v>100</v>
      </c>
      <c r="X9" s="1281"/>
      <c r="Y9" s="3597" t="s">
        <v>1499</v>
      </c>
      <c r="Z9" s="1294" t="str">
        <f t="shared" ref="Z9:Z14" si="7">Q9</f>
        <v>用途</v>
      </c>
      <c r="AA9" s="1293">
        <f t="shared" si="3"/>
        <v>1</v>
      </c>
      <c r="AB9" s="1293">
        <f t="shared" si="4"/>
        <v>1</v>
      </c>
      <c r="AC9" s="1293">
        <f t="shared" si="5"/>
        <v>1</v>
      </c>
    </row>
    <row r="10" spans="1:29" s="1069" customFormat="1" ht="27">
      <c r="A10" s="1105"/>
      <c r="B10" s="1106" t="s">
        <v>1500</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0"/>
      <c r="Q10" s="1283" t="str">
        <f t="shared" si="6"/>
        <v>土地使用年限（年）</v>
      </c>
      <c r="R10" s="1279" t="s">
        <v>1493</v>
      </c>
      <c r="S10" s="1280">
        <f t="shared" si="0"/>
        <v>100</v>
      </c>
      <c r="T10" s="1279" t="s">
        <v>1493</v>
      </c>
      <c r="U10" s="1280">
        <f t="shared" si="1"/>
        <v>100</v>
      </c>
      <c r="V10" s="1279" t="s">
        <v>1493</v>
      </c>
      <c r="W10" s="1280">
        <f t="shared" si="2"/>
        <v>100</v>
      </c>
      <c r="X10" s="1281"/>
      <c r="Y10" s="3597"/>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0"/>
      <c r="Q11" s="1283">
        <f t="shared" si="6"/>
        <v>111</v>
      </c>
      <c r="R11" s="1279" t="s">
        <v>1493</v>
      </c>
      <c r="S11" s="1280">
        <f t="shared" si="0"/>
        <v>100</v>
      </c>
      <c r="T11" s="1279" t="s">
        <v>1493</v>
      </c>
      <c r="U11" s="1280">
        <f t="shared" si="1"/>
        <v>100</v>
      </c>
      <c r="V11" s="1279" t="s">
        <v>1493</v>
      </c>
      <c r="W11" s="1280">
        <f t="shared" si="2"/>
        <v>100</v>
      </c>
      <c r="X11" s="1281"/>
      <c r="Y11" s="3597"/>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0"/>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0"/>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85.5">
      <c r="A14" s="1123" t="s">
        <v>1502</v>
      </c>
      <c r="B14" s="1416" t="s">
        <v>1505</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1" t="s">
        <v>1504</v>
      </c>
      <c r="Q14" s="663" t="str">
        <f t="shared" si="6"/>
        <v>交通便捷度</v>
      </c>
      <c r="R14" s="1284" t="s">
        <v>1493</v>
      </c>
      <c r="S14" s="1285">
        <f t="shared" si="0"/>
        <v>100</v>
      </c>
      <c r="T14" s="1284" t="s">
        <v>1493</v>
      </c>
      <c r="U14" s="1285">
        <f t="shared" si="1"/>
        <v>100</v>
      </c>
      <c r="V14" s="1284" t="s">
        <v>1493</v>
      </c>
      <c r="W14" s="1285">
        <f t="shared" si="2"/>
        <v>100</v>
      </c>
      <c r="X14" s="1278"/>
      <c r="Y14" s="3671" t="s">
        <v>1504</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2"/>
      <c r="Q15" s="663"/>
      <c r="R15" s="1284"/>
      <c r="S15" s="1285"/>
      <c r="T15" s="1284"/>
      <c r="U15" s="1285"/>
      <c r="V15" s="1284"/>
      <c r="W15" s="1285"/>
      <c r="X15" s="1278"/>
      <c r="Y15" s="3672"/>
      <c r="Z15" s="1268"/>
      <c r="AA15" s="1295">
        <v>1</v>
      </c>
      <c r="AB15" s="1295">
        <v>1</v>
      </c>
      <c r="AC15" s="1295">
        <v>1</v>
      </c>
    </row>
    <row r="16" spans="1:29" ht="42.75">
      <c r="A16" s="1109"/>
      <c r="B16" s="1419" t="s">
        <v>1506</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2"/>
      <c r="Q16" s="663" t="str">
        <f>B16</f>
        <v>公共配套设施</v>
      </c>
      <c r="R16" s="1284" t="s">
        <v>1493</v>
      </c>
      <c r="S16" s="1285">
        <f>F16</f>
        <v>100</v>
      </c>
      <c r="T16" s="1284" t="s">
        <v>1493</v>
      </c>
      <c r="U16" s="1285">
        <f>H16</f>
        <v>100</v>
      </c>
      <c r="V16" s="1284" t="s">
        <v>1493</v>
      </c>
      <c r="W16" s="1285">
        <f>J16</f>
        <v>100</v>
      </c>
      <c r="X16" s="1278"/>
      <c r="Y16" s="3672"/>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2"/>
      <c r="Q17" s="663"/>
      <c r="R17" s="1284"/>
      <c r="S17" s="1285"/>
      <c r="T17" s="1284"/>
      <c r="U17" s="1285"/>
      <c r="V17" s="1284"/>
      <c r="W17" s="1285"/>
      <c r="X17" s="1278"/>
      <c r="Y17" s="3672"/>
      <c r="Z17" s="1268"/>
      <c r="AA17" s="1295">
        <v>1</v>
      </c>
      <c r="AB17" s="1295">
        <v>1</v>
      </c>
      <c r="AC17" s="1295">
        <v>1</v>
      </c>
    </row>
    <row r="18" spans="1:29" ht="28.5">
      <c r="A18" s="1109"/>
      <c r="B18" s="1423" t="s">
        <v>1507</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2"/>
      <c r="Q18" s="663" t="str">
        <f>B18</f>
        <v>基础设施水平</v>
      </c>
      <c r="R18" s="1284" t="s">
        <v>1493</v>
      </c>
      <c r="S18" s="1285">
        <f>F18</f>
        <v>100</v>
      </c>
      <c r="T18" s="1284" t="s">
        <v>1493</v>
      </c>
      <c r="U18" s="1285">
        <f>H18</f>
        <v>100</v>
      </c>
      <c r="V18" s="1284" t="s">
        <v>1493</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2"/>
      <c r="Q19" s="663"/>
      <c r="R19" s="1284"/>
      <c r="S19" s="1285"/>
      <c r="T19" s="1284"/>
      <c r="U19" s="1285"/>
      <c r="V19" s="1284"/>
      <c r="W19" s="1285"/>
      <c r="X19" s="1278"/>
      <c r="Y19" s="3672"/>
      <c r="Z19" s="1268"/>
      <c r="AA19" s="1295">
        <v>1</v>
      </c>
      <c r="AB19" s="1295">
        <v>1</v>
      </c>
      <c r="AC19" s="1295">
        <v>1</v>
      </c>
    </row>
    <row r="20" spans="1:29" ht="57">
      <c r="A20" s="1109"/>
      <c r="B20" s="1419" t="s">
        <v>1508</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2"/>
      <c r="Q20" s="663" t="str">
        <f>B20</f>
        <v>自然及人文环境</v>
      </c>
      <c r="R20" s="1284" t="s">
        <v>1493</v>
      </c>
      <c r="S20" s="1285">
        <f>F20</f>
        <v>100</v>
      </c>
      <c r="T20" s="1284" t="s">
        <v>1493</v>
      </c>
      <c r="U20" s="1285">
        <f>H20</f>
        <v>100</v>
      </c>
      <c r="V20" s="1284" t="s">
        <v>1493</v>
      </c>
      <c r="W20" s="1285">
        <f>J20</f>
        <v>100</v>
      </c>
      <c r="X20" s="1278"/>
      <c r="Y20" s="3672"/>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2"/>
      <c r="Q21" s="663"/>
      <c r="R21" s="1284"/>
      <c r="S21" s="1285"/>
      <c r="T21" s="1284"/>
      <c r="U21" s="1285"/>
      <c r="V21" s="1284"/>
      <c r="W21" s="1285"/>
      <c r="X21" s="1278"/>
      <c r="Y21" s="3672"/>
      <c r="Z21" s="1268"/>
      <c r="AA21" s="1295">
        <v>1</v>
      </c>
      <c r="AB21" s="1295">
        <v>1</v>
      </c>
      <c r="AC21" s="1295">
        <v>1</v>
      </c>
    </row>
    <row r="22" spans="1:29" ht="15">
      <c r="A22" s="1109"/>
      <c r="B22" s="1419" t="s">
        <v>1570</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2"/>
      <c r="Q22" s="663" t="str">
        <f>B22</f>
        <v>楼层</v>
      </c>
      <c r="R22" s="1284" t="s">
        <v>1493</v>
      </c>
      <c r="S22" s="1285">
        <f>F22</f>
        <v>100</v>
      </c>
      <c r="T22" s="1284" t="s">
        <v>1493</v>
      </c>
      <c r="U22" s="1285">
        <f>H22</f>
        <v>100</v>
      </c>
      <c r="V22" s="1284" t="s">
        <v>1493</v>
      </c>
      <c r="W22" s="1285">
        <f>J22</f>
        <v>100</v>
      </c>
      <c r="X22" s="1278"/>
      <c r="Y22" s="3672"/>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2"/>
      <c r="Q23" s="663">
        <f>B23</f>
        <v>111</v>
      </c>
      <c r="R23" s="1284" t="s">
        <v>1493</v>
      </c>
      <c r="S23" s="1285">
        <f>F23</f>
        <v>100</v>
      </c>
      <c r="T23" s="1284" t="s">
        <v>1493</v>
      </c>
      <c r="U23" s="1285">
        <f>H23</f>
        <v>100</v>
      </c>
      <c r="V23" s="1284" t="s">
        <v>1493</v>
      </c>
      <c r="W23" s="1285">
        <f>J23</f>
        <v>100</v>
      </c>
      <c r="X23" s="1278"/>
      <c r="Y23" s="3672"/>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2"/>
      <c r="Q24" s="663">
        <f t="shared" ref="Q24:Q34" si="11">B24</f>
        <v>111</v>
      </c>
      <c r="R24" s="1284" t="s">
        <v>1493</v>
      </c>
      <c r="S24" s="1285">
        <f>F24</f>
        <v>100</v>
      </c>
      <c r="T24" s="1284" t="s">
        <v>1493</v>
      </c>
      <c r="U24" s="1285">
        <f>H24</f>
        <v>100</v>
      </c>
      <c r="V24" s="1284" t="s">
        <v>1493</v>
      </c>
      <c r="W24" s="1285">
        <f>J24</f>
        <v>100</v>
      </c>
      <c r="X24" s="1278"/>
      <c r="Y24" s="3672"/>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2"/>
      <c r="Q25" s="1283">
        <f t="shared" si="11"/>
        <v>111</v>
      </c>
      <c r="R25" s="1279" t="s">
        <v>1493</v>
      </c>
      <c r="S25" s="1280">
        <f>F25</f>
        <v>100</v>
      </c>
      <c r="T25" s="1279" t="s">
        <v>1493</v>
      </c>
      <c r="U25" s="1280">
        <f>H25</f>
        <v>100</v>
      </c>
      <c r="V25" s="1279" t="s">
        <v>1493</v>
      </c>
      <c r="W25" s="1280">
        <f>J25</f>
        <v>100</v>
      </c>
      <c r="X25" s="1281"/>
      <c r="Y25" s="3672"/>
      <c r="Z25" s="1294">
        <f>Q25</f>
        <v>111</v>
      </c>
      <c r="AA25" s="1295">
        <f t="shared" si="3"/>
        <v>1</v>
      </c>
      <c r="AB25" s="1295">
        <f t="shared" si="4"/>
        <v>1</v>
      </c>
      <c r="AC25" s="1295">
        <f t="shared" si="5"/>
        <v>1</v>
      </c>
    </row>
    <row r="26" spans="1:29" ht="28.5">
      <c r="A26" s="1477" t="s">
        <v>1511</v>
      </c>
      <c r="B26" s="1102" t="s">
        <v>1517</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6" t="s">
        <v>1513</v>
      </c>
      <c r="Q26" s="663" t="str">
        <f t="shared" si="11"/>
        <v>公共部分装修</v>
      </c>
      <c r="R26" s="1284" t="s">
        <v>1493</v>
      </c>
      <c r="S26" s="1285">
        <f t="shared" ref="S26:S34" si="12">F26</f>
        <v>100</v>
      </c>
      <c r="T26" s="1284" t="s">
        <v>1493</v>
      </c>
      <c r="U26" s="1285">
        <f t="shared" ref="U26:U34" si="13">H26</f>
        <v>100</v>
      </c>
      <c r="V26" s="1284" t="s">
        <v>1493</v>
      </c>
      <c r="W26" s="1285">
        <f t="shared" ref="W26:W34" si="14">J26</f>
        <v>100</v>
      </c>
      <c r="X26" s="1278"/>
      <c r="Y26" s="3673" t="s">
        <v>1513</v>
      </c>
      <c r="Z26" s="1268" t="str">
        <f t="shared" ref="Z26:Z34" si="15">Q26</f>
        <v>公共部分装修</v>
      </c>
      <c r="AA26" s="1295">
        <f t="shared" si="3"/>
        <v>1</v>
      </c>
      <c r="AB26" s="1295">
        <f t="shared" si="4"/>
        <v>1</v>
      </c>
      <c r="AC26" s="1295">
        <f t="shared" si="5"/>
        <v>1</v>
      </c>
    </row>
    <row r="27" spans="1:29" s="1070" customFormat="1" ht="15">
      <c r="A27" s="1165"/>
      <c r="B27" s="1106" t="s">
        <v>1593</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3"/>
      <c r="Q27" s="1512" t="str">
        <f t="shared" si="11"/>
        <v>成新率</v>
      </c>
      <c r="R27" s="1286" t="s">
        <v>1493</v>
      </c>
      <c r="S27" s="1287" t="e">
        <f t="shared" si="12"/>
        <v>#N/A</v>
      </c>
      <c r="T27" s="1286" t="s">
        <v>1493</v>
      </c>
      <c r="U27" s="1287" t="e">
        <f t="shared" si="13"/>
        <v>#N/A</v>
      </c>
      <c r="V27" s="1286" t="s">
        <v>1493</v>
      </c>
      <c r="W27" s="1287" t="e">
        <f t="shared" si="14"/>
        <v>#N/A</v>
      </c>
      <c r="X27" s="1288"/>
      <c r="Y27" s="3673"/>
      <c r="Z27" s="1296" t="str">
        <f t="shared" si="15"/>
        <v>成新率</v>
      </c>
      <c r="AA27" s="1295" t="e">
        <f t="shared" si="3"/>
        <v>#N/A</v>
      </c>
      <c r="AB27" s="1295" t="e">
        <f t="shared" si="4"/>
        <v>#N/A</v>
      </c>
      <c r="AC27" s="1295" t="e">
        <f t="shared" si="5"/>
        <v>#N/A</v>
      </c>
    </row>
    <row r="28" spans="1:29" ht="15">
      <c r="A28" s="1160"/>
      <c r="B28" s="1106" t="s">
        <v>1594</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3"/>
      <c r="Q28" s="663" t="str">
        <f t="shared" si="11"/>
        <v>物业等级</v>
      </c>
      <c r="R28" s="1284" t="s">
        <v>1493</v>
      </c>
      <c r="S28" s="1285">
        <f t="shared" si="12"/>
        <v>100</v>
      </c>
      <c r="T28" s="1284" t="s">
        <v>1493</v>
      </c>
      <c r="U28" s="1285">
        <f t="shared" si="13"/>
        <v>100</v>
      </c>
      <c r="V28" s="1284" t="s">
        <v>1493</v>
      </c>
      <c r="W28" s="1285">
        <f t="shared" si="14"/>
        <v>100</v>
      </c>
      <c r="X28" s="1278"/>
      <c r="Y28" s="3673"/>
      <c r="Z28" s="1268" t="str">
        <f t="shared" si="15"/>
        <v>物业等级</v>
      </c>
      <c r="AA28" s="1295">
        <f t="shared" si="3"/>
        <v>1</v>
      </c>
      <c r="AB28" s="1295">
        <f t="shared" si="4"/>
        <v>1</v>
      </c>
      <c r="AC28" s="1295">
        <f t="shared" si="5"/>
        <v>1</v>
      </c>
    </row>
    <row r="29" spans="1:29" ht="15">
      <c r="A29" s="1160"/>
      <c r="B29" s="1106" t="s">
        <v>1603</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3"/>
      <c r="Q29" s="663" t="str">
        <f t="shared" si="11"/>
        <v>有无电梯</v>
      </c>
      <c r="R29" s="1284" t="s">
        <v>1493</v>
      </c>
      <c r="S29" s="1285">
        <f t="shared" si="12"/>
        <v>100</v>
      </c>
      <c r="T29" s="1284" t="s">
        <v>1493</v>
      </c>
      <c r="U29" s="1285">
        <f t="shared" si="13"/>
        <v>100</v>
      </c>
      <c r="V29" s="1284" t="s">
        <v>1493</v>
      </c>
      <c r="W29" s="1285">
        <f t="shared" si="14"/>
        <v>100</v>
      </c>
      <c r="X29" s="1278"/>
      <c r="Y29" s="3673"/>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3"/>
      <c r="Q30" s="663" t="str">
        <f t="shared" si="11"/>
        <v>建筑面积</v>
      </c>
      <c r="R30" s="1284" t="s">
        <v>1493</v>
      </c>
      <c r="S30" s="1285" t="e">
        <f t="shared" si="12"/>
        <v>#N/A</v>
      </c>
      <c r="T30" s="1284" t="s">
        <v>1493</v>
      </c>
      <c r="U30" s="1285" t="e">
        <f t="shared" si="13"/>
        <v>#N/A</v>
      </c>
      <c r="V30" s="1284" t="s">
        <v>1493</v>
      </c>
      <c r="W30" s="1285" t="e">
        <f t="shared" si="14"/>
        <v>#N/A</v>
      </c>
      <c r="X30" s="1278"/>
      <c r="Y30" s="3673"/>
      <c r="Z30" s="1268" t="str">
        <f t="shared" si="15"/>
        <v>建筑面积</v>
      </c>
      <c r="AA30" s="1295" t="e">
        <f t="shared" si="3"/>
        <v>#N/A</v>
      </c>
      <c r="AB30" s="1295" t="e">
        <f t="shared" si="4"/>
        <v>#N/A</v>
      </c>
      <c r="AC30" s="1295" t="e">
        <f t="shared" si="5"/>
        <v>#N/A</v>
      </c>
    </row>
    <row r="31" spans="1:29" s="1068" customFormat="1" ht="15">
      <c r="A31" s="1162"/>
      <c r="B31" s="1106" t="s">
        <v>1604</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3"/>
      <c r="Q31" s="1283" t="str">
        <f t="shared" si="11"/>
        <v>是否封闭</v>
      </c>
      <c r="R31" s="1279" t="s">
        <v>1493</v>
      </c>
      <c r="S31" s="1280">
        <f t="shared" si="12"/>
        <v>100</v>
      </c>
      <c r="T31" s="1279" t="s">
        <v>1493</v>
      </c>
      <c r="U31" s="1280">
        <f t="shared" si="13"/>
        <v>100</v>
      </c>
      <c r="V31" s="1279" t="s">
        <v>1493</v>
      </c>
      <c r="W31" s="1280">
        <f t="shared" si="14"/>
        <v>100</v>
      </c>
      <c r="X31" s="1281"/>
      <c r="Y31" s="3673"/>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3" t="s">
        <v>1513</v>
      </c>
      <c r="Q32" s="663">
        <f t="shared" si="11"/>
        <v>111</v>
      </c>
      <c r="R32" s="1284" t="s">
        <v>1493</v>
      </c>
      <c r="S32" s="1285">
        <f t="shared" si="12"/>
        <v>100</v>
      </c>
      <c r="T32" s="1284" t="s">
        <v>1493</v>
      </c>
      <c r="U32" s="1285">
        <f t="shared" si="13"/>
        <v>100</v>
      </c>
      <c r="V32" s="1284" t="s">
        <v>1493</v>
      </c>
      <c r="W32" s="1285">
        <f t="shared" si="14"/>
        <v>100</v>
      </c>
      <c r="X32" s="1278"/>
      <c r="Y32" s="3673" t="s">
        <v>1513</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3"/>
      <c r="Q33" s="663">
        <f t="shared" si="11"/>
        <v>111</v>
      </c>
      <c r="R33" s="1284" t="s">
        <v>1493</v>
      </c>
      <c r="S33" s="1285">
        <f t="shared" si="12"/>
        <v>100</v>
      </c>
      <c r="T33" s="1284" t="s">
        <v>1493</v>
      </c>
      <c r="U33" s="1285">
        <f t="shared" si="13"/>
        <v>100</v>
      </c>
      <c r="V33" s="1284" t="s">
        <v>1493</v>
      </c>
      <c r="W33" s="1285">
        <f t="shared" si="14"/>
        <v>100</v>
      </c>
      <c r="X33" s="1278"/>
      <c r="Y33" s="3673"/>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3"/>
      <c r="Q34" s="663">
        <f t="shared" si="11"/>
        <v>111</v>
      </c>
      <c r="R34" s="1284" t="s">
        <v>1493</v>
      </c>
      <c r="S34" s="1285">
        <f t="shared" si="12"/>
        <v>100</v>
      </c>
      <c r="T34" s="1284" t="s">
        <v>1493</v>
      </c>
      <c r="U34" s="1285">
        <f t="shared" si="13"/>
        <v>100</v>
      </c>
      <c r="V34" s="1284" t="s">
        <v>1493</v>
      </c>
      <c r="W34" s="1285">
        <f t="shared" si="14"/>
        <v>100</v>
      </c>
      <c r="X34" s="1278"/>
      <c r="Y34" s="3673"/>
      <c r="Z34" s="1268">
        <f t="shared" si="15"/>
        <v>111</v>
      </c>
      <c r="AA34" s="1295">
        <f t="shared" si="3"/>
        <v>1</v>
      </c>
      <c r="AB34" s="1295">
        <f t="shared" si="4"/>
        <v>1</v>
      </c>
      <c r="AC34" s="1295">
        <f t="shared" si="5"/>
        <v>1</v>
      </c>
    </row>
    <row r="35" spans="1:30" ht="15">
      <c r="A35" s="1167" t="s">
        <v>1524</v>
      </c>
      <c r="B35" s="1487"/>
      <c r="C35" s="1488" t="s">
        <v>124</v>
      </c>
      <c r="D35" s="1489"/>
      <c r="E35" s="1490"/>
      <c r="F35" s="1491"/>
      <c r="G35" s="1492"/>
      <c r="H35" s="1493"/>
      <c r="I35" s="1490"/>
      <c r="J35" s="1493"/>
      <c r="K35" s="1259"/>
      <c r="L35" s="1260"/>
      <c r="M35" s="1184"/>
      <c r="N35" s="1236"/>
      <c r="O35" s="1184"/>
      <c r="P35" s="3660" t="str">
        <f>A35</f>
        <v>成交单价（元/平方米）</v>
      </c>
      <c r="Q35" s="3660"/>
      <c r="R35" s="3661">
        <f>E35</f>
        <v>0</v>
      </c>
      <c r="S35" s="3661"/>
      <c r="T35" s="3661">
        <f>G35</f>
        <v>0</v>
      </c>
      <c r="U35" s="3661"/>
      <c r="V35" s="3661">
        <f>I35</f>
        <v>0</v>
      </c>
      <c r="W35" s="3661"/>
      <c r="X35" s="1224"/>
      <c r="Y35" s="1297"/>
      <c r="Z35" s="1224"/>
      <c r="AA35" s="1224"/>
      <c r="AB35" s="1224"/>
      <c r="AC35" s="1224"/>
    </row>
    <row r="36" spans="1:30" ht="15">
      <c r="A36" s="1175" t="s">
        <v>1525</v>
      </c>
      <c r="B36" s="1494"/>
      <c r="C36" s="1495" t="e">
        <f>R37</f>
        <v>#DIV/0!</v>
      </c>
      <c r="D36" s="1178" t="s">
        <v>1526</v>
      </c>
      <c r="E36" s="1496" t="e">
        <f>R36</f>
        <v>#DIV/0!</v>
      </c>
      <c r="F36" s="1179"/>
      <c r="G36" s="1495" t="e">
        <f>T36</f>
        <v>#DIV/0!</v>
      </c>
      <c r="H36" s="1179"/>
      <c r="I36" s="1496" t="e">
        <f>V36</f>
        <v>#DIV/0!</v>
      </c>
      <c r="J36" s="1179"/>
      <c r="K36" s="1261">
        <f>F36+H36+J36</f>
        <v>0</v>
      </c>
      <c r="L36" s="1260"/>
      <c r="M36" s="1184"/>
      <c r="N36" s="1236"/>
      <c r="O36" s="1184"/>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4"/>
      <c r="Y36" s="1224"/>
      <c r="Z36" s="1224"/>
      <c r="AA36" s="1224"/>
      <c r="AB36" s="1224"/>
      <c r="AC36" s="1224"/>
    </row>
    <row r="37" spans="1:30" ht="15">
      <c r="A37" s="1181" t="s">
        <v>1527</v>
      </c>
      <c r="B37" s="1182"/>
      <c r="C37" s="1497" t="e">
        <f>R37</f>
        <v>#DIV/0!</v>
      </c>
      <c r="D37" s="1497"/>
      <c r="E37" s="1497"/>
      <c r="F37" s="1497"/>
      <c r="G37" s="1497"/>
      <c r="H37" s="1497"/>
      <c r="I37" s="1497"/>
      <c r="J37" s="1497"/>
      <c r="K37" s="1262"/>
      <c r="L37" s="1260"/>
      <c r="M37" s="1184"/>
      <c r="N37" s="1184"/>
      <c r="O37" s="1184"/>
      <c r="P37" s="3662" t="str">
        <f>A37</f>
        <v>估价对象XX用房的比较价值（楼面单价，元/平方米）</v>
      </c>
      <c r="Q37" s="3663"/>
      <c r="R37" s="3707" t="e">
        <f>IF(F1="售价",ROUND(IF(D36="简单平均",AVERAGE(R36:W36),R36*F36+T36*H36+V36*J36),0),ROUND(IF(D36="简单平均",AVERAGE(R36:V36),R36*F36+T36*H36+V36*J36),1))</f>
        <v>#DIV/0!</v>
      </c>
      <c r="S37" s="3707"/>
      <c r="T37" s="3707"/>
      <c r="U37" s="3707"/>
      <c r="V37" s="3707"/>
      <c r="W37" s="370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1528</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1529</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1530</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1531</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1491</v>
      </c>
      <c r="B46" s="1500"/>
      <c r="C46" s="1501" t="str">
        <f>YEAR(C7)&amp;"-"&amp;MONTH(C7)</f>
        <v>2024-5</v>
      </c>
      <c r="D46" s="1502">
        <f>EDATE(C46,-1)</f>
        <v>45383</v>
      </c>
      <c r="E46" s="1502">
        <f t="shared" ref="E46:O46" si="16">EDATE(D46,-1)</f>
        <v>45352</v>
      </c>
      <c r="F46" s="1502">
        <f t="shared" si="16"/>
        <v>45323</v>
      </c>
      <c r="G46" s="1502">
        <f t="shared" si="16"/>
        <v>45292</v>
      </c>
      <c r="H46" s="1502">
        <f t="shared" si="16"/>
        <v>45261</v>
      </c>
      <c r="I46" s="1502">
        <f t="shared" si="16"/>
        <v>45231</v>
      </c>
      <c r="J46" s="1502">
        <f t="shared" si="16"/>
        <v>45200</v>
      </c>
      <c r="K46" s="1502">
        <f t="shared" si="16"/>
        <v>45170</v>
      </c>
      <c r="L46" s="1502">
        <f t="shared" si="16"/>
        <v>45139</v>
      </c>
      <c r="M46" s="1502">
        <f t="shared" si="16"/>
        <v>45108</v>
      </c>
      <c r="N46" s="1502">
        <f t="shared" si="16"/>
        <v>45078</v>
      </c>
      <c r="O46" s="1502">
        <f t="shared" si="16"/>
        <v>45047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1532</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1494</v>
      </c>
      <c r="B49" s="1309"/>
      <c r="C49" s="1310" t="s">
        <v>1533</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1534</v>
      </c>
      <c r="B51" s="1315" t="s">
        <v>1497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1500</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1502</v>
      </c>
      <c r="B61" s="1315" t="s">
        <v>1505</v>
      </c>
      <c r="C61" s="1336" t="s">
        <v>1535</v>
      </c>
      <c r="D61" s="1336" t="s">
        <v>1536</v>
      </c>
      <c r="E61" s="1336" t="s">
        <v>1537</v>
      </c>
      <c r="F61" s="1336" t="s">
        <v>1538</v>
      </c>
      <c r="G61" s="1336" t="s">
        <v>1539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1605</v>
      </c>
      <c r="C63" s="1338" t="s">
        <v>1535</v>
      </c>
      <c r="D63" s="1338" t="s">
        <v>1536</v>
      </c>
      <c r="E63" s="1338" t="s">
        <v>1537</v>
      </c>
      <c r="F63" s="1338" t="s">
        <v>1538</v>
      </c>
      <c r="G63" s="1338" t="s">
        <v>1539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1507</v>
      </c>
      <c r="C65" s="1343" t="s">
        <v>1540</v>
      </c>
      <c r="D65" s="1343" t="s">
        <v>1541</v>
      </c>
      <c r="E65" s="1343" t="s">
        <v>1542</v>
      </c>
      <c r="F65" s="1343" t="s">
        <v>1543</v>
      </c>
      <c r="G65" s="1343" t="s">
        <v>1544</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1508</v>
      </c>
      <c r="C67" s="1338" t="s">
        <v>1535</v>
      </c>
      <c r="D67" s="1338" t="s">
        <v>1536</v>
      </c>
      <c r="E67" s="1338" t="s">
        <v>1537</v>
      </c>
      <c r="F67" s="1338" t="s">
        <v>1538</v>
      </c>
      <c r="G67" s="1338" t="s">
        <v>1539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1570</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1511</v>
      </c>
      <c r="B77" s="1315" t="s">
        <v>1517</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1594</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1603</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1604</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1606</v>
      </c>
      <c r="B1" s="1078"/>
      <c r="C1" s="1079" t="s">
        <v>1607</v>
      </c>
      <c r="D1" s="1080"/>
      <c r="E1" s="1080"/>
      <c r="F1" s="1081" t="s">
        <v>1476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992</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994</v>
      </c>
      <c r="B3" s="1085" t="e">
        <f>ROUND(IF(D3="",B2*10000/'数据-汇总表'!E3,B2*10000/D3),0)</f>
        <v>#DIV/0!</v>
      </c>
      <c r="C3" s="380" t="s">
        <v>1477</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1478</v>
      </c>
      <c r="B4" s="1088"/>
      <c r="C4" s="3645" t="s">
        <v>1479</v>
      </c>
      <c r="D4" s="3646"/>
      <c r="E4" s="3647" t="s">
        <v>1480</v>
      </c>
      <c r="F4" s="3648"/>
      <c r="G4" s="3645" t="s">
        <v>1481</v>
      </c>
      <c r="H4" s="3646"/>
      <c r="I4" s="3645" t="s">
        <v>1482</v>
      </c>
      <c r="J4" s="3646"/>
      <c r="K4" s="123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76" t="s">
        <v>1481</v>
      </c>
      <c r="AC4" s="3675" t="s">
        <v>1482</v>
      </c>
    </row>
    <row r="5" spans="1:30" ht="15">
      <c r="A5" s="1089"/>
      <c r="B5" s="1090"/>
      <c r="C5" s="3649" t="s">
        <v>1485</v>
      </c>
      <c r="D5" s="3650"/>
      <c r="E5" s="3651" t="s">
        <v>1486</v>
      </c>
      <c r="F5" s="3652"/>
      <c r="G5" s="3649" t="s">
        <v>1487</v>
      </c>
      <c r="H5" s="3650"/>
      <c r="I5" s="3649" t="s">
        <v>1488</v>
      </c>
      <c r="J5" s="3650"/>
      <c r="K5" s="1234"/>
      <c r="L5" s="1235"/>
      <c r="M5" s="1236"/>
      <c r="N5" s="1236"/>
      <c r="O5" s="1236"/>
      <c r="P5" s="3680"/>
      <c r="Q5" s="3681"/>
      <c r="R5" s="3686"/>
      <c r="S5" s="3687"/>
      <c r="T5" s="3686"/>
      <c r="U5" s="3687"/>
      <c r="V5" s="3690"/>
      <c r="W5" s="3690"/>
      <c r="X5" s="1278"/>
      <c r="Y5" s="3686"/>
      <c r="Z5" s="3687"/>
      <c r="AA5" s="3676"/>
      <c r="AB5" s="3676"/>
      <c r="AC5" s="3676"/>
    </row>
    <row r="6" spans="1:30" ht="15">
      <c r="A6" s="1091"/>
      <c r="B6" s="1092"/>
      <c r="C6" s="3653" t="s">
        <v>1489</v>
      </c>
      <c r="D6" s="3654"/>
      <c r="E6" s="3655" t="s">
        <v>1489</v>
      </c>
      <c r="F6" s="3656"/>
      <c r="G6" s="3653" t="s">
        <v>1489</v>
      </c>
      <c r="H6" s="3654"/>
      <c r="I6" s="3653" t="s">
        <v>1489</v>
      </c>
      <c r="J6" s="3654"/>
      <c r="K6" s="1234" t="s">
        <v>1490</v>
      </c>
      <c r="L6" s="1235"/>
      <c r="M6" s="1236"/>
      <c r="N6" s="1236"/>
      <c r="O6" s="1236"/>
      <c r="P6" s="3682"/>
      <c r="Q6" s="3683"/>
      <c r="R6" s="3686"/>
      <c r="S6" s="3687"/>
      <c r="T6" s="3688"/>
      <c r="U6" s="3689"/>
      <c r="V6" s="3690"/>
      <c r="W6" s="3690"/>
      <c r="X6" s="1278"/>
      <c r="Y6" s="3688"/>
      <c r="Z6" s="3689"/>
      <c r="AA6" s="3677"/>
      <c r="AB6" s="3677"/>
      <c r="AC6" s="3677"/>
    </row>
    <row r="7" spans="1:30" s="1068" customFormat="1" ht="15">
      <c r="A7" s="1093" t="s">
        <v>1491</v>
      </c>
      <c r="B7" s="1094"/>
      <c r="C7" s="1095">
        <f>'数据-取费表'!B2</f>
        <v>45422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7"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293" t="e">
        <f>D7/J7</f>
        <v>#DIV/0!</v>
      </c>
    </row>
    <row r="8" spans="1:30" s="1068" customFormat="1" ht="15">
      <c r="A8" s="1093" t="s">
        <v>1494</v>
      </c>
      <c r="B8" s="1094"/>
      <c r="C8" s="1100" t="s">
        <v>1533</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7" t="s">
        <v>1495</v>
      </c>
      <c r="Q8" s="3659"/>
      <c r="R8" s="1279" t="s">
        <v>1493</v>
      </c>
      <c r="S8" s="1280">
        <f t="shared" si="0"/>
        <v>0</v>
      </c>
      <c r="T8" s="1279" t="s">
        <v>1493</v>
      </c>
      <c r="U8" s="1280">
        <f t="shared" si="1"/>
        <v>0</v>
      </c>
      <c r="V8" s="1279" t="s">
        <v>1493</v>
      </c>
      <c r="W8" s="1280">
        <f t="shared" si="2"/>
        <v>0</v>
      </c>
      <c r="X8" s="1281"/>
      <c r="Y8" s="3657" t="s">
        <v>1495</v>
      </c>
      <c r="Z8" s="3659"/>
      <c r="AA8" s="1293" t="e">
        <f t="shared" ref="AA8:AA45" si="3">D8/F8</f>
        <v>#DIV/0!</v>
      </c>
      <c r="AB8" s="1293" t="e">
        <f t="shared" ref="AB8:AB45" si="4">D8/H8</f>
        <v>#DIV/0!</v>
      </c>
      <c r="AC8" s="1293" t="e">
        <f t="shared" ref="AC8:AC45" si="5">D8/J8</f>
        <v>#DIV/0!</v>
      </c>
    </row>
    <row r="9" spans="1:30" s="1068" customFormat="1">
      <c r="A9" s="1101" t="s">
        <v>1496</v>
      </c>
      <c r="B9" s="1102" t="s">
        <v>1497</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0"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293">
        <f t="shared" si="5"/>
        <v>1</v>
      </c>
    </row>
    <row r="10" spans="1:30" s="1069" customFormat="1" ht="27">
      <c r="A10" s="1105"/>
      <c r="B10" s="1106" t="s">
        <v>1500</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60"/>
      <c r="Q10" s="1283" t="str">
        <f t="shared" si="6"/>
        <v>土地使用年限（年）</v>
      </c>
      <c r="R10" s="1279" t="s">
        <v>1493</v>
      </c>
      <c r="S10" s="1280">
        <f t="shared" si="0"/>
        <v>116</v>
      </c>
      <c r="T10" s="1279" t="s">
        <v>1493</v>
      </c>
      <c r="U10" s="1280">
        <f t="shared" si="1"/>
        <v>116</v>
      </c>
      <c r="V10" s="1279" t="s">
        <v>1493</v>
      </c>
      <c r="W10" s="1280">
        <f t="shared" si="2"/>
        <v>116</v>
      </c>
      <c r="X10" s="1281"/>
      <c r="Y10" s="3597"/>
      <c r="Z10" s="1294" t="str">
        <f t="shared" si="7"/>
        <v>土地使用年限（年）</v>
      </c>
      <c r="AA10" s="1293">
        <f t="shared" si="3"/>
        <v>0.86206896551724099</v>
      </c>
      <c r="AB10" s="1293">
        <f t="shared" si="4"/>
        <v>0.86206896551724099</v>
      </c>
      <c r="AC10" s="1293">
        <f t="shared" si="5"/>
        <v>0.86206896551724099</v>
      </c>
    </row>
    <row r="11" spans="1:30" ht="15">
      <c r="A11" s="1109"/>
      <c r="B11" s="1106" t="s">
        <v>1501</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0"/>
      <c r="Q11" s="1283" t="str">
        <f t="shared" si="6"/>
        <v>容积率</v>
      </c>
      <c r="R11" s="1279" t="s">
        <v>1493</v>
      </c>
      <c r="S11" s="1280" t="e">
        <f t="shared" si="0"/>
        <v>#N/A</v>
      </c>
      <c r="T11" s="1279" t="s">
        <v>1493</v>
      </c>
      <c r="U11" s="1280" t="e">
        <f t="shared" si="1"/>
        <v>#N/A</v>
      </c>
      <c r="V11" s="1279" t="s">
        <v>1493</v>
      </c>
      <c r="W11" s="1280" t="e">
        <f t="shared" si="2"/>
        <v>#N/A</v>
      </c>
      <c r="X11" s="1281"/>
      <c r="Y11" s="3597"/>
      <c r="Z11" s="1294" t="str">
        <f t="shared" si="7"/>
        <v>容积率</v>
      </c>
      <c r="AA11" s="1293" t="e">
        <f t="shared" si="3"/>
        <v>#N/A</v>
      </c>
      <c r="AB11" s="1293" t="e">
        <f t="shared" si="4"/>
        <v>#N/A</v>
      </c>
      <c r="AC11" s="1293" t="e">
        <f t="shared" si="5"/>
        <v>#N/A</v>
      </c>
    </row>
    <row r="12" spans="1:30" s="1068" customFormat="1" ht="15">
      <c r="A12" s="1112"/>
      <c r="B12" s="1113" t="s">
        <v>1608</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0"/>
      <c r="Q12" s="1283" t="str">
        <f t="shared" si="6"/>
        <v>配建</v>
      </c>
      <c r="R12" s="1279" t="s">
        <v>1493</v>
      </c>
      <c r="S12" s="1280">
        <f t="shared" si="0"/>
        <v>100</v>
      </c>
      <c r="T12" s="1279" t="s">
        <v>1493</v>
      </c>
      <c r="U12" s="1280">
        <f t="shared" si="1"/>
        <v>100</v>
      </c>
      <c r="V12" s="1279" t="s">
        <v>1493</v>
      </c>
      <c r="W12" s="1280">
        <f t="shared" si="2"/>
        <v>100</v>
      </c>
      <c r="X12" s="1281"/>
      <c r="Y12" s="3597"/>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0"/>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0"/>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293">
        <f t="shared" si="5"/>
        <v>1</v>
      </c>
    </row>
    <row r="15" spans="1:30" ht="99.75">
      <c r="A15" s="1123" t="s">
        <v>1502</v>
      </c>
      <c r="B15" s="1416" t="s">
        <v>1503</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1" t="s">
        <v>1504</v>
      </c>
      <c r="Q15" s="663" t="str">
        <f t="shared" si="6"/>
        <v>居住社区成熟度</v>
      </c>
      <c r="R15" s="1284" t="s">
        <v>1493</v>
      </c>
      <c r="S15" s="1285">
        <f t="shared" si="0"/>
        <v>100</v>
      </c>
      <c r="T15" s="1284" t="s">
        <v>1493</v>
      </c>
      <c r="U15" s="1285">
        <f t="shared" si="1"/>
        <v>100</v>
      </c>
      <c r="V15" s="1284" t="s">
        <v>1493</v>
      </c>
      <c r="W15" s="1285">
        <f t="shared" si="2"/>
        <v>100</v>
      </c>
      <c r="X15" s="1278"/>
      <c r="Y15" s="3671" t="s">
        <v>1504</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71.25">
      <c r="A17" s="1109"/>
      <c r="B17" s="1419" t="s">
        <v>1566</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2"/>
      <c r="Q17" s="663" t="str">
        <f>B17</f>
        <v>商业繁华度</v>
      </c>
      <c r="R17" s="1284" t="s">
        <v>1493</v>
      </c>
      <c r="S17" s="1285">
        <f>F17</f>
        <v>100</v>
      </c>
      <c r="T17" s="1284" t="s">
        <v>1493</v>
      </c>
      <c r="U17" s="1285">
        <f>H17</f>
        <v>100</v>
      </c>
      <c r="V17" s="1284" t="s">
        <v>1493</v>
      </c>
      <c r="W17" s="1285">
        <f>J17</f>
        <v>100</v>
      </c>
      <c r="X17" s="1278"/>
      <c r="Y17" s="3672"/>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71.25">
      <c r="A19" s="1109"/>
      <c r="B19" s="1419" t="s">
        <v>1578</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2"/>
      <c r="Q19" s="663" t="str">
        <f>B19</f>
        <v>办公集聚程度</v>
      </c>
      <c r="R19" s="1284" t="s">
        <v>1493</v>
      </c>
      <c r="S19" s="1285">
        <f>F19</f>
        <v>100</v>
      </c>
      <c r="T19" s="1284" t="s">
        <v>1493</v>
      </c>
      <c r="U19" s="1285">
        <f>H19</f>
        <v>100</v>
      </c>
      <c r="V19" s="1284" t="s">
        <v>1493</v>
      </c>
      <c r="W19" s="1285">
        <f>J19</f>
        <v>100</v>
      </c>
      <c r="X19" s="1278"/>
      <c r="Y19" s="3672"/>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2"/>
      <c r="Q20" s="663"/>
      <c r="R20" s="1284"/>
      <c r="S20" s="1285"/>
      <c r="T20" s="1284"/>
      <c r="U20" s="1285"/>
      <c r="V20" s="1284"/>
      <c r="W20" s="1285"/>
      <c r="X20" s="1278"/>
      <c r="Y20" s="3672"/>
      <c r="Z20" s="1268"/>
      <c r="AA20" s="1295">
        <v>1</v>
      </c>
      <c r="AB20" s="1295">
        <v>1</v>
      </c>
      <c r="AC20" s="1295">
        <v>1</v>
      </c>
    </row>
    <row r="21" spans="1:29" ht="85.5">
      <c r="A21" s="1109"/>
      <c r="B21" s="1419" t="s">
        <v>1505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2"/>
      <c r="Q21" s="663" t="str">
        <f>B21</f>
        <v>交通便捷度</v>
      </c>
      <c r="R21" s="1284" t="s">
        <v>1493</v>
      </c>
      <c r="S21" s="1285">
        <f>F21</f>
        <v>100</v>
      </c>
      <c r="T21" s="1284" t="s">
        <v>1493</v>
      </c>
      <c r="U21" s="1285">
        <f>H21</f>
        <v>100</v>
      </c>
      <c r="V21" s="1284" t="s">
        <v>1493</v>
      </c>
      <c r="W21" s="1285">
        <f>J21</f>
        <v>100</v>
      </c>
      <c r="X21" s="1278"/>
      <c r="Y21" s="3672"/>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ht="15">
      <c r="A23" s="1089"/>
      <c r="B23" s="1419" t="s">
        <v>1609</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2"/>
      <c r="Q23" s="663" t="str">
        <f t="shared" ref="Q23:Q38" si="8">B23</f>
        <v>区域土地利用方向</v>
      </c>
      <c r="R23" s="1284" t="s">
        <v>1493</v>
      </c>
      <c r="S23" s="1285">
        <f>F23</f>
        <v>100</v>
      </c>
      <c r="T23" s="1284" t="s">
        <v>1493</v>
      </c>
      <c r="U23" s="1285">
        <f>H23</f>
        <v>100</v>
      </c>
      <c r="V23" s="1284" t="s">
        <v>1493</v>
      </c>
      <c r="W23" s="1285">
        <f>J23</f>
        <v>100</v>
      </c>
      <c r="X23" s="1278"/>
      <c r="Y23" s="3672"/>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2"/>
      <c r="Q24" s="663"/>
      <c r="R24" s="1284"/>
      <c r="S24" s="1285"/>
      <c r="T24" s="1284"/>
      <c r="U24" s="1285"/>
      <c r="V24" s="1284"/>
      <c r="W24" s="1285"/>
      <c r="X24" s="1278"/>
      <c r="Y24" s="3672"/>
      <c r="Z24" s="1268"/>
      <c r="AA24" s="1295"/>
      <c r="AB24" s="1295"/>
      <c r="AC24" s="1295"/>
    </row>
    <row r="25" spans="1:29" ht="57">
      <c r="A25" s="1089"/>
      <c r="B25" s="1423" t="s">
        <v>1610</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2"/>
      <c r="Q25" s="663" t="str">
        <f t="shared" si="8"/>
        <v>自然及人文环境状况</v>
      </c>
      <c r="R25" s="1284" t="s">
        <v>1493</v>
      </c>
      <c r="S25" s="1285">
        <f>F25</f>
        <v>100</v>
      </c>
      <c r="T25" s="1284" t="s">
        <v>1493</v>
      </c>
      <c r="U25" s="1285">
        <f>H25</f>
        <v>100</v>
      </c>
      <c r="V25" s="1284" t="s">
        <v>1493</v>
      </c>
      <c r="W25" s="1285">
        <f>J25</f>
        <v>100</v>
      </c>
      <c r="X25" s="1278"/>
      <c r="Y25" s="3672"/>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2"/>
      <c r="Q26" s="663"/>
      <c r="R26" s="1284"/>
      <c r="S26" s="1285"/>
      <c r="T26" s="1284"/>
      <c r="U26" s="1285"/>
      <c r="V26" s="1284"/>
      <c r="W26" s="1285"/>
      <c r="X26" s="1278"/>
      <c r="Y26" s="3672"/>
      <c r="Z26" s="1268"/>
      <c r="AA26" s="1295">
        <v>1</v>
      </c>
      <c r="AB26" s="1295">
        <v>1</v>
      </c>
      <c r="AC26" s="1295">
        <v>1</v>
      </c>
    </row>
    <row r="27" spans="1:29" s="1068" customFormat="1" ht="42.75">
      <c r="A27" s="1139"/>
      <c r="B27" s="1423" t="s">
        <v>1506</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2"/>
      <c r="Q27" s="1283" t="str">
        <f t="shared" si="8"/>
        <v>公共配套设施</v>
      </c>
      <c r="R27" s="1279" t="s">
        <v>1493</v>
      </c>
      <c r="S27" s="1280">
        <f>F27</f>
        <v>100</v>
      </c>
      <c r="T27" s="1279" t="s">
        <v>1493</v>
      </c>
      <c r="U27" s="1280">
        <f>H27</f>
        <v>100</v>
      </c>
      <c r="V27" s="1279" t="s">
        <v>1493</v>
      </c>
      <c r="W27" s="1280">
        <f>J27</f>
        <v>100</v>
      </c>
      <c r="X27" s="1281"/>
      <c r="Y27" s="3672"/>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2"/>
      <c r="Q28" s="1283"/>
      <c r="R28" s="1279"/>
      <c r="S28" s="1280"/>
      <c r="T28" s="1279"/>
      <c r="U28" s="1280"/>
      <c r="V28" s="1279"/>
      <c r="W28" s="1280"/>
      <c r="X28" s="1281"/>
      <c r="Y28" s="3672"/>
      <c r="Z28" s="1294"/>
      <c r="AA28" s="1295">
        <v>1</v>
      </c>
      <c r="AB28" s="1295">
        <v>1</v>
      </c>
      <c r="AC28" s="1295">
        <v>1</v>
      </c>
    </row>
    <row r="29" spans="1:29" s="1068" customFormat="1" ht="28.5">
      <c r="A29" s="1139"/>
      <c r="B29" s="1423" t="s">
        <v>1507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2"/>
      <c r="Q29" s="1283" t="str">
        <f t="shared" ref="Q29" si="9">B29</f>
        <v>基础设施水平</v>
      </c>
      <c r="R29" s="1279" t="s">
        <v>1493</v>
      </c>
      <c r="S29" s="1280">
        <f>F29</f>
        <v>100</v>
      </c>
      <c r="T29" s="1279" t="s">
        <v>1493</v>
      </c>
      <c r="U29" s="1280">
        <f>H29</f>
        <v>100</v>
      </c>
      <c r="V29" s="1279" t="s">
        <v>1493</v>
      </c>
      <c r="W29" s="1280">
        <f>J29</f>
        <v>100</v>
      </c>
      <c r="X29" s="1281"/>
      <c r="Y29" s="3672"/>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2"/>
      <c r="Q30" s="1283"/>
      <c r="R30" s="1279"/>
      <c r="S30" s="1280"/>
      <c r="T30" s="1279"/>
      <c r="U30" s="1280"/>
      <c r="V30" s="1279"/>
      <c r="W30" s="1280"/>
      <c r="X30" s="1281"/>
      <c r="Y30" s="3672"/>
      <c r="Z30" s="1294"/>
      <c r="AA30" s="1295">
        <v>1</v>
      </c>
      <c r="AB30" s="1295">
        <v>1</v>
      </c>
      <c r="AC30" s="1295">
        <v>1</v>
      </c>
    </row>
    <row r="31" spans="1:29" ht="15">
      <c r="A31" s="1109"/>
      <c r="B31" s="1157" t="s">
        <v>1567</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2"/>
      <c r="Q31" s="663" t="str">
        <f t="shared" si="8"/>
        <v>临街状况</v>
      </c>
      <c r="R31" s="1284" t="s">
        <v>1493</v>
      </c>
      <c r="S31" s="1285">
        <f t="shared" ref="S31:S45" si="10">F31</f>
        <v>100</v>
      </c>
      <c r="T31" s="1284" t="s">
        <v>1493</v>
      </c>
      <c r="U31" s="1285">
        <f t="shared" ref="U31:U45" si="11">H31</f>
        <v>100</v>
      </c>
      <c r="V31" s="1284" t="s">
        <v>1493</v>
      </c>
      <c r="W31" s="1285">
        <f t="shared" ref="W31:W45" si="12">J31</f>
        <v>100</v>
      </c>
      <c r="X31" s="1278"/>
      <c r="Y31" s="3672"/>
      <c r="Z31" s="1268" t="str">
        <f t="shared" ref="Z31:Z45" si="13">Q31</f>
        <v>临街状况</v>
      </c>
      <c r="AA31" s="1295">
        <f t="shared" si="3"/>
        <v>1</v>
      </c>
      <c r="AB31" s="1295">
        <f t="shared" si="4"/>
        <v>1</v>
      </c>
      <c r="AC31" s="1295">
        <f t="shared" si="5"/>
        <v>1</v>
      </c>
    </row>
    <row r="32" spans="1:29" ht="27">
      <c r="A32" s="1109"/>
      <c r="B32" s="1423" t="s">
        <v>1580</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2"/>
      <c r="Q32" s="663" t="str">
        <f t="shared" si="8"/>
        <v>毗邻道路的类型与等级</v>
      </c>
      <c r="R32" s="1284" t="s">
        <v>1493</v>
      </c>
      <c r="S32" s="1285">
        <f t="shared" si="10"/>
        <v>100</v>
      </c>
      <c r="T32" s="1284" t="s">
        <v>1493</v>
      </c>
      <c r="U32" s="1285">
        <f t="shared" si="11"/>
        <v>100</v>
      </c>
      <c r="V32" s="1284" t="s">
        <v>1493</v>
      </c>
      <c r="W32" s="1285">
        <f t="shared" si="12"/>
        <v>100</v>
      </c>
      <c r="X32" s="1278"/>
      <c r="Y32" s="3672"/>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2"/>
      <c r="Q33" s="663"/>
      <c r="R33" s="1284"/>
      <c r="S33" s="1285"/>
      <c r="T33" s="1284"/>
      <c r="U33" s="1285"/>
      <c r="V33" s="1284"/>
      <c r="W33" s="1285"/>
      <c r="X33" s="1278"/>
      <c r="Y33" s="3672"/>
      <c r="Z33" s="1268"/>
      <c r="AA33" s="1295">
        <v>1</v>
      </c>
      <c r="AB33" s="1295">
        <v>1</v>
      </c>
      <c r="AC33" s="1295">
        <v>1</v>
      </c>
    </row>
    <row r="34" spans="1:29" ht="15">
      <c r="A34" s="1109"/>
      <c r="B34" s="1106" t="s">
        <v>1611</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2"/>
      <c r="Q34" s="663" t="str">
        <f t="shared" si="8"/>
        <v>土地级别</v>
      </c>
      <c r="R34" s="1284" t="s">
        <v>1493</v>
      </c>
      <c r="S34" s="1285">
        <f t="shared" si="10"/>
        <v>100</v>
      </c>
      <c r="T34" s="1284" t="s">
        <v>1493</v>
      </c>
      <c r="U34" s="1285">
        <f t="shared" si="11"/>
        <v>100</v>
      </c>
      <c r="V34" s="1284" t="s">
        <v>1493</v>
      </c>
      <c r="W34" s="1285">
        <f t="shared" si="12"/>
        <v>100</v>
      </c>
      <c r="X34" s="1278"/>
      <c r="Y34" s="3672"/>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2"/>
      <c r="Q35" s="663">
        <f t="shared" si="8"/>
        <v>111</v>
      </c>
      <c r="R35" s="1284" t="s">
        <v>1493</v>
      </c>
      <c r="S35" s="1285">
        <f t="shared" si="10"/>
        <v>100</v>
      </c>
      <c r="T35" s="1284" t="s">
        <v>1493</v>
      </c>
      <c r="U35" s="1285">
        <f t="shared" si="11"/>
        <v>100</v>
      </c>
      <c r="V35" s="1284" t="s">
        <v>1493</v>
      </c>
      <c r="W35" s="1285">
        <f t="shared" si="12"/>
        <v>100</v>
      </c>
      <c r="X35" s="1278"/>
      <c r="Y35" s="3672"/>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6" t="s">
        <v>1513</v>
      </c>
      <c r="Q36" s="663">
        <f t="shared" si="8"/>
        <v>111</v>
      </c>
      <c r="R36" s="1284" t="s">
        <v>1493</v>
      </c>
      <c r="S36" s="1285">
        <f t="shared" si="10"/>
        <v>100</v>
      </c>
      <c r="T36" s="1284" t="s">
        <v>1493</v>
      </c>
      <c r="U36" s="1285">
        <f t="shared" si="11"/>
        <v>100</v>
      </c>
      <c r="V36" s="1284" t="s">
        <v>1493</v>
      </c>
      <c r="W36" s="1285">
        <f t="shared" si="12"/>
        <v>100</v>
      </c>
      <c r="X36" s="1278"/>
      <c r="Y36" s="3673" t="s">
        <v>1513</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3"/>
      <c r="Q37" s="663">
        <f t="shared" si="8"/>
        <v>111</v>
      </c>
      <c r="R37" s="1286" t="s">
        <v>1493</v>
      </c>
      <c r="S37" s="1287">
        <f t="shared" si="10"/>
        <v>100</v>
      </c>
      <c r="T37" s="1286" t="s">
        <v>1493</v>
      </c>
      <c r="U37" s="1287">
        <f t="shared" si="11"/>
        <v>100</v>
      </c>
      <c r="V37" s="1286" t="s">
        <v>1493</v>
      </c>
      <c r="W37" s="1287">
        <f t="shared" si="12"/>
        <v>100</v>
      </c>
      <c r="X37" s="1288"/>
      <c r="Y37" s="3673"/>
      <c r="Z37" s="1296">
        <f t="shared" si="13"/>
        <v>111</v>
      </c>
      <c r="AA37" s="1295">
        <f t="shared" si="3"/>
        <v>1</v>
      </c>
      <c r="AB37" s="1295">
        <f t="shared" si="4"/>
        <v>1</v>
      </c>
      <c r="AC37" s="1295">
        <f t="shared" si="5"/>
        <v>1</v>
      </c>
    </row>
    <row r="38" spans="1:29" ht="15">
      <c r="A38" s="1160" t="s">
        <v>1511</v>
      </c>
      <c r="B38" s="1157" t="s">
        <v>1612</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3"/>
      <c r="Q38" s="663" t="str">
        <f t="shared" si="8"/>
        <v>宗地面积</v>
      </c>
      <c r="R38" s="1284" t="s">
        <v>1493</v>
      </c>
      <c r="S38" s="1285" t="e">
        <f t="shared" si="10"/>
        <v>#N/A</v>
      </c>
      <c r="T38" s="1284" t="s">
        <v>1493</v>
      </c>
      <c r="U38" s="1285" t="e">
        <f t="shared" si="11"/>
        <v>#N/A</v>
      </c>
      <c r="V38" s="1284" t="s">
        <v>1493</v>
      </c>
      <c r="W38" s="1285" t="e">
        <f t="shared" si="12"/>
        <v>#N/A</v>
      </c>
      <c r="X38" s="1278"/>
      <c r="Y38" s="3673"/>
      <c r="Z38" s="1268" t="str">
        <f t="shared" si="13"/>
        <v>宗地面积</v>
      </c>
      <c r="AA38" s="1295" t="e">
        <f t="shared" si="3"/>
        <v>#N/A</v>
      </c>
      <c r="AB38" s="1295" t="e">
        <f t="shared" si="4"/>
        <v>#N/A</v>
      </c>
      <c r="AC38" s="1295" t="e">
        <f t="shared" si="5"/>
        <v>#N/A</v>
      </c>
    </row>
    <row r="39" spans="1:29" ht="15">
      <c r="A39" s="1160"/>
      <c r="B39" s="1106" t="s">
        <v>1613</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3"/>
      <c r="Q39" s="663" t="str">
        <f t="shared" ref="Q39:Q45" si="14">B39</f>
        <v>宗地形状</v>
      </c>
      <c r="R39" s="1284" t="s">
        <v>1493</v>
      </c>
      <c r="S39" s="1285">
        <f t="shared" si="10"/>
        <v>100</v>
      </c>
      <c r="T39" s="1284" t="s">
        <v>1493</v>
      </c>
      <c r="U39" s="1285">
        <f t="shared" si="11"/>
        <v>100</v>
      </c>
      <c r="V39" s="1284" t="s">
        <v>1493</v>
      </c>
      <c r="W39" s="1285">
        <f t="shared" si="12"/>
        <v>100</v>
      </c>
      <c r="X39" s="1278"/>
      <c r="Y39" s="3673"/>
      <c r="Z39" s="1268" t="str">
        <f t="shared" si="13"/>
        <v>宗地形状</v>
      </c>
      <c r="AA39" s="1295">
        <f t="shared" si="3"/>
        <v>1</v>
      </c>
      <c r="AB39" s="1295">
        <f t="shared" si="4"/>
        <v>1</v>
      </c>
      <c r="AC39" s="1295">
        <f t="shared" si="5"/>
        <v>1</v>
      </c>
    </row>
    <row r="40" spans="1:29" ht="15">
      <c r="A40" s="1160"/>
      <c r="B40" s="1106" t="s">
        <v>1614</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3"/>
      <c r="Q40" s="663" t="str">
        <f t="shared" si="14"/>
        <v>临街宽度及深度</v>
      </c>
      <c r="R40" s="1284" t="s">
        <v>1493</v>
      </c>
      <c r="S40" s="1285">
        <f t="shared" si="10"/>
        <v>100</v>
      </c>
      <c r="T40" s="1284" t="s">
        <v>1493</v>
      </c>
      <c r="U40" s="1285">
        <f t="shared" si="11"/>
        <v>100</v>
      </c>
      <c r="V40" s="1284" t="s">
        <v>1493</v>
      </c>
      <c r="W40" s="1285">
        <f t="shared" si="12"/>
        <v>100</v>
      </c>
      <c r="X40" s="1278"/>
      <c r="Y40" s="3673"/>
      <c r="Z40" s="1268" t="str">
        <f t="shared" si="13"/>
        <v>临街宽度及深度</v>
      </c>
      <c r="AA40" s="1295">
        <f t="shared" si="3"/>
        <v>1</v>
      </c>
      <c r="AB40" s="1295">
        <f t="shared" si="4"/>
        <v>1</v>
      </c>
      <c r="AC40" s="1295">
        <f t="shared" si="5"/>
        <v>1</v>
      </c>
    </row>
    <row r="41" spans="1:29" s="1068" customFormat="1" ht="15">
      <c r="A41" s="1162"/>
      <c r="B41" s="1106" t="s">
        <v>1615</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3"/>
      <c r="Q41" s="663" t="str">
        <f t="shared" si="14"/>
        <v>宗地开发程度</v>
      </c>
      <c r="R41" s="1279" t="s">
        <v>1493</v>
      </c>
      <c r="S41" s="1280">
        <f t="shared" si="10"/>
        <v>100</v>
      </c>
      <c r="T41" s="1279" t="s">
        <v>1493</v>
      </c>
      <c r="U41" s="1280">
        <f t="shared" si="11"/>
        <v>100</v>
      </c>
      <c r="V41" s="1279" t="s">
        <v>1493</v>
      </c>
      <c r="W41" s="1280">
        <f t="shared" si="12"/>
        <v>100</v>
      </c>
      <c r="X41" s="1281"/>
      <c r="Y41" s="3673"/>
      <c r="Z41" s="1294" t="str">
        <f t="shared" si="13"/>
        <v>宗地开发程度</v>
      </c>
      <c r="AA41" s="1293">
        <f t="shared" si="3"/>
        <v>1</v>
      </c>
      <c r="AB41" s="1293">
        <f t="shared" si="4"/>
        <v>1</v>
      </c>
      <c r="AC41" s="1293">
        <f t="shared" si="5"/>
        <v>1</v>
      </c>
    </row>
    <row r="42" spans="1:29" ht="15">
      <c r="A42" s="1160"/>
      <c r="B42" s="1106" t="s">
        <v>1616</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3" t="s">
        <v>1513</v>
      </c>
      <c r="Q42" s="663" t="str">
        <f t="shared" si="14"/>
        <v>工程地质条件</v>
      </c>
      <c r="R42" s="1284" t="s">
        <v>1493</v>
      </c>
      <c r="S42" s="1285">
        <f t="shared" si="10"/>
        <v>100</v>
      </c>
      <c r="T42" s="1284" t="s">
        <v>1493</v>
      </c>
      <c r="U42" s="1285">
        <f t="shared" si="11"/>
        <v>100</v>
      </c>
      <c r="V42" s="1284" t="s">
        <v>1493</v>
      </c>
      <c r="W42" s="1285">
        <f t="shared" si="12"/>
        <v>100</v>
      </c>
      <c r="X42" s="1278"/>
      <c r="Y42" s="3673" t="s">
        <v>1513</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3"/>
      <c r="Q43" s="663">
        <f t="shared" si="14"/>
        <v>111</v>
      </c>
      <c r="R43" s="1284" t="s">
        <v>1493</v>
      </c>
      <c r="S43" s="1285">
        <f t="shared" si="10"/>
        <v>100</v>
      </c>
      <c r="T43" s="1284" t="s">
        <v>1493</v>
      </c>
      <c r="U43" s="1285">
        <f t="shared" si="11"/>
        <v>100</v>
      </c>
      <c r="V43" s="1284" t="s">
        <v>1493</v>
      </c>
      <c r="W43" s="1285">
        <f t="shared" si="12"/>
        <v>100</v>
      </c>
      <c r="X43" s="1278"/>
      <c r="Y43" s="3673"/>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3"/>
      <c r="Q44" s="663">
        <f t="shared" si="14"/>
        <v>111</v>
      </c>
      <c r="R44" s="1284" t="s">
        <v>1493</v>
      </c>
      <c r="S44" s="1285">
        <f t="shared" si="10"/>
        <v>100</v>
      </c>
      <c r="T44" s="1284" t="s">
        <v>1493</v>
      </c>
      <c r="U44" s="1285">
        <f t="shared" si="11"/>
        <v>100</v>
      </c>
      <c r="V44" s="1284" t="s">
        <v>1493</v>
      </c>
      <c r="W44" s="1285">
        <f t="shared" si="12"/>
        <v>100</v>
      </c>
      <c r="X44" s="1278"/>
      <c r="Y44" s="3673"/>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3"/>
      <c r="Q45" s="663">
        <f t="shared" si="14"/>
        <v>111</v>
      </c>
      <c r="R45" s="1286" t="s">
        <v>1493</v>
      </c>
      <c r="S45" s="1287">
        <f t="shared" si="10"/>
        <v>100</v>
      </c>
      <c r="T45" s="1286" t="s">
        <v>1493</v>
      </c>
      <c r="U45" s="1287">
        <f t="shared" si="11"/>
        <v>100</v>
      </c>
      <c r="V45" s="1286" t="s">
        <v>1493</v>
      </c>
      <c r="W45" s="1287">
        <f t="shared" si="12"/>
        <v>100</v>
      </c>
      <c r="X45" s="1288"/>
      <c r="Y45" s="3673"/>
      <c r="Z45" s="1296">
        <f t="shared" si="13"/>
        <v>111</v>
      </c>
      <c r="AA45" s="1295">
        <f t="shared" si="3"/>
        <v>1</v>
      </c>
      <c r="AB45" s="1295">
        <f t="shared" si="4"/>
        <v>1</v>
      </c>
      <c r="AC45" s="1295">
        <f t="shared" si="5"/>
        <v>1</v>
      </c>
    </row>
    <row r="46" spans="1:29" ht="15">
      <c r="A46" s="1167" t="s">
        <v>1598</v>
      </c>
      <c r="B46" s="1168" t="s">
        <v>1617</v>
      </c>
      <c r="C46" s="1169" t="s">
        <v>124</v>
      </c>
      <c r="D46" s="1170"/>
      <c r="E46" s="1171"/>
      <c r="F46" s="1172"/>
      <c r="G46" s="1173"/>
      <c r="H46" s="1174"/>
      <c r="I46" s="1171"/>
      <c r="J46" s="1174"/>
      <c r="K46" s="1259"/>
      <c r="L46" s="1260"/>
      <c r="M46" s="1184"/>
      <c r="N46" s="1236"/>
      <c r="O46" s="1184"/>
      <c r="P46" s="3660" t="str">
        <f>A46</f>
        <v>成交单价</v>
      </c>
      <c r="Q46" s="3660"/>
      <c r="R46" s="3690">
        <f>E46</f>
        <v>0</v>
      </c>
      <c r="S46" s="3690"/>
      <c r="T46" s="3690">
        <f>G46</f>
        <v>0</v>
      </c>
      <c r="U46" s="3690"/>
      <c r="V46" s="3690">
        <f>I46</f>
        <v>0</v>
      </c>
      <c r="W46" s="3690"/>
      <c r="X46" s="1224"/>
      <c r="Y46" s="1297"/>
      <c r="Z46" s="1224"/>
      <c r="AA46" s="1224"/>
      <c r="AB46" s="1224"/>
      <c r="AC46" s="1224"/>
    </row>
    <row r="47" spans="1:29" ht="15">
      <c r="A47" s="1175" t="s">
        <v>1525</v>
      </c>
      <c r="B47" s="1176"/>
      <c r="C47" s="1177" t="e">
        <f>R48</f>
        <v>#DIV/0!</v>
      </c>
      <c r="D47" s="1178" t="s">
        <v>1526</v>
      </c>
      <c r="E47" s="1177" t="e">
        <f>R47</f>
        <v>#DIV/0!</v>
      </c>
      <c r="F47" s="1179"/>
      <c r="G47" s="1180" t="e">
        <f>T47</f>
        <v>#DIV/0!</v>
      </c>
      <c r="H47" s="1179"/>
      <c r="I47" s="1177" t="e">
        <f>V47</f>
        <v>#DIV/0!</v>
      </c>
      <c r="J47" s="1179"/>
      <c r="K47" s="1261">
        <f>F47+H47+J47</f>
        <v>0</v>
      </c>
      <c r="L47" s="1260"/>
      <c r="M47" s="1184"/>
      <c r="N47" s="1184"/>
      <c r="O47" s="1184"/>
      <c r="P47" s="3660" t="str">
        <f>A47</f>
        <v>比较价值（元/平方米）</v>
      </c>
      <c r="Q47" s="3660"/>
      <c r="R47" s="3708" t="e">
        <f>ROUND(PRODUCT(R46,AA7:AA45),0)</f>
        <v>#DIV/0!</v>
      </c>
      <c r="S47" s="3708"/>
      <c r="T47" s="3708" t="e">
        <f>ROUND(PRODUCT(T46,AB7:AB45),0)</f>
        <v>#DIV/0!</v>
      </c>
      <c r="U47" s="3708"/>
      <c r="V47" s="3708" t="e">
        <f>ROUND(PRODUCT(V46,AC7:AC45),0)</f>
        <v>#DIV/0!</v>
      </c>
      <c r="W47" s="3708"/>
      <c r="X47" s="1224"/>
      <c r="Y47" s="1224"/>
      <c r="Z47" s="1224"/>
      <c r="AA47" s="1224"/>
      <c r="AB47" s="1224"/>
      <c r="AC47" s="1224"/>
    </row>
    <row r="48" spans="1:29" ht="15">
      <c r="A48" s="1181" t="s">
        <v>1618</v>
      </c>
      <c r="B48" s="1182"/>
      <c r="C48" s="1183" t="e">
        <f>R48</f>
        <v>#DIV/0!</v>
      </c>
      <c r="D48" s="1183"/>
      <c r="E48" s="1183"/>
      <c r="F48" s="1183"/>
      <c r="G48" s="1183"/>
      <c r="H48" s="1183"/>
      <c r="I48" s="1183"/>
      <c r="J48" s="1183"/>
      <c r="K48" s="1262"/>
      <c r="L48" s="1260"/>
      <c r="M48" s="1184"/>
      <c r="N48" s="1184"/>
      <c r="O48" s="1184"/>
      <c r="P48" s="3662" t="str">
        <f>A48</f>
        <v>估价对象XX用房的比较价值（楼面单价，元/平方米）</v>
      </c>
      <c r="Q48" s="3663"/>
      <c r="R48" s="3709" t="e">
        <f>ROUND(IF(D47="简单平均",AVERAGE(R47:W47),R47*F47+T47*H47+V47*J47),0)</f>
        <v>#DIV/0!</v>
      </c>
      <c r="S48" s="3709"/>
      <c r="T48" s="3709"/>
      <c r="U48" s="3709"/>
      <c r="V48" s="3709"/>
      <c r="W48" s="370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1528</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1529</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1530</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1619</v>
      </c>
      <c r="B55" s="1194" t="s">
        <v>1620</v>
      </c>
      <c r="C55" s="1195" t="s">
        <v>1621</v>
      </c>
      <c r="D55" s="1196" t="s">
        <v>1622</v>
      </c>
      <c r="E55" s="1197" t="s">
        <v>1623</v>
      </c>
      <c r="F55" s="1427" t="s">
        <v>1624</v>
      </c>
      <c r="G55" s="3645" t="s">
        <v>1625</v>
      </c>
      <c r="H55" s="3710"/>
      <c r="I55" s="1431" t="s">
        <v>1626</v>
      </c>
      <c r="J55" s="1432">
        <f>项目基本情况!F35</f>
        <v>0</v>
      </c>
      <c r="K55" s="1269" t="s">
        <v>1627</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1628</v>
      </c>
      <c r="B56" s="1200" t="e">
        <f>C48</f>
        <v>#DIV/0!</v>
      </c>
      <c r="C56" s="1201">
        <v>1</v>
      </c>
      <c r="D56" s="1202">
        <v>1</v>
      </c>
      <c r="E56" s="1201">
        <f>'数据-汇总表'!E8+'数据-汇总表'!E9</f>
        <v>2162.2800000000002</v>
      </c>
      <c r="F56" s="1428" t="e">
        <f t="shared" ref="F56:F64" si="15">ROUND(B56*E56/10000,0)</f>
        <v>#DIV/0!</v>
      </c>
      <c r="G56" s="3665"/>
      <c r="H56" s="366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1629</v>
      </c>
      <c r="B57" s="394" t="e">
        <f>ROUND($C$48*C57*D57,0)</f>
        <v>#DIV/0!</v>
      </c>
      <c r="C57" s="581">
        <f t="shared" ref="C57:C64" si="16">IF($C$55="北京市系数",I57,J57)</f>
        <v>0</v>
      </c>
      <c r="D57" s="1205">
        <v>0.25</v>
      </c>
      <c r="E57" s="1206"/>
      <c r="F57" s="1428" t="e">
        <f t="shared" si="15"/>
        <v>#DIV/0!</v>
      </c>
      <c r="G57" s="1207" t="s">
        <v>1630</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1631</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1632</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1633</v>
      </c>
      <c r="B60" s="394" t="e">
        <f t="shared" si="17"/>
        <v>#DIV/0!</v>
      </c>
      <c r="C60" s="581">
        <f t="shared" si="16"/>
        <v>0</v>
      </c>
      <c r="D60" s="1205">
        <v>0.25</v>
      </c>
      <c r="E60" s="393">
        <f>'数据-汇总表'!E11</f>
        <v>0</v>
      </c>
      <c r="F60" s="1428" t="e">
        <f t="shared" si="15"/>
        <v>#DIV/0!</v>
      </c>
      <c r="G60" s="1211" t="s">
        <v>1634</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1635</v>
      </c>
      <c r="B61" s="394" t="e">
        <f t="shared" si="17"/>
        <v>#DIV/0!</v>
      </c>
      <c r="C61" s="581">
        <f t="shared" si="16"/>
        <v>0</v>
      </c>
      <c r="D61" s="1205">
        <v>0.25</v>
      </c>
      <c r="E61" s="393">
        <f>'数据-汇总表'!E12</f>
        <v>0</v>
      </c>
      <c r="F61" s="1428" t="e">
        <f t="shared" si="15"/>
        <v>#DIV/0!</v>
      </c>
      <c r="G61" s="1212" t="s">
        <v>1636</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1637</v>
      </c>
      <c r="B62" s="394" t="e">
        <f t="shared" si="17"/>
        <v>#DIV/0!</v>
      </c>
      <c r="C62" s="581">
        <f t="shared" si="16"/>
        <v>0</v>
      </c>
      <c r="D62" s="1205">
        <v>0.25</v>
      </c>
      <c r="E62" s="393">
        <f>'数据-汇总表'!E13</f>
        <v>0</v>
      </c>
      <c r="F62" s="1428" t="e">
        <f t="shared" si="15"/>
        <v>#DIV/0!</v>
      </c>
      <c r="G62" s="1212" t="s">
        <v>1638</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1639</v>
      </c>
      <c r="B63" s="394" t="e">
        <f t="shared" si="17"/>
        <v>#DIV/0!</v>
      </c>
      <c r="C63" s="581">
        <f t="shared" si="16"/>
        <v>0</v>
      </c>
      <c r="D63" s="1205">
        <v>0.25</v>
      </c>
      <c r="E63" s="393">
        <f>'数据-汇总表'!E14</f>
        <v>0</v>
      </c>
      <c r="F63" s="1428" t="e">
        <f t="shared" si="15"/>
        <v>#DIV/0!</v>
      </c>
      <c r="G63" s="1211" t="s">
        <v>1630</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1640</v>
      </c>
      <c r="B64" s="394" t="e">
        <f t="shared" si="17"/>
        <v>#DIV/0!</v>
      </c>
      <c r="C64" s="581">
        <f t="shared" si="16"/>
        <v>0</v>
      </c>
      <c r="D64" s="1205">
        <v>0.25</v>
      </c>
      <c r="E64" s="393">
        <f>'数据-汇总表'!E15</f>
        <v>0</v>
      </c>
      <c r="F64" s="1428" t="e">
        <f t="shared" si="15"/>
        <v>#DIV/0!</v>
      </c>
      <c r="G64" s="1213" t="s">
        <v>1634</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1641</v>
      </c>
      <c r="B65" s="1216" t="s">
        <v>1642</v>
      </c>
      <c r="C65" s="1216" t="s">
        <v>1642</v>
      </c>
      <c r="D65" s="1216" t="s">
        <v>1642</v>
      </c>
      <c r="E65" s="1216">
        <f>IF(B46="楼面地价",SUM(E56:E64),'数据-汇总表'!D3)</f>
        <v>2162.2800000000002</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2024-5-1</v>
      </c>
      <c r="D67" s="1222">
        <f>EDATE(C67,-3)</f>
        <v>45323</v>
      </c>
      <c r="E67" s="1222">
        <f>EDATE(D67,-3)</f>
        <v>45231</v>
      </c>
      <c r="F67" s="1222">
        <f t="shared" ref="F67:O67" si="18">EDATE(E67,-3)</f>
        <v>45139</v>
      </c>
      <c r="G67" s="1222">
        <f t="shared" si="18"/>
        <v>45047</v>
      </c>
      <c r="H67" s="1222">
        <f t="shared" si="18"/>
        <v>44958</v>
      </c>
      <c r="I67" s="1222">
        <f t="shared" si="18"/>
        <v>44866</v>
      </c>
      <c r="J67" s="1222">
        <f t="shared" si="18"/>
        <v>44774</v>
      </c>
      <c r="K67" s="1222">
        <f t="shared" si="18"/>
        <v>44682</v>
      </c>
      <c r="L67" s="1222">
        <f t="shared" si="18"/>
        <v>44593</v>
      </c>
      <c r="M67" s="1222">
        <f t="shared" si="18"/>
        <v>44501</v>
      </c>
      <c r="N67" s="1222">
        <f t="shared" si="18"/>
        <v>44409</v>
      </c>
      <c r="O67" s="1222">
        <f t="shared" si="18"/>
        <v>44317</v>
      </c>
      <c r="P67" s="1184"/>
      <c r="Q67" s="1184"/>
      <c r="R67" s="1184"/>
      <c r="S67" s="1184"/>
      <c r="T67" s="1184"/>
      <c r="U67" s="1184"/>
      <c r="V67" s="1184"/>
      <c r="W67" s="1184"/>
      <c r="X67" s="1184"/>
      <c r="Y67" s="1184"/>
      <c r="Z67" s="1184"/>
      <c r="AA67" s="1184"/>
      <c r="AB67" s="1184"/>
      <c r="AC67" s="1184"/>
    </row>
    <row r="68" spans="1:29" ht="21">
      <c r="A68" s="1223" t="s">
        <v>1531</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1643</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1644</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1532</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1494</v>
      </c>
      <c r="B72" s="1309"/>
      <c r="C72" s="1310" t="s">
        <v>1533</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1534</v>
      </c>
      <c r="B74" s="1315" t="s">
        <v>1497</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1500</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1501</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1502</v>
      </c>
      <c r="B87" s="1315" t="s">
        <v>1503</v>
      </c>
      <c r="C87" s="1336" t="s">
        <v>1535</v>
      </c>
      <c r="D87" s="1336" t="s">
        <v>1536</v>
      </c>
      <c r="E87" s="1336" t="s">
        <v>1537</v>
      </c>
      <c r="F87" s="1336" t="s">
        <v>1538</v>
      </c>
      <c r="G87" s="1336" t="s">
        <v>1539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1566</v>
      </c>
      <c r="C89" s="1338" t="s">
        <v>1535</v>
      </c>
      <c r="D89" s="1338" t="s">
        <v>1536</v>
      </c>
      <c r="E89" s="1338" t="s">
        <v>1537</v>
      </c>
      <c r="F89" s="1338" t="s">
        <v>1538</v>
      </c>
      <c r="G89" s="1338" t="s">
        <v>1539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1578</v>
      </c>
      <c r="C91" s="1338" t="s">
        <v>1535</v>
      </c>
      <c r="D91" s="1338" t="s">
        <v>1536</v>
      </c>
      <c r="E91" s="1338" t="s">
        <v>1537</v>
      </c>
      <c r="F91" s="1338" t="s">
        <v>1538</v>
      </c>
      <c r="G91" s="1338" t="s">
        <v>1539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1505</v>
      </c>
      <c r="C93" s="1338" t="s">
        <v>1535</v>
      </c>
      <c r="D93" s="1338" t="s">
        <v>1536</v>
      </c>
      <c r="E93" s="1338" t="s">
        <v>1537</v>
      </c>
      <c r="F93" s="1338" t="s">
        <v>1538</v>
      </c>
      <c r="G93" s="1338" t="s">
        <v>1539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1609</v>
      </c>
      <c r="C95" s="1338" t="s">
        <v>1535</v>
      </c>
      <c r="D95" s="1338" t="s">
        <v>1536</v>
      </c>
      <c r="E95" s="1338" t="s">
        <v>1537</v>
      </c>
      <c r="F95" s="1338" t="s">
        <v>1538</v>
      </c>
      <c r="G95" s="1338" t="s">
        <v>1539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1610</v>
      </c>
      <c r="C97" s="1336" t="s">
        <v>1535</v>
      </c>
      <c r="D97" s="1336" t="s">
        <v>1536</v>
      </c>
      <c r="E97" s="1336" t="s">
        <v>1537</v>
      </c>
      <c r="F97" s="1336" t="s">
        <v>1538</v>
      </c>
      <c r="G97" s="1336" t="s">
        <v>1539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1506</v>
      </c>
      <c r="C99" s="1336" t="s">
        <v>1535</v>
      </c>
      <c r="D99" s="1336" t="s">
        <v>1536</v>
      </c>
      <c r="E99" s="1336" t="s">
        <v>1537</v>
      </c>
      <c r="F99" s="1336" t="s">
        <v>1538</v>
      </c>
      <c r="G99" s="1336" t="s">
        <v>1539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1507</v>
      </c>
      <c r="C101" s="1343" t="s">
        <v>1540</v>
      </c>
      <c r="D101" s="1343" t="s">
        <v>1541</v>
      </c>
      <c r="E101" s="1343" t="s">
        <v>1542</v>
      </c>
      <c r="F101" s="1343" t="s">
        <v>1543</v>
      </c>
      <c r="G101" s="1343" t="s">
        <v>1544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1645</v>
      </c>
      <c r="D103" s="1320" t="s">
        <v>1646</v>
      </c>
      <c r="E103" s="1320" t="s">
        <v>1647</v>
      </c>
      <c r="F103" s="1320" t="s">
        <v>1648</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1580</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1611</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1511</v>
      </c>
      <c r="B115" s="1315" t="s">
        <v>1612</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1613</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1614</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1615</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1616</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1606</v>
      </c>
      <c r="B1" s="1078"/>
      <c r="C1" s="1079" t="s">
        <v>1584</v>
      </c>
      <c r="D1" s="1080"/>
      <c r="E1" s="1080"/>
      <c r="F1" s="1081" t="s">
        <v>1476</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992</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994</v>
      </c>
      <c r="B3" s="1085" t="e">
        <f>ROUND(IF(D3="",B2*10000/'数据-汇总表'!E3,B2*10000/D3),0)</f>
        <v>#DIV/0!</v>
      </c>
      <c r="C3" s="380" t="s">
        <v>1477</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1478</v>
      </c>
      <c r="B4" s="1088"/>
      <c r="C4" s="3645" t="s">
        <v>1479</v>
      </c>
      <c r="D4" s="3646"/>
      <c r="E4" s="3647" t="s">
        <v>1480</v>
      </c>
      <c r="F4" s="3648"/>
      <c r="G4" s="3645" t="s">
        <v>1481</v>
      </c>
      <c r="H4" s="3646"/>
      <c r="I4" s="3645" t="s">
        <v>1482</v>
      </c>
      <c r="J4" s="3646"/>
      <c r="K4" s="1234" t="s">
        <v>1483</v>
      </c>
      <c r="L4" s="1235"/>
      <c r="M4" s="1236"/>
      <c r="N4" s="1236"/>
      <c r="O4" s="1236"/>
      <c r="P4" s="3678" t="s">
        <v>1484</v>
      </c>
      <c r="Q4" s="3679"/>
      <c r="R4" s="3684" t="s">
        <v>1480</v>
      </c>
      <c r="S4" s="3685"/>
      <c r="T4" s="3684" t="s">
        <v>1481</v>
      </c>
      <c r="U4" s="3685"/>
      <c r="V4" s="3690" t="s">
        <v>1482</v>
      </c>
      <c r="W4" s="3690"/>
      <c r="X4" s="1278"/>
      <c r="Y4" s="3684" t="s">
        <v>1484</v>
      </c>
      <c r="Z4" s="3685"/>
      <c r="AA4" s="3675" t="s">
        <v>1480</v>
      </c>
      <c r="AB4" s="3676" t="s">
        <v>1481</v>
      </c>
      <c r="AC4" s="3675" t="s">
        <v>1482</v>
      </c>
    </row>
    <row r="5" spans="1:29" ht="15">
      <c r="A5" s="1089"/>
      <c r="B5" s="1090"/>
      <c r="C5" s="3649" t="s">
        <v>1485</v>
      </c>
      <c r="D5" s="3650"/>
      <c r="E5" s="3651" t="s">
        <v>1486</v>
      </c>
      <c r="F5" s="3652"/>
      <c r="G5" s="3649" t="s">
        <v>1487</v>
      </c>
      <c r="H5" s="3650"/>
      <c r="I5" s="3649" t="s">
        <v>1488</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711" t="s">
        <v>1649</v>
      </c>
      <c r="D6" s="3712"/>
      <c r="E6" s="3713" t="s">
        <v>1649</v>
      </c>
      <c r="F6" s="3714"/>
      <c r="G6" s="3711" t="s">
        <v>1649</v>
      </c>
      <c r="H6" s="3712"/>
      <c r="I6" s="3711" t="s">
        <v>1649</v>
      </c>
      <c r="J6" s="3712"/>
      <c r="K6" s="1234" t="s">
        <v>1490</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1491</v>
      </c>
      <c r="B7" s="1094"/>
      <c r="C7" s="1095">
        <f>'数据-取费表'!B2</f>
        <v>45422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7" t="s">
        <v>1492</v>
      </c>
      <c r="Q7" s="3658"/>
      <c r="R7" s="1279" t="s">
        <v>1493</v>
      </c>
      <c r="S7" s="1280">
        <f t="shared" ref="S7:S15" si="0">F7</f>
        <v>0</v>
      </c>
      <c r="T7" s="1279" t="s">
        <v>1493</v>
      </c>
      <c r="U7" s="1280">
        <f t="shared" ref="U7:U15" si="1">H7</f>
        <v>0</v>
      </c>
      <c r="V7" s="1279" t="s">
        <v>1493</v>
      </c>
      <c r="W7" s="1280">
        <f t="shared" ref="W7:W15" si="2">J7</f>
        <v>0</v>
      </c>
      <c r="X7" s="1281"/>
      <c r="Y7" s="3657" t="s">
        <v>1492</v>
      </c>
      <c r="Z7" s="3659"/>
      <c r="AA7" s="1293" t="e">
        <f>D7/F7</f>
        <v>#DIV/0!</v>
      </c>
      <c r="AB7" s="1293" t="e">
        <f>D7/H7</f>
        <v>#DIV/0!</v>
      </c>
      <c r="AC7" s="1293" t="e">
        <f>D7/J7</f>
        <v>#DIV/0!</v>
      </c>
    </row>
    <row r="8" spans="1:29" s="1068" customFormat="1" ht="15">
      <c r="A8" s="1093" t="s">
        <v>1494</v>
      </c>
      <c r="B8" s="1094"/>
      <c r="C8" s="1100" t="s">
        <v>1533</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7" t="s">
        <v>1495</v>
      </c>
      <c r="Q8" s="3659"/>
      <c r="R8" s="1279" t="s">
        <v>1493</v>
      </c>
      <c r="S8" s="1280">
        <f t="shared" si="0"/>
        <v>0</v>
      </c>
      <c r="T8" s="1279" t="s">
        <v>1493</v>
      </c>
      <c r="U8" s="1280">
        <f t="shared" si="1"/>
        <v>0</v>
      </c>
      <c r="V8" s="1279" t="s">
        <v>1493</v>
      </c>
      <c r="W8" s="1280">
        <f t="shared" si="2"/>
        <v>0</v>
      </c>
      <c r="X8" s="1281"/>
      <c r="Y8" s="3657" t="s">
        <v>1495</v>
      </c>
      <c r="Z8" s="3659"/>
      <c r="AA8" s="1293" t="e">
        <f t="shared" ref="AA8:AA40" si="3">D8/F8</f>
        <v>#DIV/0!</v>
      </c>
      <c r="AB8" s="1293" t="e">
        <f t="shared" ref="AB8:AB40" si="4">D8/H8</f>
        <v>#DIV/0!</v>
      </c>
      <c r="AC8" s="1293" t="e">
        <f t="shared" ref="AC8:AC40" si="5">D8/J8</f>
        <v>#DIV/0!</v>
      </c>
    </row>
    <row r="9" spans="1:29" s="1068" customFormat="1">
      <c r="A9" s="1101" t="s">
        <v>1496</v>
      </c>
      <c r="B9" s="1102" t="s">
        <v>1497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0" t="s">
        <v>1498</v>
      </c>
      <c r="Q9" s="1283" t="str">
        <f t="shared" ref="Q9:Q15" si="6">B9</f>
        <v>用途</v>
      </c>
      <c r="R9" s="1279" t="s">
        <v>1493</v>
      </c>
      <c r="S9" s="1280">
        <f t="shared" si="0"/>
        <v>100</v>
      </c>
      <c r="T9" s="1279" t="s">
        <v>1493</v>
      </c>
      <c r="U9" s="1280">
        <f t="shared" si="1"/>
        <v>100</v>
      </c>
      <c r="V9" s="1279" t="s">
        <v>1493</v>
      </c>
      <c r="W9" s="1280">
        <f t="shared" si="2"/>
        <v>100</v>
      </c>
      <c r="X9" s="1281"/>
      <c r="Y9" s="3597" t="s">
        <v>1499</v>
      </c>
      <c r="Z9" s="1294" t="str">
        <f t="shared" ref="Z9:Z15" si="7">Q9</f>
        <v>用途</v>
      </c>
      <c r="AA9" s="1293">
        <f t="shared" si="3"/>
        <v>1</v>
      </c>
      <c r="AB9" s="1293">
        <f t="shared" si="4"/>
        <v>1</v>
      </c>
      <c r="AC9" s="1293">
        <f t="shared" si="5"/>
        <v>1</v>
      </c>
    </row>
    <row r="10" spans="1:29" s="1069" customFormat="1" ht="27">
      <c r="A10" s="1105"/>
      <c r="B10" s="1106" t="s">
        <v>1500</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60"/>
      <c r="Q10" s="1283" t="str">
        <f t="shared" si="6"/>
        <v>土地使用年限（年）</v>
      </c>
      <c r="R10" s="1279" t="s">
        <v>1493</v>
      </c>
      <c r="S10" s="1280">
        <f t="shared" si="0"/>
        <v>116</v>
      </c>
      <c r="T10" s="1279" t="s">
        <v>1493</v>
      </c>
      <c r="U10" s="1280">
        <f t="shared" si="1"/>
        <v>116</v>
      </c>
      <c r="V10" s="1279" t="s">
        <v>1493</v>
      </c>
      <c r="W10" s="1280">
        <f t="shared" si="2"/>
        <v>116</v>
      </c>
      <c r="X10" s="1281"/>
      <c r="Y10" s="3597"/>
      <c r="Z10" s="1294" t="str">
        <f t="shared" si="7"/>
        <v>土地使用年限（年）</v>
      </c>
      <c r="AA10" s="1293">
        <f t="shared" si="3"/>
        <v>0.86206896551724099</v>
      </c>
      <c r="AB10" s="1293">
        <f t="shared" si="4"/>
        <v>0.86206896551724099</v>
      </c>
      <c r="AC10" s="1293">
        <f t="shared" si="5"/>
        <v>0.86206896551724099</v>
      </c>
    </row>
    <row r="11" spans="1:29" ht="15">
      <c r="A11" s="1109"/>
      <c r="B11" s="1106" t="s">
        <v>1501</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0"/>
      <c r="Q11" s="1283" t="str">
        <f t="shared" si="6"/>
        <v>容积率</v>
      </c>
      <c r="R11" s="1279" t="s">
        <v>1493</v>
      </c>
      <c r="S11" s="1280" t="e">
        <f t="shared" si="0"/>
        <v>#N/A</v>
      </c>
      <c r="T11" s="1279" t="s">
        <v>1493</v>
      </c>
      <c r="U11" s="1280" t="e">
        <f t="shared" si="1"/>
        <v>#N/A</v>
      </c>
      <c r="V11" s="1279" t="s">
        <v>1493</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0"/>
      <c r="Q12" s="1283">
        <f t="shared" si="6"/>
        <v>111</v>
      </c>
      <c r="R12" s="1279" t="s">
        <v>1493</v>
      </c>
      <c r="S12" s="1280">
        <f t="shared" si="0"/>
        <v>100</v>
      </c>
      <c r="T12" s="1279" t="s">
        <v>1493</v>
      </c>
      <c r="U12" s="1280">
        <f t="shared" si="1"/>
        <v>100</v>
      </c>
      <c r="V12" s="1279" t="s">
        <v>1493</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0"/>
      <c r="Q13" s="1283">
        <f t="shared" si="6"/>
        <v>111</v>
      </c>
      <c r="R13" s="1279" t="s">
        <v>1493</v>
      </c>
      <c r="S13" s="1280">
        <f t="shared" si="0"/>
        <v>100</v>
      </c>
      <c r="T13" s="1279" t="s">
        <v>1493</v>
      </c>
      <c r="U13" s="1280">
        <f t="shared" si="1"/>
        <v>100</v>
      </c>
      <c r="V13" s="1279" t="s">
        <v>1493</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0"/>
      <c r="Q14" s="1283">
        <f t="shared" si="6"/>
        <v>111</v>
      </c>
      <c r="R14" s="1279" t="s">
        <v>1493</v>
      </c>
      <c r="S14" s="1280">
        <f t="shared" si="0"/>
        <v>100</v>
      </c>
      <c r="T14" s="1279" t="s">
        <v>1493</v>
      </c>
      <c r="U14" s="1280">
        <f t="shared" si="1"/>
        <v>100</v>
      </c>
      <c r="V14" s="1279" t="s">
        <v>1493</v>
      </c>
      <c r="W14" s="1280">
        <f t="shared" si="2"/>
        <v>100</v>
      </c>
      <c r="X14" s="1281"/>
      <c r="Y14" s="3597"/>
      <c r="Z14" s="1294">
        <f t="shared" si="7"/>
        <v>111</v>
      </c>
      <c r="AA14" s="1293">
        <f t="shared" si="3"/>
        <v>1</v>
      </c>
      <c r="AB14" s="1293">
        <f t="shared" si="4"/>
        <v>1</v>
      </c>
      <c r="AC14" s="1293">
        <f t="shared" si="5"/>
        <v>1</v>
      </c>
    </row>
    <row r="15" spans="1:29" ht="57">
      <c r="A15" s="1123" t="s">
        <v>1502</v>
      </c>
      <c r="B15" s="1124" t="s">
        <v>1585</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1" t="s">
        <v>1504</v>
      </c>
      <c r="Q15" s="663" t="str">
        <f t="shared" si="6"/>
        <v>产业集聚程度</v>
      </c>
      <c r="R15" s="1284" t="s">
        <v>1493</v>
      </c>
      <c r="S15" s="1285">
        <f t="shared" si="0"/>
        <v>100</v>
      </c>
      <c r="T15" s="1284" t="s">
        <v>1493</v>
      </c>
      <c r="U15" s="1285">
        <f t="shared" si="1"/>
        <v>100</v>
      </c>
      <c r="V15" s="1284" t="s">
        <v>1493</v>
      </c>
      <c r="W15" s="1285">
        <f t="shared" si="2"/>
        <v>100</v>
      </c>
      <c r="X15" s="1278"/>
      <c r="Y15" s="3671" t="s">
        <v>1504</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85.5">
      <c r="A17" s="1109"/>
      <c r="B17" s="1133" t="s">
        <v>1505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2"/>
      <c r="Q17" s="663" t="str">
        <f>B17</f>
        <v>交通便捷度</v>
      </c>
      <c r="R17" s="1284" t="s">
        <v>1493</v>
      </c>
      <c r="S17" s="1285">
        <f>F17</f>
        <v>100</v>
      </c>
      <c r="T17" s="1284" t="s">
        <v>1493</v>
      </c>
      <c r="U17" s="1285">
        <f>H17</f>
        <v>100</v>
      </c>
      <c r="V17" s="1284" t="s">
        <v>1493</v>
      </c>
      <c r="W17" s="1285">
        <f>J17</f>
        <v>100</v>
      </c>
      <c r="X17" s="1278"/>
      <c r="Y17" s="3672"/>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15">
      <c r="A19" s="1109"/>
      <c r="B19" s="1133" t="s">
        <v>1609</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2"/>
      <c r="Q19" s="663" t="str">
        <f t="shared" ref="Q19:Q34" si="8">B19</f>
        <v>区域土地利用方向</v>
      </c>
      <c r="R19" s="1284" t="s">
        <v>1493</v>
      </c>
      <c r="S19" s="1285">
        <f>F19</f>
        <v>100</v>
      </c>
      <c r="T19" s="1284" t="s">
        <v>1493</v>
      </c>
      <c r="U19" s="1285">
        <f>H19</f>
        <v>100</v>
      </c>
      <c r="V19" s="1284" t="s">
        <v>1493</v>
      </c>
      <c r="W19" s="1285">
        <f>J19</f>
        <v>100</v>
      </c>
      <c r="X19" s="1278"/>
      <c r="Y19" s="3672"/>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2"/>
      <c r="Q20" s="663"/>
      <c r="R20" s="1284"/>
      <c r="S20" s="1285"/>
      <c r="T20" s="1284"/>
      <c r="U20" s="1285"/>
      <c r="V20" s="1284"/>
      <c r="W20" s="1285"/>
      <c r="X20" s="1278"/>
      <c r="Y20" s="3672"/>
      <c r="Z20" s="1268"/>
      <c r="AA20" s="1295"/>
      <c r="AB20" s="1295"/>
      <c r="AC20" s="1295"/>
    </row>
    <row r="21" spans="1:29" ht="71.25">
      <c r="A21" s="1089"/>
      <c r="B21" s="1133" t="s">
        <v>1650</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2"/>
      <c r="Q21" s="663" t="str">
        <f t="shared" si="8"/>
        <v>环境状况</v>
      </c>
      <c r="R21" s="1284" t="s">
        <v>1493</v>
      </c>
      <c r="S21" s="1285">
        <f>F21</f>
        <v>100</v>
      </c>
      <c r="T21" s="1284" t="s">
        <v>1493</v>
      </c>
      <c r="U21" s="1285">
        <f>H21</f>
        <v>100</v>
      </c>
      <c r="V21" s="1284" t="s">
        <v>1493</v>
      </c>
      <c r="W21" s="1285">
        <f>J21</f>
        <v>100</v>
      </c>
      <c r="X21" s="1278"/>
      <c r="Y21" s="3672"/>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s="1068" customFormat="1" ht="42.75">
      <c r="A23" s="1139"/>
      <c r="B23" s="1140" t="s">
        <v>1506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2"/>
      <c r="Q23" s="1283" t="str">
        <f t="shared" si="8"/>
        <v>公共配套设施</v>
      </c>
      <c r="R23" s="1279" t="s">
        <v>1493</v>
      </c>
      <c r="S23" s="1280">
        <f>F23</f>
        <v>100</v>
      </c>
      <c r="T23" s="1279" t="s">
        <v>1493</v>
      </c>
      <c r="U23" s="1280">
        <f>H23</f>
        <v>100</v>
      </c>
      <c r="V23" s="1279" t="s">
        <v>1493</v>
      </c>
      <c r="W23" s="1280">
        <f>J23</f>
        <v>100</v>
      </c>
      <c r="X23" s="1281"/>
      <c r="Y23" s="3672"/>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2"/>
      <c r="Q24" s="1283"/>
      <c r="R24" s="1279"/>
      <c r="S24" s="1280"/>
      <c r="T24" s="1279"/>
      <c r="U24" s="1280"/>
      <c r="V24" s="1279"/>
      <c r="W24" s="1280"/>
      <c r="X24" s="1281"/>
      <c r="Y24" s="3672"/>
      <c r="Z24" s="1294"/>
      <c r="AA24" s="1293">
        <v>1</v>
      </c>
      <c r="AB24" s="1293">
        <v>1</v>
      </c>
      <c r="AC24" s="1293">
        <v>1</v>
      </c>
    </row>
    <row r="25" spans="1:29" s="1068" customFormat="1" ht="28.5">
      <c r="A25" s="1139"/>
      <c r="B25" s="1140" t="s">
        <v>1507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2"/>
      <c r="Q25" s="1283" t="str">
        <f t="shared" ref="Q25" si="9">B25</f>
        <v>基础设施水平</v>
      </c>
      <c r="R25" s="1279" t="s">
        <v>1493</v>
      </c>
      <c r="S25" s="1280">
        <f>F25</f>
        <v>100</v>
      </c>
      <c r="T25" s="1279" t="s">
        <v>1493</v>
      </c>
      <c r="U25" s="1280">
        <f>H25</f>
        <v>100</v>
      </c>
      <c r="V25" s="1279" t="s">
        <v>1493</v>
      </c>
      <c r="W25" s="1280">
        <f>J25</f>
        <v>100</v>
      </c>
      <c r="X25" s="1281"/>
      <c r="Y25" s="3672"/>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2"/>
      <c r="Q26" s="1283"/>
      <c r="R26" s="1279"/>
      <c r="S26" s="1280"/>
      <c r="T26" s="1279"/>
      <c r="U26" s="1280"/>
      <c r="V26" s="1279"/>
      <c r="W26" s="1280"/>
      <c r="X26" s="1281"/>
      <c r="Y26" s="3672"/>
      <c r="Z26" s="1294"/>
      <c r="AA26" s="1293">
        <v>1</v>
      </c>
      <c r="AB26" s="1293">
        <v>1</v>
      </c>
      <c r="AC26" s="1293">
        <v>1</v>
      </c>
    </row>
    <row r="27" spans="1:29" ht="15">
      <c r="A27" s="1109"/>
      <c r="B27" s="1137" t="s">
        <v>1567</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2"/>
      <c r="Q27" s="663" t="str">
        <f t="shared" si="8"/>
        <v>临街状况</v>
      </c>
      <c r="R27" s="1284" t="s">
        <v>1493</v>
      </c>
      <c r="S27" s="1285">
        <f t="shared" ref="S27:S40" si="10">F27</f>
        <v>100</v>
      </c>
      <c r="T27" s="1284" t="s">
        <v>1493</v>
      </c>
      <c r="U27" s="1285">
        <f t="shared" ref="U27:U40" si="11">H27</f>
        <v>100</v>
      </c>
      <c r="V27" s="1284" t="s">
        <v>1493</v>
      </c>
      <c r="W27" s="1285">
        <f t="shared" ref="W27:W40" si="12">J27</f>
        <v>100</v>
      </c>
      <c r="X27" s="1278"/>
      <c r="Y27" s="3672"/>
      <c r="Z27" s="1268" t="str">
        <f t="shared" ref="Z27:Z40" si="13">Q27</f>
        <v>临街状况</v>
      </c>
      <c r="AA27" s="1295">
        <f t="shared" si="3"/>
        <v>1</v>
      </c>
      <c r="AB27" s="1295">
        <f t="shared" si="4"/>
        <v>1</v>
      </c>
      <c r="AC27" s="1295">
        <f t="shared" si="5"/>
        <v>1</v>
      </c>
    </row>
    <row r="28" spans="1:29" ht="27">
      <c r="A28" s="1109"/>
      <c r="B28" s="1140" t="s">
        <v>1580</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2"/>
      <c r="Q28" s="663" t="str">
        <f t="shared" si="8"/>
        <v>毗邻道路的类型与等级</v>
      </c>
      <c r="R28" s="1284" t="s">
        <v>1493</v>
      </c>
      <c r="S28" s="1285">
        <f t="shared" si="10"/>
        <v>100</v>
      </c>
      <c r="T28" s="1284" t="s">
        <v>1493</v>
      </c>
      <c r="U28" s="1285">
        <f t="shared" si="11"/>
        <v>100</v>
      </c>
      <c r="V28" s="1284" t="s">
        <v>1493</v>
      </c>
      <c r="W28" s="1285">
        <f t="shared" si="12"/>
        <v>100</v>
      </c>
      <c r="X28" s="1278"/>
      <c r="Y28" s="3672"/>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2"/>
      <c r="Q29" s="663"/>
      <c r="R29" s="1284"/>
      <c r="S29" s="1285"/>
      <c r="T29" s="1284"/>
      <c r="U29" s="1285"/>
      <c r="V29" s="1284"/>
      <c r="W29" s="1285"/>
      <c r="X29" s="1278"/>
      <c r="Y29" s="3672"/>
      <c r="Z29" s="1268"/>
      <c r="AA29" s="1295">
        <v>1</v>
      </c>
      <c r="AB29" s="1295">
        <v>1</v>
      </c>
      <c r="AC29" s="1295">
        <v>1</v>
      </c>
    </row>
    <row r="30" spans="1:29" ht="15">
      <c r="A30" s="1109"/>
      <c r="B30" s="1146" t="s">
        <v>1611</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2"/>
      <c r="Q30" s="663" t="str">
        <f t="shared" si="8"/>
        <v>土地级别</v>
      </c>
      <c r="R30" s="1284" t="s">
        <v>1493</v>
      </c>
      <c r="S30" s="1285">
        <f t="shared" si="10"/>
        <v>100</v>
      </c>
      <c r="T30" s="1284" t="s">
        <v>1493</v>
      </c>
      <c r="U30" s="1285">
        <f t="shared" si="11"/>
        <v>100</v>
      </c>
      <c r="V30" s="1284" t="s">
        <v>1493</v>
      </c>
      <c r="W30" s="1285">
        <f t="shared" si="12"/>
        <v>100</v>
      </c>
      <c r="X30" s="1278"/>
      <c r="Y30" s="3672"/>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2"/>
      <c r="Q31" s="663">
        <f t="shared" si="8"/>
        <v>111</v>
      </c>
      <c r="R31" s="1284" t="s">
        <v>1493</v>
      </c>
      <c r="S31" s="1285">
        <f t="shared" si="10"/>
        <v>100</v>
      </c>
      <c r="T31" s="1284" t="s">
        <v>1493</v>
      </c>
      <c r="U31" s="1285">
        <f t="shared" si="11"/>
        <v>100</v>
      </c>
      <c r="V31" s="1284" t="s">
        <v>1493</v>
      </c>
      <c r="W31" s="1285">
        <f t="shared" si="12"/>
        <v>100</v>
      </c>
      <c r="X31" s="1278"/>
      <c r="Y31" s="3672"/>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6" t="s">
        <v>1513</v>
      </c>
      <c r="Q32" s="663">
        <f t="shared" si="8"/>
        <v>111</v>
      </c>
      <c r="R32" s="1284" t="s">
        <v>1493</v>
      </c>
      <c r="S32" s="1285">
        <f t="shared" si="10"/>
        <v>100</v>
      </c>
      <c r="T32" s="1284" t="s">
        <v>1493</v>
      </c>
      <c r="U32" s="1285">
        <f t="shared" si="11"/>
        <v>100</v>
      </c>
      <c r="V32" s="1284" t="s">
        <v>1493</v>
      </c>
      <c r="W32" s="1285">
        <f t="shared" si="12"/>
        <v>100</v>
      </c>
      <c r="X32" s="1278"/>
      <c r="Y32" s="3673" t="s">
        <v>1513</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3"/>
      <c r="Q33" s="663">
        <f t="shared" si="8"/>
        <v>111</v>
      </c>
      <c r="R33" s="1286" t="s">
        <v>1493</v>
      </c>
      <c r="S33" s="1287">
        <f t="shared" si="10"/>
        <v>100</v>
      </c>
      <c r="T33" s="1286" t="s">
        <v>1493</v>
      </c>
      <c r="U33" s="1287">
        <f t="shared" si="11"/>
        <v>100</v>
      </c>
      <c r="V33" s="1286" t="s">
        <v>1493</v>
      </c>
      <c r="W33" s="1287">
        <f t="shared" si="12"/>
        <v>100</v>
      </c>
      <c r="X33" s="1288"/>
      <c r="Y33" s="3673"/>
      <c r="Z33" s="1296">
        <f t="shared" si="13"/>
        <v>111</v>
      </c>
      <c r="AA33" s="1295">
        <f t="shared" si="3"/>
        <v>1</v>
      </c>
      <c r="AB33" s="1295">
        <f t="shared" si="4"/>
        <v>1</v>
      </c>
      <c r="AC33" s="1295">
        <f t="shared" si="5"/>
        <v>1</v>
      </c>
    </row>
    <row r="34" spans="1:31" ht="15">
      <c r="A34" s="1123" t="s">
        <v>1511</v>
      </c>
      <c r="B34" s="1157" t="s">
        <v>1612</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3"/>
      <c r="Q34" s="663" t="str">
        <f t="shared" si="8"/>
        <v>宗地面积</v>
      </c>
      <c r="R34" s="1284" t="s">
        <v>1493</v>
      </c>
      <c r="S34" s="1285" t="e">
        <f t="shared" si="10"/>
        <v>#N/A</v>
      </c>
      <c r="T34" s="1284" t="s">
        <v>1493</v>
      </c>
      <c r="U34" s="1285" t="e">
        <f t="shared" si="11"/>
        <v>#N/A</v>
      </c>
      <c r="V34" s="1284" t="s">
        <v>1493</v>
      </c>
      <c r="W34" s="1285" t="e">
        <f t="shared" si="12"/>
        <v>#N/A</v>
      </c>
      <c r="X34" s="1278"/>
      <c r="Y34" s="3673"/>
      <c r="Z34" s="1268" t="str">
        <f t="shared" si="13"/>
        <v>宗地面积</v>
      </c>
      <c r="AA34" s="1295" t="e">
        <f t="shared" si="3"/>
        <v>#N/A</v>
      </c>
      <c r="AB34" s="1295" t="e">
        <f t="shared" si="4"/>
        <v>#N/A</v>
      </c>
      <c r="AC34" s="1295" t="e">
        <f t="shared" si="5"/>
        <v>#N/A</v>
      </c>
    </row>
    <row r="35" spans="1:31" ht="15">
      <c r="A35" s="1160"/>
      <c r="B35" s="1106" t="s">
        <v>1613</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3"/>
      <c r="Q35" s="663" t="str">
        <f t="shared" ref="Q35:Q40" si="14">B35</f>
        <v>宗地形状</v>
      </c>
      <c r="R35" s="1284" t="s">
        <v>1493</v>
      </c>
      <c r="S35" s="1285">
        <f t="shared" si="10"/>
        <v>100</v>
      </c>
      <c r="T35" s="1284" t="s">
        <v>1493</v>
      </c>
      <c r="U35" s="1285">
        <f t="shared" si="11"/>
        <v>100</v>
      </c>
      <c r="V35" s="1284" t="s">
        <v>1493</v>
      </c>
      <c r="W35" s="1285">
        <f t="shared" si="12"/>
        <v>100</v>
      </c>
      <c r="X35" s="1278"/>
      <c r="Y35" s="3673"/>
      <c r="Z35" s="1268" t="str">
        <f t="shared" si="13"/>
        <v>宗地形状</v>
      </c>
      <c r="AA35" s="1295">
        <f t="shared" si="3"/>
        <v>1</v>
      </c>
      <c r="AB35" s="1295">
        <f t="shared" si="4"/>
        <v>1</v>
      </c>
      <c r="AC35" s="1295">
        <f t="shared" si="5"/>
        <v>1</v>
      </c>
    </row>
    <row r="36" spans="1:31" s="1068" customFormat="1" ht="15">
      <c r="A36" s="1162"/>
      <c r="B36" s="1106" t="s">
        <v>1615</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3"/>
      <c r="Q36" s="663" t="str">
        <f t="shared" si="14"/>
        <v>宗地开发程度</v>
      </c>
      <c r="R36" s="1279" t="s">
        <v>1493</v>
      </c>
      <c r="S36" s="1280">
        <f t="shared" si="10"/>
        <v>100</v>
      </c>
      <c r="T36" s="1279" t="s">
        <v>1493</v>
      </c>
      <c r="U36" s="1280">
        <f t="shared" si="11"/>
        <v>100</v>
      </c>
      <c r="V36" s="1279" t="s">
        <v>1493</v>
      </c>
      <c r="W36" s="1280">
        <f t="shared" si="12"/>
        <v>100</v>
      </c>
      <c r="X36" s="1281"/>
      <c r="Y36" s="3673"/>
      <c r="Z36" s="1294" t="str">
        <f t="shared" si="13"/>
        <v>宗地开发程度</v>
      </c>
      <c r="AA36" s="1293">
        <f t="shared" si="3"/>
        <v>1</v>
      </c>
      <c r="AB36" s="1293">
        <f t="shared" si="4"/>
        <v>1</v>
      </c>
      <c r="AC36" s="1293">
        <f t="shared" si="5"/>
        <v>1</v>
      </c>
    </row>
    <row r="37" spans="1:31" ht="15">
      <c r="A37" s="1160"/>
      <c r="B37" s="1106" t="s">
        <v>1616</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3" t="s">
        <v>1513</v>
      </c>
      <c r="Q37" s="663" t="str">
        <f t="shared" si="14"/>
        <v>工程地质条件</v>
      </c>
      <c r="R37" s="1284" t="s">
        <v>1493</v>
      </c>
      <c r="S37" s="1285">
        <f t="shared" si="10"/>
        <v>100</v>
      </c>
      <c r="T37" s="1284" t="s">
        <v>1493</v>
      </c>
      <c r="U37" s="1285">
        <f t="shared" si="11"/>
        <v>100</v>
      </c>
      <c r="V37" s="1284" t="s">
        <v>1493</v>
      </c>
      <c r="W37" s="1285">
        <f t="shared" si="12"/>
        <v>100</v>
      </c>
      <c r="X37" s="1278"/>
      <c r="Y37" s="3673" t="s">
        <v>1513</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3"/>
      <c r="Q38" s="663">
        <f t="shared" si="14"/>
        <v>111</v>
      </c>
      <c r="R38" s="1284" t="s">
        <v>1493</v>
      </c>
      <c r="S38" s="1285">
        <f t="shared" si="10"/>
        <v>100</v>
      </c>
      <c r="T38" s="1284" t="s">
        <v>1493</v>
      </c>
      <c r="U38" s="1285">
        <f t="shared" si="11"/>
        <v>100</v>
      </c>
      <c r="V38" s="1284" t="s">
        <v>1493</v>
      </c>
      <c r="W38" s="1285">
        <f t="shared" si="12"/>
        <v>100</v>
      </c>
      <c r="X38" s="1278"/>
      <c r="Y38" s="3673"/>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3"/>
      <c r="Q39" s="663">
        <f t="shared" si="14"/>
        <v>111</v>
      </c>
      <c r="R39" s="1284" t="s">
        <v>1493</v>
      </c>
      <c r="S39" s="1285">
        <f t="shared" si="10"/>
        <v>100</v>
      </c>
      <c r="T39" s="1284" t="s">
        <v>1493</v>
      </c>
      <c r="U39" s="1285">
        <f t="shared" si="11"/>
        <v>100</v>
      </c>
      <c r="V39" s="1284" t="s">
        <v>1493</v>
      </c>
      <c r="W39" s="1285">
        <f t="shared" si="12"/>
        <v>100</v>
      </c>
      <c r="X39" s="1278"/>
      <c r="Y39" s="3673"/>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3"/>
      <c r="Q40" s="663">
        <f t="shared" si="14"/>
        <v>111</v>
      </c>
      <c r="R40" s="1286" t="s">
        <v>1493</v>
      </c>
      <c r="S40" s="1287">
        <f t="shared" si="10"/>
        <v>100</v>
      </c>
      <c r="T40" s="1286" t="s">
        <v>1493</v>
      </c>
      <c r="U40" s="1287">
        <f t="shared" si="11"/>
        <v>100</v>
      </c>
      <c r="V40" s="1286" t="s">
        <v>1493</v>
      </c>
      <c r="W40" s="1287">
        <f t="shared" si="12"/>
        <v>100</v>
      </c>
      <c r="X40" s="1288"/>
      <c r="Y40" s="3673"/>
      <c r="Z40" s="1296">
        <f t="shared" si="13"/>
        <v>111</v>
      </c>
      <c r="AA40" s="1295">
        <f t="shared" si="3"/>
        <v>1</v>
      </c>
      <c r="AB40" s="1295">
        <f t="shared" si="4"/>
        <v>1</v>
      </c>
      <c r="AC40" s="1295">
        <f t="shared" si="5"/>
        <v>1</v>
      </c>
    </row>
    <row r="41" spans="1:31" ht="15">
      <c r="A41" s="1167" t="s">
        <v>1598</v>
      </c>
      <c r="B41" s="1168" t="s">
        <v>1651</v>
      </c>
      <c r="C41" s="1169" t="s">
        <v>124</v>
      </c>
      <c r="D41" s="1170"/>
      <c r="E41" s="1171"/>
      <c r="F41" s="1172"/>
      <c r="G41" s="1173"/>
      <c r="H41" s="1174"/>
      <c r="I41" s="1171"/>
      <c r="J41" s="1174"/>
      <c r="K41" s="1259"/>
      <c r="L41" s="1260"/>
      <c r="M41" s="1236"/>
      <c r="N41" s="1236"/>
      <c r="O41" s="1184"/>
      <c r="P41" s="3660" t="str">
        <f>A41</f>
        <v>成交单价</v>
      </c>
      <c r="Q41" s="3660"/>
      <c r="R41" s="3690">
        <f>E41</f>
        <v>0</v>
      </c>
      <c r="S41" s="3690"/>
      <c r="T41" s="3690">
        <f>G41</f>
        <v>0</v>
      </c>
      <c r="U41" s="3690"/>
      <c r="V41" s="3690">
        <f>I41</f>
        <v>0</v>
      </c>
      <c r="W41" s="3690"/>
      <c r="X41" s="1224"/>
      <c r="Y41" s="1297"/>
      <c r="Z41" s="1224"/>
      <c r="AA41" s="1224"/>
      <c r="AB41" s="1224"/>
      <c r="AC41" s="1224"/>
    </row>
    <row r="42" spans="1:31" ht="15">
      <c r="A42" s="1175" t="s">
        <v>1525</v>
      </c>
      <c r="B42" s="1176"/>
      <c r="C42" s="1177" t="e">
        <f>R43</f>
        <v>#DIV/0!</v>
      </c>
      <c r="D42" s="1178" t="s">
        <v>1526</v>
      </c>
      <c r="E42" s="1177" t="e">
        <f>R42</f>
        <v>#DIV/0!</v>
      </c>
      <c r="F42" s="1179"/>
      <c r="G42" s="1180" t="e">
        <f>T42</f>
        <v>#DIV/0!</v>
      </c>
      <c r="H42" s="1179"/>
      <c r="I42" s="1177" t="e">
        <f>V42</f>
        <v>#DIV/0!</v>
      </c>
      <c r="J42" s="1179"/>
      <c r="K42" s="1261">
        <f>F42+H42+J42</f>
        <v>0</v>
      </c>
      <c r="L42" s="1260"/>
      <c r="M42" s="1236"/>
      <c r="N42" s="1236"/>
      <c r="O42" s="1184"/>
      <c r="P42" s="3660" t="str">
        <f>A42</f>
        <v>比较价值（元/平方米）</v>
      </c>
      <c r="Q42" s="3660"/>
      <c r="R42" s="3708" t="e">
        <f>ROUND(PRODUCT(R41,AA7:AA40),0)</f>
        <v>#DIV/0!</v>
      </c>
      <c r="S42" s="3708"/>
      <c r="T42" s="3708" t="e">
        <f>ROUND(PRODUCT(T41,AB7:AB40),0)</f>
        <v>#DIV/0!</v>
      </c>
      <c r="U42" s="3708"/>
      <c r="V42" s="3708" t="e">
        <f>ROUND(PRODUCT(V41,AC7:AC40),0)</f>
        <v>#DIV/0!</v>
      </c>
      <c r="W42" s="3708"/>
      <c r="X42" s="1224"/>
      <c r="Y42" s="1224"/>
      <c r="Z42" s="1224"/>
      <c r="AA42" s="1224"/>
      <c r="AB42" s="1224"/>
      <c r="AC42" s="1224"/>
    </row>
    <row r="43" spans="1:31" ht="15">
      <c r="A43" s="1181" t="s">
        <v>1527</v>
      </c>
      <c r="B43" s="1182"/>
      <c r="C43" s="1183" t="e">
        <f>R43</f>
        <v>#DIV/0!</v>
      </c>
      <c r="D43" s="1183"/>
      <c r="E43" s="1183"/>
      <c r="F43" s="1183"/>
      <c r="G43" s="1183"/>
      <c r="H43" s="1183"/>
      <c r="I43" s="1183"/>
      <c r="J43" s="1183"/>
      <c r="K43" s="1262"/>
      <c r="L43" s="1260"/>
      <c r="M43" s="1236"/>
      <c r="N43" s="1236"/>
      <c r="O43" s="1184"/>
      <c r="P43" s="3662" t="str">
        <f>A43</f>
        <v>估价对象XX用房的比较价值（楼面单价，元/平方米）</v>
      </c>
      <c r="Q43" s="3663"/>
      <c r="R43" s="3709" t="e">
        <f>ROUND(IF(D42="简单平均",AVERAGE(R42:W42),R42*F42+T42*H42+V42*J42),0)</f>
        <v>#DIV/0!</v>
      </c>
      <c r="S43" s="3709"/>
      <c r="T43" s="3709"/>
      <c r="U43" s="3709"/>
      <c r="V43" s="3709"/>
      <c r="W43" s="370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1528</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1529</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1530</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1619</v>
      </c>
      <c r="B50" s="1194" t="s">
        <v>1620</v>
      </c>
      <c r="C50" s="1195" t="s">
        <v>1621</v>
      </c>
      <c r="D50" s="1196" t="s">
        <v>1622</v>
      </c>
      <c r="E50" s="1197" t="s">
        <v>1623</v>
      </c>
      <c r="F50" s="1198" t="s">
        <v>1624</v>
      </c>
      <c r="G50" s="3645" t="s">
        <v>1625</v>
      </c>
      <c r="H50" s="3710"/>
      <c r="I50" s="1268" t="s">
        <v>1652</v>
      </c>
      <c r="J50" s="1268">
        <f>项目基本情况!F35</f>
        <v>0</v>
      </c>
      <c r="K50" s="1269" t="s">
        <v>1627</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1628</v>
      </c>
      <c r="B51" s="1200" t="e">
        <f>C43</f>
        <v>#DIV/0!</v>
      </c>
      <c r="C51" s="1201">
        <v>1</v>
      </c>
      <c r="D51" s="1202">
        <v>1</v>
      </c>
      <c r="E51" s="1201">
        <f>'数据-汇总表'!E8+'数据-汇总表'!E9</f>
        <v>2162.2800000000002</v>
      </c>
      <c r="F51" s="1203" t="e">
        <f t="shared" ref="F51:F60" si="15">ROUND(B51*E51/10000,0)</f>
        <v>#DIV/0!</v>
      </c>
      <c r="G51" s="3665"/>
      <c r="H51" s="366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1629</v>
      </c>
      <c r="B52" s="394" t="e">
        <f>ROUND($C$43*C52*D52,0)</f>
        <v>#DIV/0!</v>
      </c>
      <c r="C52" s="581">
        <f t="shared" ref="C52:C60" si="16">IF($C$50="北京市系数",I52,J52)</f>
        <v>0</v>
      </c>
      <c r="D52" s="1205">
        <v>0.25</v>
      </c>
      <c r="E52" s="1206"/>
      <c r="F52" s="1203" t="e">
        <f t="shared" si="15"/>
        <v>#DIV/0!</v>
      </c>
      <c r="G52" s="1207" t="s">
        <v>1630</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1631</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1632</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1633</v>
      </c>
      <c r="B56" s="394" t="e">
        <f t="shared" si="17"/>
        <v>#DIV/0!</v>
      </c>
      <c r="C56" s="581">
        <f t="shared" si="16"/>
        <v>0</v>
      </c>
      <c r="D56" s="1205">
        <v>0.25</v>
      </c>
      <c r="E56" s="393">
        <f>'数据-汇总表'!E11</f>
        <v>0</v>
      </c>
      <c r="F56" s="1203" t="e">
        <f t="shared" si="15"/>
        <v>#DIV/0!</v>
      </c>
      <c r="G56" s="1211" t="s">
        <v>1634</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1635</v>
      </c>
      <c r="B57" s="394" t="e">
        <f t="shared" si="17"/>
        <v>#DIV/0!</v>
      </c>
      <c r="C57" s="581">
        <f t="shared" si="16"/>
        <v>0</v>
      </c>
      <c r="D57" s="1205">
        <v>0.25</v>
      </c>
      <c r="E57" s="393">
        <f>'数据-汇总表'!E12</f>
        <v>0</v>
      </c>
      <c r="F57" s="1203" t="e">
        <f t="shared" si="15"/>
        <v>#DIV/0!</v>
      </c>
      <c r="G57" s="1212" t="s">
        <v>1636</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1637</v>
      </c>
      <c r="B58" s="394" t="e">
        <f t="shared" si="17"/>
        <v>#DIV/0!</v>
      </c>
      <c r="C58" s="581">
        <f t="shared" si="16"/>
        <v>0</v>
      </c>
      <c r="D58" s="1205">
        <v>0.25</v>
      </c>
      <c r="E58" s="393">
        <f>'数据-汇总表'!E13</f>
        <v>0</v>
      </c>
      <c r="F58" s="1203" t="e">
        <f t="shared" si="15"/>
        <v>#DIV/0!</v>
      </c>
      <c r="G58" s="1212" t="s">
        <v>1638</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1639</v>
      </c>
      <c r="B59" s="394" t="e">
        <f t="shared" si="17"/>
        <v>#DIV/0!</v>
      </c>
      <c r="C59" s="581">
        <f t="shared" si="16"/>
        <v>0</v>
      </c>
      <c r="D59" s="1205">
        <v>0.25</v>
      </c>
      <c r="E59" s="393">
        <f>'数据-汇总表'!E14</f>
        <v>0</v>
      </c>
      <c r="F59" s="1203" t="e">
        <f t="shared" si="15"/>
        <v>#DIV/0!</v>
      </c>
      <c r="G59" s="1211" t="s">
        <v>1630</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1640</v>
      </c>
      <c r="B60" s="394" t="e">
        <f t="shared" si="17"/>
        <v>#DIV/0!</v>
      </c>
      <c r="C60" s="581">
        <f t="shared" si="16"/>
        <v>0</v>
      </c>
      <c r="D60" s="1205">
        <v>0.25</v>
      </c>
      <c r="E60" s="393">
        <f>'数据-汇总表'!E15</f>
        <v>0</v>
      </c>
      <c r="F60" s="1203" t="e">
        <f t="shared" si="15"/>
        <v>#DIV/0!</v>
      </c>
      <c r="G60" s="1213" t="s">
        <v>1634</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1641</v>
      </c>
      <c r="B61" s="1216" t="s">
        <v>1642</v>
      </c>
      <c r="C61" s="1216" t="s">
        <v>1642</v>
      </c>
      <c r="D61" s="1216" t="s">
        <v>1642</v>
      </c>
      <c r="E61" s="1216">
        <f>IF(B41="楼面地价",SUM(E51:E60),'数据-汇总表'!D3)</f>
        <v>2068.02</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2024-5-1</v>
      </c>
      <c r="D63" s="1222">
        <f>EDATE(C63,-3)</f>
        <v>45323</v>
      </c>
      <c r="E63" s="1222">
        <f>EDATE(D63,-3)</f>
        <v>45231</v>
      </c>
      <c r="F63" s="1222">
        <f t="shared" ref="F63:O63" si="18">EDATE(E63,-3)</f>
        <v>45139</v>
      </c>
      <c r="G63" s="1222">
        <f t="shared" si="18"/>
        <v>45047</v>
      </c>
      <c r="H63" s="1222">
        <f t="shared" si="18"/>
        <v>44958</v>
      </c>
      <c r="I63" s="1222">
        <f t="shared" si="18"/>
        <v>44866</v>
      </c>
      <c r="J63" s="1222">
        <f t="shared" si="18"/>
        <v>44774</v>
      </c>
      <c r="K63" s="1222">
        <f t="shared" si="18"/>
        <v>44682</v>
      </c>
      <c r="L63" s="1222">
        <f t="shared" si="18"/>
        <v>44593</v>
      </c>
      <c r="M63" s="1222">
        <f t="shared" si="18"/>
        <v>44501</v>
      </c>
      <c r="N63" s="1222">
        <f t="shared" si="18"/>
        <v>44409</v>
      </c>
      <c r="O63" s="1222">
        <f t="shared" si="18"/>
        <v>44317</v>
      </c>
      <c r="P63" s="1184"/>
      <c r="Q63" s="1184"/>
      <c r="R63" s="1184"/>
      <c r="S63" s="1184"/>
      <c r="T63" s="1184"/>
      <c r="U63" s="1184"/>
      <c r="V63" s="1184"/>
      <c r="W63" s="1184"/>
      <c r="X63" s="1184"/>
      <c r="Y63" s="1184"/>
      <c r="Z63" s="1184"/>
      <c r="AA63" s="1184"/>
      <c r="AB63" s="1184"/>
      <c r="AC63" s="1184"/>
      <c r="AD63" s="1184"/>
      <c r="AE63" s="1184"/>
    </row>
    <row r="64" spans="1:31" ht="21">
      <c r="A64" s="1223" t="s">
        <v>1531</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1643</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1653</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1532</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1494</v>
      </c>
      <c r="B68" s="1309"/>
      <c r="C68" s="1310" t="s">
        <v>1533</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1534</v>
      </c>
      <c r="B70" s="1315" t="s">
        <v>1497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1500</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1501</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1502</v>
      </c>
      <c r="B83" s="1315" t="s">
        <v>1585</v>
      </c>
      <c r="C83" s="1336" t="s">
        <v>1535</v>
      </c>
      <c r="D83" s="1336" t="s">
        <v>1536</v>
      </c>
      <c r="E83" s="1336" t="s">
        <v>1537</v>
      </c>
      <c r="F83" s="1336" t="s">
        <v>1538</v>
      </c>
      <c r="G83" s="1336" t="s">
        <v>1539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1505</v>
      </c>
      <c r="C85" s="1338" t="s">
        <v>1535</v>
      </c>
      <c r="D85" s="1338" t="s">
        <v>1536</v>
      </c>
      <c r="E85" s="1338" t="s">
        <v>1537</v>
      </c>
      <c r="F85" s="1338" t="s">
        <v>1538</v>
      </c>
      <c r="G85" s="1338" t="s">
        <v>1539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1609</v>
      </c>
      <c r="C87" s="1336" t="s">
        <v>1535</v>
      </c>
      <c r="D87" s="1336" t="s">
        <v>1536</v>
      </c>
      <c r="E87" s="1336" t="s">
        <v>1537</v>
      </c>
      <c r="F87" s="1336" t="s">
        <v>1538</v>
      </c>
      <c r="G87" s="1336" t="s">
        <v>1539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1610</v>
      </c>
      <c r="C89" s="1336" t="s">
        <v>1535</v>
      </c>
      <c r="D89" s="1336" t="s">
        <v>1536</v>
      </c>
      <c r="E89" s="1336" t="s">
        <v>1537</v>
      </c>
      <c r="F89" s="1336" t="s">
        <v>1538</v>
      </c>
      <c r="G89" s="1336" t="s">
        <v>1539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1506</v>
      </c>
      <c r="C91" s="1336" t="s">
        <v>1535</v>
      </c>
      <c r="D91" s="1336" t="s">
        <v>1536</v>
      </c>
      <c r="E91" s="1336" t="s">
        <v>1537</v>
      </c>
      <c r="F91" s="1336" t="s">
        <v>1538</v>
      </c>
      <c r="G91" s="1336" t="s">
        <v>1539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1507</v>
      </c>
      <c r="C93" s="1343" t="s">
        <v>1540</v>
      </c>
      <c r="D93" s="1343" t="s">
        <v>1541</v>
      </c>
      <c r="E93" s="1343" t="s">
        <v>1542</v>
      </c>
      <c r="F93" s="1343" t="s">
        <v>1543</v>
      </c>
      <c r="G93" s="1343" t="s">
        <v>1544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1645</v>
      </c>
      <c r="D95" s="1320" t="s">
        <v>1646</v>
      </c>
      <c r="E95" s="1320" t="s">
        <v>1647</v>
      </c>
      <c r="F95" s="1320" t="s">
        <v>1648</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1580</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1611</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1511</v>
      </c>
      <c r="B107" s="1315" t="s">
        <v>1612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1613</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1615</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1616</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1654</v>
      </c>
      <c r="C1" s="3715" t="s">
        <v>1655</v>
      </c>
      <c r="D1" s="3716"/>
      <c r="E1" s="3716"/>
      <c r="F1" s="3716"/>
      <c r="G1" s="3716"/>
      <c r="H1" s="3716"/>
      <c r="I1" s="3716"/>
      <c r="J1" s="3716"/>
      <c r="K1" s="3716"/>
      <c r="L1" s="3716"/>
      <c r="M1" s="3716"/>
      <c r="N1" s="3716"/>
      <c r="O1" s="3716"/>
      <c r="P1" s="3716"/>
      <c r="Q1" s="3716"/>
      <c r="R1" s="3716"/>
      <c r="S1" s="3717"/>
      <c r="T1" s="951" t="s">
        <v>1656</v>
      </c>
    </row>
    <row r="2" spans="1:45" s="941" customFormat="1">
      <c r="A2" s="952"/>
      <c r="B2" s="953" t="s">
        <v>455</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1657</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1658</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1659</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1660</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1661</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1662</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1663</v>
      </c>
      <c r="B17" s="984" t="s">
        <v>1664</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1665</v>
      </c>
      <c r="E19" s="994"/>
      <c r="F19" s="994"/>
      <c r="G19" s="994"/>
      <c r="H19" s="995"/>
      <c r="I19" s="992"/>
      <c r="J19" s="992"/>
      <c r="K19" s="992"/>
      <c r="L19" s="992"/>
      <c r="M19" s="992"/>
      <c r="N19" s="992"/>
      <c r="O19" s="992"/>
      <c r="P19" s="992"/>
      <c r="Q19" s="992"/>
      <c r="R19" s="1059"/>
      <c r="S19" s="991"/>
    </row>
    <row r="20" spans="1:45" ht="15.75">
      <c r="A20" s="996" t="s">
        <v>1666</v>
      </c>
      <c r="B20" s="997" t="e">
        <f ca="1">IF(D20="——",S22,S22-F20)</f>
        <v>#REF!</v>
      </c>
      <c r="C20" s="992"/>
      <c r="D20" s="998"/>
      <c r="E20" s="999"/>
      <c r="F20" s="951" t="e">
        <f ca="1">SUMIF(INDIRECT("'"&amp;H20&amp;"'"&amp;"!A:A"),"承租人权益价值",INDIRECT("'"&amp;H20&amp;"'"&amp;"!c:c"))</f>
        <v>#REF!</v>
      </c>
      <c r="G20" s="951" t="s">
        <v>808</v>
      </c>
      <c r="H20" s="1000"/>
      <c r="I20" s="992"/>
      <c r="J20" s="992"/>
      <c r="K20" s="992"/>
      <c r="L20" s="992"/>
      <c r="M20" s="992"/>
      <c r="N20" s="992"/>
      <c r="O20" s="992"/>
      <c r="P20" s="992"/>
      <c r="Q20" s="992"/>
      <c r="R20" s="1059"/>
      <c r="S20" s="991"/>
    </row>
    <row r="21" spans="1:45" ht="15.75">
      <c r="A21" s="996" t="s">
        <v>1667</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1668</v>
      </c>
      <c r="B22" s="1002">
        <f>SUM(B24:B10000)</f>
        <v>0</v>
      </c>
      <c r="C22" s="3718" t="s">
        <v>124</v>
      </c>
      <c r="D22" s="3719"/>
      <c r="E22" s="3719"/>
      <c r="F22" s="3719"/>
      <c r="G22" s="3719"/>
      <c r="H22" s="3719"/>
      <c r="I22" s="3719"/>
      <c r="J22" s="3719"/>
      <c r="K22" s="3719"/>
      <c r="L22" s="3719"/>
      <c r="M22" s="3719"/>
      <c r="N22" s="3719"/>
      <c r="O22" s="3719"/>
      <c r="P22" s="3719"/>
      <c r="Q22" s="3720"/>
      <c r="R22" s="1061" t="e">
        <f>ROUND(S22*10000/B22,0)</f>
        <v>#DIV/0!</v>
      </c>
      <c r="S22" s="1002">
        <f>SUM(S24:S10000)</f>
        <v>0</v>
      </c>
    </row>
    <row r="23" spans="1:45" s="944" customFormat="1" ht="24">
      <c r="A23" s="1005" t="s">
        <v>1669</v>
      </c>
      <c r="B23" s="1005" t="s">
        <v>455</v>
      </c>
      <c r="C23" s="1005" t="s">
        <v>1656</v>
      </c>
      <c r="D23" s="1005" t="str">
        <f>B5</f>
        <v>修正项2</v>
      </c>
      <c r="E23" s="1005" t="s">
        <v>1656</v>
      </c>
      <c r="F23" s="1005" t="str">
        <f>B7</f>
        <v>修正项3</v>
      </c>
      <c r="G23" s="1005" t="s">
        <v>1656</v>
      </c>
      <c r="H23" s="1005" t="str">
        <f>B9</f>
        <v>修正项4</v>
      </c>
      <c r="I23" s="1005" t="s">
        <v>1656</v>
      </c>
      <c r="J23" s="1005" t="str">
        <f>B11</f>
        <v>修正项5</v>
      </c>
      <c r="K23" s="1005" t="s">
        <v>1656</v>
      </c>
      <c r="L23" s="1005" t="str">
        <f>B13</f>
        <v>修正项6</v>
      </c>
      <c r="M23" s="1005" t="s">
        <v>1656</v>
      </c>
      <c r="N23" s="1005" t="str">
        <f>B15</f>
        <v>修正项7</v>
      </c>
      <c r="O23" s="1005" t="s">
        <v>1656</v>
      </c>
      <c r="P23" s="1005" t="str">
        <f>B17</f>
        <v>楼层</v>
      </c>
      <c r="Q23" s="1005" t="s">
        <v>1656</v>
      </c>
      <c r="R23" s="1062" t="s">
        <v>1670</v>
      </c>
      <c r="S23" s="1005" t="s">
        <v>1671</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1672</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N18" sqref="N18"/>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1673</v>
      </c>
      <c r="B1" s="930"/>
      <c r="C1" s="930"/>
      <c r="D1" s="930"/>
      <c r="E1" s="930"/>
      <c r="F1" s="931"/>
      <c r="G1" s="931"/>
      <c r="H1" s="931"/>
      <c r="I1" s="931"/>
      <c r="J1" s="931"/>
      <c r="K1" s="931"/>
      <c r="L1" s="931"/>
      <c r="M1" s="931"/>
      <c r="N1" s="931"/>
      <c r="O1" s="931"/>
      <c r="P1" s="931"/>
    </row>
    <row r="2" spans="1:16" ht="15.75">
      <c r="A2" s="932" t="s">
        <v>97</v>
      </c>
      <c r="B2" s="933">
        <f ca="1">SUMIF(B6:B13,"&lt;&gt;#ref!",B6:B13)</f>
        <v>322</v>
      </c>
      <c r="C2" s="932" t="s">
        <v>1674</v>
      </c>
      <c r="D2" s="932" t="s">
        <v>1675</v>
      </c>
      <c r="E2" s="934">
        <f ca="1">SUMIF(E6:E13,"&lt;&gt;#ref!",E6:E13)</f>
        <v>2541.1799999999998</v>
      </c>
      <c r="F2" s="931"/>
      <c r="G2" s="931"/>
      <c r="H2" s="931"/>
      <c r="I2" s="931"/>
      <c r="J2" s="931"/>
      <c r="K2" s="931"/>
      <c r="L2" s="931"/>
      <c r="M2" s="931"/>
      <c r="N2" s="931"/>
      <c r="O2" s="931"/>
      <c r="P2" s="931"/>
    </row>
    <row r="3" spans="1:16" ht="15.75">
      <c r="A3" s="932" t="s">
        <v>1676</v>
      </c>
      <c r="B3" s="933">
        <f ca="1">ROUND(B2*10000/E2,0)</f>
        <v>1267</v>
      </c>
      <c r="C3" s="932" t="s">
        <v>1677</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1678</v>
      </c>
      <c r="B5" s="937" t="s">
        <v>1679</v>
      </c>
      <c r="C5" s="938"/>
      <c r="D5" s="931"/>
      <c r="E5" s="939" t="s">
        <v>1680</v>
      </c>
      <c r="F5" s="931"/>
      <c r="G5" s="931"/>
      <c r="H5" s="931"/>
      <c r="I5" s="931"/>
      <c r="J5" s="931"/>
      <c r="K5" s="931"/>
      <c r="L5" s="931"/>
      <c r="M5" s="931"/>
      <c r="N5" s="931"/>
      <c r="O5" s="931"/>
      <c r="P5" s="931"/>
    </row>
    <row r="6" spans="1:16" ht="15.75">
      <c r="A6" s="940" t="s">
        <v>1681</v>
      </c>
      <c r="B6" s="933">
        <f ca="1">SUMIF(INDIRECT("'"&amp;A6&amp;"'"&amp;"!A:A"),"总价",INDIRECT("'"&amp;A6&amp;"'"&amp;"!B:B"))</f>
        <v>322</v>
      </c>
      <c r="C6" s="932" t="s">
        <v>1674</v>
      </c>
      <c r="D6" s="931"/>
      <c r="E6" s="934">
        <f ca="1">SUMIF(INDIRECT("'"&amp;A6&amp;"'"&amp;"!C:C"),"建筑面积",INDIRECT("'"&amp;A6&amp;"'"&amp;"!D:D"))</f>
        <v>2541.1799999999998</v>
      </c>
      <c r="F6" s="931"/>
      <c r="G6" s="931"/>
      <c r="H6" s="931"/>
      <c r="I6" s="931"/>
      <c r="J6" s="931"/>
      <c r="K6" s="931"/>
      <c r="L6" s="931"/>
      <c r="M6" s="931"/>
      <c r="N6" s="931"/>
      <c r="O6" s="931"/>
      <c r="P6" s="931"/>
    </row>
    <row r="7" spans="1:16" ht="15.75">
      <c r="A7" s="940"/>
      <c r="B7" s="933" t="e">
        <f ca="1">SUMIF(INDIRECT("'"&amp;A7&amp;"'"&amp;"!A:A"),"总价",INDIRECT("'"&amp;A7&amp;"'"&amp;"!B:B"))</f>
        <v>#REF!</v>
      </c>
      <c r="C7" s="932" t="s">
        <v>1674</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1674</v>
      </c>
      <c r="D8" s="931"/>
      <c r="E8" s="934" t="e">
        <f t="shared" ca="1" si="0"/>
        <v>#REF!</v>
      </c>
      <c r="F8" s="931"/>
      <c r="G8" s="931"/>
      <c r="H8" s="931"/>
      <c r="I8" s="931"/>
      <c r="J8" s="931"/>
      <c r="K8" s="931"/>
      <c r="L8" s="931"/>
      <c r="M8" s="931"/>
      <c r="N8" s="931"/>
      <c r="O8" s="931"/>
      <c r="P8" s="931"/>
    </row>
    <row r="9" spans="1:16" ht="15.75">
      <c r="A9" s="940"/>
      <c r="B9" s="933" t="e">
        <f t="shared" ca="1" si="1"/>
        <v>#REF!</v>
      </c>
      <c r="C9" s="932" t="s">
        <v>1674</v>
      </c>
      <c r="D9" s="931"/>
      <c r="E9" s="934" t="e">
        <f t="shared" ca="1" si="0"/>
        <v>#REF!</v>
      </c>
      <c r="F9" s="931"/>
      <c r="G9" s="931"/>
      <c r="H9" s="931"/>
      <c r="I9" s="931"/>
      <c r="J9" s="931"/>
      <c r="K9" s="931"/>
      <c r="L9" s="931"/>
      <c r="M9" s="931"/>
      <c r="N9" s="931"/>
      <c r="O9" s="931"/>
      <c r="P9" s="931"/>
    </row>
    <row r="10" spans="1:16" ht="15.75">
      <c r="A10" s="940"/>
      <c r="B10" s="933" t="e">
        <f t="shared" ca="1" si="1"/>
        <v>#REF!</v>
      </c>
      <c r="C10" s="932" t="s">
        <v>1674</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1674</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1674</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1674</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9" zoomScale="70" zoomScaleNormal="80" workbookViewId="0">
      <selection activeCell="G83" sqref="G83:G9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1682</v>
      </c>
      <c r="B1" s="374"/>
      <c r="C1" s="377" t="s">
        <v>1477</v>
      </c>
      <c r="D1" s="545">
        <f>SUM(D33:D34,D37:D42)</f>
        <v>2541.1799999999998</v>
      </c>
      <c r="E1" s="546"/>
      <c r="F1" s="546"/>
      <c r="G1" s="546"/>
      <c r="H1" s="546"/>
      <c r="I1" s="546"/>
      <c r="J1" s="546"/>
      <c r="K1" s="538"/>
      <c r="L1" s="750" t="s">
        <v>1683</v>
      </c>
      <c r="M1" s="751">
        <f>SUMPRODUCT((区片价!B5:B9=I2)*(区片价!C3:G3=E2)*(区片价!C5:G9))</f>
        <v>0</v>
      </c>
      <c r="N1" s="752">
        <f>SUMPRODUCT((因素修正幅度!B5:B9=I2)*(因素修正幅度!C3:G3=E2)*(因素修正幅度!C5:G9))</f>
        <v>0</v>
      </c>
      <c r="O1" s="539"/>
      <c r="P1" s="539"/>
      <c r="Q1" s="538"/>
      <c r="R1" s="844" t="s">
        <v>1684</v>
      </c>
      <c r="S1" s="844" t="s">
        <v>1685</v>
      </c>
      <c r="T1" s="844" t="s">
        <v>1686</v>
      </c>
      <c r="U1" s="844" t="s">
        <v>1687</v>
      </c>
      <c r="V1" s="844" t="s">
        <v>1688</v>
      </c>
      <c r="W1" s="845"/>
      <c r="X1" s="845"/>
      <c r="Y1" s="845"/>
      <c r="Z1" s="845"/>
      <c r="AA1" s="845"/>
      <c r="AB1" s="845"/>
      <c r="AC1" s="856"/>
      <c r="AD1" s="857"/>
      <c r="AE1" s="857"/>
      <c r="AF1" s="857"/>
      <c r="AG1" s="857"/>
      <c r="AH1" s="857"/>
      <c r="AI1" s="857"/>
      <c r="AJ1" s="866"/>
    </row>
    <row r="2" spans="1:36" ht="15.75">
      <c r="A2" s="377" t="s">
        <v>992</v>
      </c>
      <c r="B2" s="381">
        <f>C30</f>
        <v>322</v>
      </c>
      <c r="C2" s="547" t="s">
        <v>993</v>
      </c>
      <c r="D2" s="548" t="s">
        <v>1689</v>
      </c>
      <c r="E2" s="549" t="s">
        <v>408</v>
      </c>
      <c r="F2" s="548" t="s">
        <v>1690</v>
      </c>
      <c r="G2" s="550" t="str">
        <f>IF(E2="商业",项目基本情况!B37,IF(E2="办公",项目基本情况!C37,IF(E2="住宅",项目基本情况!D37,IF(E2="工业",项目基本情况!E37,项目基本情况!F37))))</f>
        <v>七级</v>
      </c>
      <c r="H2" s="548" t="s">
        <v>1691</v>
      </c>
      <c r="I2" s="550" t="str">
        <f>IF(E2="商业",项目基本情况!B38,IF(E2="办公",项目基本情况!C38,IF(E2="住宅",项目基本情况!D38,IF(E2="工业",项目基本情况!E38,项目基本情况!F38))))</f>
        <v>Ⅶ-房1</v>
      </c>
      <c r="J2" s="753"/>
      <c r="K2" s="538"/>
      <c r="L2" s="754" t="s">
        <v>1692</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2058</v>
      </c>
      <c r="U2" s="847"/>
      <c r="V2" s="846">
        <f>ROUND(T2*U2/10000,0)</f>
        <v>0</v>
      </c>
      <c r="W2" s="845"/>
      <c r="X2" s="845"/>
      <c r="Y2" s="845"/>
      <c r="Z2" s="845"/>
      <c r="AA2" s="845"/>
      <c r="AB2" s="845"/>
      <c r="AC2" s="856"/>
      <c r="AD2" s="857"/>
      <c r="AE2" s="857"/>
      <c r="AF2" s="857"/>
      <c r="AG2" s="857"/>
      <c r="AH2" s="857"/>
      <c r="AI2" s="857"/>
      <c r="AJ2" s="866"/>
    </row>
    <row r="3" spans="1:36" ht="15.75">
      <c r="A3" s="380" t="s">
        <v>994</v>
      </c>
      <c r="B3" s="381">
        <f>ROUND(B2*10000/D1,0)</f>
        <v>1267</v>
      </c>
      <c r="C3" s="547" t="s">
        <v>995</v>
      </c>
      <c r="D3" s="548" t="s">
        <v>1693</v>
      </c>
      <c r="E3" s="551" t="s">
        <v>1694</v>
      </c>
      <c r="F3" s="552" t="s">
        <v>1695</v>
      </c>
      <c r="G3" s="553">
        <f>IF(F3="宗地容积率",'数据-汇总表'!I4,IF(F3="估价对象容积率",'数据-汇总表'!I6,'数据-汇总表'!I7))</f>
        <v>1.05</v>
      </c>
      <c r="H3" s="554" t="s">
        <v>1696</v>
      </c>
      <c r="I3" s="756"/>
      <c r="J3" s="753" t="s">
        <v>1697</v>
      </c>
      <c r="K3" s="538"/>
      <c r="L3" s="754" t="s">
        <v>1698</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1622</v>
      </c>
      <c r="U3" s="847"/>
      <c r="V3" s="846">
        <f t="shared" ref="V3:V16" si="1">ROUND(T3*U3/10000,0)</f>
        <v>0</v>
      </c>
      <c r="W3" s="845"/>
      <c r="X3" s="845"/>
      <c r="Y3" s="845"/>
      <c r="Z3" s="845"/>
      <c r="AA3" s="845"/>
      <c r="AB3" s="845"/>
      <c r="AC3" s="856"/>
      <c r="AD3" s="857"/>
      <c r="AE3" s="857"/>
      <c r="AF3" s="857"/>
      <c r="AG3" s="857"/>
      <c r="AH3" s="857"/>
      <c r="AI3" s="857"/>
      <c r="AJ3" s="866"/>
    </row>
    <row r="4" spans="1:36" ht="15.75">
      <c r="A4" s="3721"/>
      <c r="B4" s="3722"/>
      <c r="C4" s="3722"/>
      <c r="D4" s="3723"/>
      <c r="E4" s="3723"/>
      <c r="F4" s="3723"/>
      <c r="G4" s="3723"/>
      <c r="H4" s="3723"/>
      <c r="I4" s="3723"/>
      <c r="J4" s="3724"/>
      <c r="K4" s="538"/>
      <c r="L4" s="754" t="s">
        <v>1699</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1371</v>
      </c>
      <c r="U4" s="847"/>
      <c r="V4" s="846">
        <f t="shared" si="1"/>
        <v>0</v>
      </c>
      <c r="W4" s="845"/>
      <c r="X4" s="845"/>
      <c r="Y4" s="845"/>
      <c r="Z4" s="845"/>
      <c r="AA4" s="845"/>
      <c r="AB4" s="845"/>
      <c r="AC4" s="856"/>
      <c r="AD4" s="857"/>
      <c r="AE4" s="857"/>
      <c r="AF4" s="857"/>
      <c r="AG4" s="857"/>
      <c r="AH4" s="857"/>
      <c r="AI4" s="857"/>
      <c r="AJ4" s="866"/>
    </row>
    <row r="5" spans="1:36" s="537" customFormat="1" ht="15">
      <c r="A5" s="555" t="s">
        <v>898</v>
      </c>
      <c r="B5" s="556" t="s">
        <v>1700</v>
      </c>
      <c r="C5" s="557">
        <f>ROUND(IF(E2="商业",C6*C7*C17+C20,(IF(E2="住宅",C6*C13*C17+C20,IF(E2="办公",C6*C12*C17+C20,C6+C20)))),0)</f>
        <v>1425</v>
      </c>
      <c r="D5" s="558">
        <f>ROUND(C6*C17+C20,0)</f>
        <v>1425</v>
      </c>
      <c r="E5" s="558"/>
      <c r="F5" s="559"/>
      <c r="G5" s="560"/>
      <c r="H5" s="560"/>
      <c r="I5" s="560"/>
      <c r="J5" s="757"/>
      <c r="K5" s="758"/>
      <c r="L5" s="754" t="s">
        <v>1701</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1209</v>
      </c>
      <c r="U5" s="847"/>
      <c r="V5" s="846">
        <f t="shared" si="1"/>
        <v>0</v>
      </c>
      <c r="W5" s="845"/>
      <c r="X5" s="845"/>
      <c r="Y5" s="845"/>
      <c r="Z5" s="845"/>
      <c r="AA5" s="845"/>
      <c r="AB5" s="845"/>
      <c r="AC5" s="858"/>
      <c r="AD5" s="859"/>
      <c r="AE5" s="859"/>
      <c r="AF5" s="859"/>
      <c r="AG5" s="859"/>
      <c r="AH5" s="859"/>
      <c r="AI5" s="859"/>
      <c r="AJ5" s="867"/>
    </row>
    <row r="6" spans="1:36" ht="15">
      <c r="A6" s="561" t="s">
        <v>997</v>
      </c>
      <c r="B6" s="562" t="s">
        <v>1702</v>
      </c>
      <c r="C6" s="563">
        <f>SUMIF(L1:L12,G2,M1:M12)</f>
        <v>1500</v>
      </c>
      <c r="D6" s="564"/>
      <c r="E6" s="565"/>
      <c r="F6" s="565"/>
      <c r="G6" s="566"/>
      <c r="H6" s="566"/>
      <c r="I6" s="566"/>
      <c r="J6" s="759"/>
      <c r="K6" s="760"/>
      <c r="L6" s="754" t="s">
        <v>1703</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1162</v>
      </c>
      <c r="U6" s="847"/>
      <c r="V6" s="846">
        <f t="shared" si="1"/>
        <v>0</v>
      </c>
      <c r="W6" s="845"/>
      <c r="X6" s="845"/>
      <c r="Y6" s="845"/>
      <c r="Z6" s="845"/>
      <c r="AA6" s="845"/>
      <c r="AB6" s="845"/>
      <c r="AC6" s="858"/>
      <c r="AD6" s="859"/>
      <c r="AE6" s="859"/>
      <c r="AF6" s="859"/>
      <c r="AG6" s="859"/>
      <c r="AH6" s="859"/>
      <c r="AI6" s="859"/>
      <c r="AJ6" s="867"/>
    </row>
    <row r="7" spans="1:36" ht="24">
      <c r="A7" s="567" t="s">
        <v>1704</v>
      </c>
      <c r="B7" s="568" t="s">
        <v>1705</v>
      </c>
      <c r="C7" s="569">
        <f>IF(C8="不临65条商业街",1,ROUND(1+(1.6*E8+1.2*E9+0.8*E10+0.4*E11)*C9,4))</f>
        <v>1</v>
      </c>
      <c r="D7" s="570" t="s">
        <v>1706</v>
      </c>
      <c r="E7" s="571"/>
      <c r="F7" s="572"/>
      <c r="G7" s="573"/>
      <c r="H7" s="573"/>
      <c r="I7" s="573"/>
      <c r="J7" s="761"/>
      <c r="K7" s="760"/>
      <c r="L7" s="754" t="s">
        <v>1707</v>
      </c>
      <c r="M7" s="755">
        <f>SUMPRODUCT((区片价!B190:B233=I2)*(区片价!C3:G3=E2)*(区片价!C190:G233))</f>
        <v>1500</v>
      </c>
      <c r="N7" s="752">
        <f>SUMPRODUCT((因素修正幅度!B190:B233=I2)*(因素修正幅度!C3:G3=E2)*(因素修正幅度!C190:G233))</f>
        <v>0.129</v>
      </c>
      <c r="O7" s="538"/>
      <c r="P7" s="538"/>
      <c r="Q7" s="538"/>
      <c r="R7" s="844">
        <v>6</v>
      </c>
      <c r="S7" s="848"/>
      <c r="T7" s="846">
        <f t="shared" si="0"/>
        <v>0</v>
      </c>
      <c r="U7" s="847"/>
      <c r="V7" s="846">
        <f t="shared" si="1"/>
        <v>0</v>
      </c>
      <c r="W7" s="849" t="s">
        <v>1708</v>
      </c>
      <c r="X7" s="850" t="str">
        <f>G2</f>
        <v>七级</v>
      </c>
      <c r="Y7" s="850" t="s">
        <v>1709</v>
      </c>
      <c r="Z7" s="860">
        <f>G3</f>
        <v>1.05</v>
      </c>
      <c r="AA7" s="845"/>
      <c r="AB7" s="845"/>
      <c r="AC7" s="856"/>
      <c r="AD7" s="857"/>
      <c r="AE7" s="857"/>
      <c r="AF7" s="857"/>
      <c r="AG7" s="857"/>
      <c r="AH7" s="857"/>
      <c r="AI7" s="857"/>
      <c r="AJ7" s="866"/>
    </row>
    <row r="8" spans="1:36" ht="25.5">
      <c r="A8" s="574"/>
      <c r="B8" s="554" t="s">
        <v>1710</v>
      </c>
      <c r="C8" s="575" t="s">
        <v>1711</v>
      </c>
      <c r="D8" s="576" t="s">
        <v>1712</v>
      </c>
      <c r="E8" s="577" t="e">
        <f>ROUND(C11/E7,4)</f>
        <v>#DIV/0!</v>
      </c>
      <c r="F8" s="578" t="s">
        <v>1713</v>
      </c>
      <c r="G8" s="579"/>
      <c r="H8" s="579"/>
      <c r="I8" s="579"/>
      <c r="J8" s="762"/>
      <c r="K8" s="538"/>
      <c r="L8" s="754" t="s">
        <v>1714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5" t="s">
        <v>1715</v>
      </c>
      <c r="X8" s="3726"/>
      <c r="Y8" s="861" t="s">
        <v>1716</v>
      </c>
      <c r="Z8" s="861" t="s">
        <v>1717</v>
      </c>
      <c r="AA8" s="861" t="s">
        <v>1718</v>
      </c>
      <c r="AB8" s="861" t="s">
        <v>1719</v>
      </c>
      <c r="AC8" s="861" t="s">
        <v>1720</v>
      </c>
      <c r="AD8" s="861" t="s">
        <v>1721</v>
      </c>
      <c r="AE8" s="861" t="s">
        <v>1722</v>
      </c>
      <c r="AF8" s="861" t="s">
        <v>1723</v>
      </c>
      <c r="AG8" s="861" t="s">
        <v>1724</v>
      </c>
      <c r="AH8" s="861" t="s">
        <v>1725</v>
      </c>
      <c r="AI8" s="861" t="s">
        <v>1726</v>
      </c>
      <c r="AJ8" s="861" t="s">
        <v>1727</v>
      </c>
    </row>
    <row r="9" spans="1:36" ht="15">
      <c r="A9" s="574"/>
      <c r="B9" s="554" t="s">
        <v>1728</v>
      </c>
      <c r="C9" s="580">
        <f>SUMIF(修正!C71:C138,C8,修正!E71:E138)</f>
        <v>0</v>
      </c>
      <c r="D9" s="581" t="s">
        <v>1729</v>
      </c>
      <c r="E9" s="581" t="e">
        <f>ROUND(C11/E7,4)</f>
        <v>#DIV/0!</v>
      </c>
      <c r="F9" s="578" t="s">
        <v>1730</v>
      </c>
      <c r="G9" s="579"/>
      <c r="H9" s="579"/>
      <c r="I9" s="579"/>
      <c r="J9" s="762"/>
      <c r="K9" s="538"/>
      <c r="L9" s="754" t="s">
        <v>1731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9"/>
      <c r="X9" s="851" t="s">
        <v>1732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1733</v>
      </c>
      <c r="C10" s="581">
        <f>SUMIF(修正!C71:C138,C8,修正!F71:F138)</f>
        <v>0</v>
      </c>
      <c r="D10" s="581" t="s">
        <v>1734</v>
      </c>
      <c r="E10" s="581" t="e">
        <f>ROUND(C11/E7,4)</f>
        <v>#DIV/0!</v>
      </c>
      <c r="F10" s="578" t="s">
        <v>1735</v>
      </c>
      <c r="G10" s="579"/>
      <c r="H10" s="579"/>
      <c r="I10" s="579"/>
      <c r="J10" s="762"/>
      <c r="K10" s="538"/>
      <c r="L10" s="754" t="s">
        <v>1736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1737</v>
      </c>
      <c r="C11" s="584">
        <f>C10/4</f>
        <v>0</v>
      </c>
      <c r="D11" s="584" t="s">
        <v>1738</v>
      </c>
      <c r="E11" s="584" t="e">
        <f>ROUND(C11/E7,4)</f>
        <v>#DIV/0!</v>
      </c>
      <c r="F11" s="585" t="s">
        <v>1739</v>
      </c>
      <c r="G11" s="586"/>
      <c r="H11" s="586"/>
      <c r="I11" s="586"/>
      <c r="J11" s="763"/>
      <c r="K11" s="538"/>
      <c r="L11" s="754" t="s">
        <v>1740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1741</v>
      </c>
      <c r="B12" s="587" t="s">
        <v>1742</v>
      </c>
      <c r="C12" s="588">
        <v>1</v>
      </c>
      <c r="D12" s="589" t="s">
        <v>1743</v>
      </c>
      <c r="E12" s="590" t="s">
        <v>1744</v>
      </c>
      <c r="F12" s="591"/>
      <c r="G12" s="592"/>
      <c r="H12" s="592"/>
      <c r="I12" s="592"/>
      <c r="J12" s="764"/>
      <c r="K12" s="538"/>
      <c r="L12" s="765" t="s">
        <v>1745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1746</v>
      </c>
      <c r="B13" s="593" t="s">
        <v>1747</v>
      </c>
      <c r="C13" s="569">
        <f>ROUND(C16*D16*E16*F16*G16*H16*I16*J16,4)</f>
        <v>0</v>
      </c>
      <c r="D13" s="594" t="s">
        <v>1748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1749</v>
      </c>
      <c r="C14" s="599" t="s">
        <v>1750</v>
      </c>
      <c r="D14" s="600" t="s">
        <v>1751</v>
      </c>
      <c r="E14" s="601" t="s">
        <v>1752</v>
      </c>
      <c r="F14" s="602" t="s">
        <v>1753</v>
      </c>
      <c r="G14" s="602" t="s">
        <v>1753</v>
      </c>
      <c r="H14" s="602" t="s">
        <v>1753</v>
      </c>
      <c r="I14" s="602" t="s">
        <v>1753</v>
      </c>
      <c r="J14" s="602" t="s">
        <v>1753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1656</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1755</v>
      </c>
      <c r="B17" s="613" t="s">
        <v>1756</v>
      </c>
      <c r="C17" s="614">
        <f>ROUND(IF(OR(E2="工业",E2="公共服务"),1,IF(AND(E18=0,E19=0),1,IF(AND(E18=J24,E19=G19),0.8,IF(E19=0,1+E17*(-0.2),1+E17*G17*(-0.2))))),4)</f>
        <v>1</v>
      </c>
      <c r="D17" s="615" t="s">
        <v>1757</v>
      </c>
      <c r="E17" s="614">
        <f>ROUND(G18/I18,2)</f>
        <v>0</v>
      </c>
      <c r="F17" s="615" t="s">
        <v>1758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1759</v>
      </c>
      <c r="E18" s="620"/>
      <c r="F18" s="621" t="s">
        <v>1760</v>
      </c>
      <c r="G18" s="618">
        <f>ROUND(1-(1/(POWER(1+G24,E18))),4)</f>
        <v>0</v>
      </c>
      <c r="H18" s="621" t="s">
        <v>1761</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1762</v>
      </c>
      <c r="E19" s="625"/>
      <c r="F19" s="626" t="s">
        <v>1763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1" t="s">
        <v>1764</v>
      </c>
      <c r="B20" s="627" t="s">
        <v>1765</v>
      </c>
      <c r="C20" s="628">
        <f>ROUND(IF(F21="与级别开发程度一致",0,(G21-E21)/C21),0)</f>
        <v>-75</v>
      </c>
      <c r="D20" s="629" t="s">
        <v>1766</v>
      </c>
      <c r="E20" s="630"/>
      <c r="F20" s="3727" t="s">
        <v>1767</v>
      </c>
      <c r="G20" s="3728"/>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2"/>
      <c r="B21" s="632" t="s">
        <v>1768</v>
      </c>
      <c r="C21" s="633">
        <f>IF(E3="M4科研用地",SUMPRODUCT((修正!A2:A7=E3)*(修正!B1:M1=G2)*(修正!B2:M7)),SUMPRODUCT((修正!A2:A7=E2)*(修正!B1:M1=G2)*(修正!B2:M7)))</f>
        <v>1.2</v>
      </c>
      <c r="D21" s="634" t="str">
        <f>IF(OR(G2="八级",G2="九级",G2="十级",G2="十一级",G2="十二级"),"五通一平","七通一平")</f>
        <v>七通一平</v>
      </c>
      <c r="E21" s="635">
        <f>SUMPRODUCT((修正!B1:M1=G2)*(修正!B17:M17))</f>
        <v>315</v>
      </c>
      <c r="F21" s="636"/>
      <c r="G21" s="637">
        <f>SUM(H21:O21)</f>
        <v>225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909</v>
      </c>
      <c r="B22" s="639" t="s">
        <v>1769</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914</v>
      </c>
      <c r="B23" s="644" t="s">
        <v>1770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646" t="s">
        <v>1771</v>
      </c>
      <c r="E23" s="647">
        <v>44197</v>
      </c>
      <c r="F23" s="646" t="s">
        <v>1772</v>
      </c>
      <c r="G23" s="648">
        <f>'数据-取费表'!B2</f>
        <v>45422</v>
      </c>
      <c r="H23" s="649" t="s">
        <v>1773</v>
      </c>
      <c r="I23" s="786" t="str">
        <f>IF(H23="季度增幅（自定义）",SUMIF(N25:N28,E2,O25:O28),"")</f>
        <v/>
      </c>
      <c r="J23" s="787" t="s">
        <v>1774</v>
      </c>
      <c r="K23" s="783"/>
      <c r="L23" s="788" t="s">
        <v>1775</v>
      </c>
      <c r="M23" s="789">
        <f>ROUND(SUMIF(地价!B2:G2,E2,地价!B16:G16),0)</f>
        <v>318</v>
      </c>
      <c r="N23" s="790" t="s">
        <v>1776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917</v>
      </c>
      <c r="B24" s="651" t="s">
        <v>1777</v>
      </c>
      <c r="C24" s="652">
        <f>ROUND(POWER(1+G24,J24-I24)*(POWER(1+G24,I24)-1)/(POWER(1+G24,J24)-1),4)</f>
        <v>0.87990000000000002</v>
      </c>
      <c r="D24" s="653" t="s">
        <v>1778</v>
      </c>
      <c r="E24" s="654">
        <f>存贷款利率!E24/100</f>
        <v>4.3499999999999997E-2</v>
      </c>
      <c r="F24" s="653" t="s">
        <v>1779</v>
      </c>
      <c r="G24" s="655">
        <f>SUMIF(M30:Q30,E2,M33:Q33)</f>
        <v>0.05</v>
      </c>
      <c r="H24" s="653" t="s">
        <v>1780</v>
      </c>
      <c r="I24" s="793">
        <f>SUMIF('数据-取费表'!C6:C15,E2,'数据-取费表'!F6:F15)/COUNTIF('数据-取费表'!C6:C15,E2)</f>
        <v>33.31</v>
      </c>
      <c r="J24" s="794">
        <f>IF(E2="住宅",70,IF(E2="商业",40,50))</f>
        <v>50</v>
      </c>
      <c r="K24" s="783"/>
      <c r="L24" s="795" t="s">
        <v>1781</v>
      </c>
      <c r="M24" s="796">
        <f>ROUND(SUMPRODUCT((地价!A4:A16=YEAR(G23)&amp;"-"&amp;ROUNDUP(MONTH(G23)/3,0))*(地价!B2:G2=E2)*(地价!B4:G16)),0)</f>
        <v>0</v>
      </c>
      <c r="N24" s="797" t="s">
        <v>1782</v>
      </c>
      <c r="O24" s="798" t="s">
        <v>1783</v>
      </c>
      <c r="P24" s="799" t="s">
        <v>1784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939</v>
      </c>
      <c r="B25" s="657" t="s">
        <v>1785</v>
      </c>
      <c r="C25" s="658">
        <f>IF(B25="容积率修正",IF(G3&lt;10,D26,J26),C27)</f>
        <v>1.0434000000000001</v>
      </c>
      <c r="D25" s="659"/>
      <c r="E25" s="659"/>
      <c r="F25" s="659"/>
      <c r="G25" s="659"/>
      <c r="H25" s="659"/>
      <c r="I25" s="659"/>
      <c r="J25" s="800"/>
      <c r="K25" s="783"/>
      <c r="L25" s="784"/>
      <c r="M25" s="784"/>
      <c r="N25" s="801" t="s">
        <v>1786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1787</v>
      </c>
      <c r="B26" s="661" t="s">
        <v>1788</v>
      </c>
      <c r="C26" s="662" t="s">
        <v>1789</v>
      </c>
      <c r="D26" s="663">
        <f>IF(E26=G26,F26,IF(G3&lt;10,ROUND(F26+(H26-F26)*(G3-E26)/(G26-E26),4),"——"))</f>
        <v>1.0434000000000001</v>
      </c>
      <c r="E26" s="553">
        <f>ROUNDDOWN(G3,1)</f>
        <v>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3">
        <f>ROUNDUP(G3,1)</f>
        <v>1.1000000000000001</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662" t="s">
        <v>1790</v>
      </c>
      <c r="J26" s="804" t="str">
        <f>IF(G3&gt;=10,D115,"——")</f>
        <v>——</v>
      </c>
      <c r="K26" s="783"/>
      <c r="L26" s="784"/>
      <c r="M26" s="784"/>
      <c r="N26" s="801" t="s">
        <v>1791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1792</v>
      </c>
      <c r="B27" s="664" t="s">
        <v>1793</v>
      </c>
      <c r="C27" s="665">
        <f>ROUND(IF(I3&lt;6,SUMPRODUCT((B106:B110=I3)*(C105:N105=G2)*(C106:N110)),SUMIF(C105:N105,G2,C112:N112)),4)</f>
        <v>0</v>
      </c>
      <c r="D27" s="666"/>
      <c r="E27" s="666"/>
      <c r="F27" s="667"/>
      <c r="G27" s="668"/>
      <c r="H27" s="669"/>
      <c r="I27" s="805"/>
      <c r="J27" s="806"/>
      <c r="K27" s="538"/>
      <c r="L27" s="539"/>
      <c r="M27" s="539"/>
      <c r="N27" s="801" t="s">
        <v>1794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1795</v>
      </c>
      <c r="B28" s="644" t="s">
        <v>1796</v>
      </c>
      <c r="C28" s="645">
        <f>SUMIF(A47:A101,E2,B47:B101)</f>
        <v>1.0174000000000001</v>
      </c>
      <c r="D28" s="670"/>
      <c r="E28" s="671"/>
      <c r="F28" s="671"/>
      <c r="G28" s="671"/>
      <c r="H28" s="671"/>
      <c r="I28" s="671"/>
      <c r="J28" s="807"/>
      <c r="K28" s="783"/>
      <c r="L28" s="784"/>
      <c r="M28" s="784"/>
      <c r="N28" s="808" t="s">
        <v>1797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1798</v>
      </c>
      <c r="B29" s="672" t="s">
        <v>1799</v>
      </c>
      <c r="C29" s="673"/>
      <c r="D29" s="573"/>
      <c r="E29" s="573"/>
      <c r="F29" s="674"/>
      <c r="G29" s="573"/>
      <c r="H29" s="573"/>
      <c r="I29" s="573"/>
      <c r="J29" s="761"/>
      <c r="K29" s="538"/>
      <c r="L29" s="539"/>
      <c r="M29" s="539"/>
      <c r="N29" s="811" t="s">
        <v>1800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1801</v>
      </c>
      <c r="C30" s="676">
        <f>IF(B25="容积率修正",E33+SUM(E37:E42),SUM(V2:V16)+SUM(E37:E42))</f>
        <v>322</v>
      </c>
      <c r="D30" s="677"/>
      <c r="E30" s="666"/>
      <c r="F30" s="678"/>
      <c r="G30" s="666"/>
      <c r="H30" s="666"/>
      <c r="I30" s="666"/>
      <c r="J30" s="814"/>
      <c r="K30" s="538"/>
      <c r="L30" s="815" t="s">
        <v>1689</v>
      </c>
      <c r="M30" s="816" t="s">
        <v>1802</v>
      </c>
      <c r="N30" s="816" t="s">
        <v>1803</v>
      </c>
      <c r="O30" s="816" t="s">
        <v>1804</v>
      </c>
      <c r="P30" s="816" t="s">
        <v>1805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1806</v>
      </c>
      <c r="C31" s="680">
        <f>E34+SUM(I37:I42)</f>
        <v>2</v>
      </c>
      <c r="D31" s="681"/>
      <c r="E31" s="682"/>
      <c r="F31" s="683"/>
      <c r="G31" s="682"/>
      <c r="H31" s="682"/>
      <c r="I31" s="682"/>
      <c r="J31" s="817"/>
      <c r="K31" s="538"/>
      <c r="L31" s="818" t="s">
        <v>1807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1808</v>
      </c>
      <c r="C32" s="686" t="s">
        <v>1809</v>
      </c>
      <c r="D32" s="686" t="s">
        <v>561</v>
      </c>
      <c r="E32" s="687" t="s">
        <v>1810</v>
      </c>
      <c r="F32" s="688"/>
      <c r="G32" s="596"/>
      <c r="H32" s="596"/>
      <c r="I32" s="596"/>
      <c r="J32" s="767"/>
      <c r="K32" s="538"/>
      <c r="L32" s="819" t="s">
        <v>1779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1811</v>
      </c>
      <c r="C33" s="691">
        <f>ROUND(C5*C22*C23*C24*C25*C28,0)</f>
        <v>1430</v>
      </c>
      <c r="D33" s="692">
        <f>'数据-汇总表'!F31</f>
        <v>2162.2800000000002</v>
      </c>
      <c r="E33" s="693">
        <f>ROUND(C33*D33/10000,0)</f>
        <v>309</v>
      </c>
      <c r="F33" s="694" t="s">
        <v>1812</v>
      </c>
      <c r="G33" s="695"/>
      <c r="H33" s="695"/>
      <c r="I33" s="695"/>
      <c r="J33" s="821"/>
      <c r="K33" s="538"/>
      <c r="L33" s="822" t="s">
        <v>1813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1814</v>
      </c>
      <c r="C34" s="634">
        <f>ROUND(IF(E2="工业",C33*M42,IF(B25="楼层修正",SUM(V2:V16)*M41*10000/D34,C33*M41)),0)</f>
        <v>215</v>
      </c>
      <c r="D34" s="698"/>
      <c r="E34" s="693">
        <f>ROUND(IF(B25="楼层修正",SUM(V2:V16)*M40,C34*D34/10000),0)</f>
        <v>0</v>
      </c>
      <c r="F34" s="699" t="s">
        <v>1815</v>
      </c>
      <c r="G34" s="700"/>
      <c r="H34" s="700"/>
      <c r="I34" s="700"/>
      <c r="J34" s="824"/>
      <c r="K34" s="538"/>
      <c r="L34" s="822" t="s">
        <v>1816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1817</v>
      </c>
      <c r="C35" s="703" t="s">
        <v>1818</v>
      </c>
      <c r="D35" s="596"/>
      <c r="E35" s="704"/>
      <c r="F35" s="704"/>
      <c r="G35" s="594" t="s">
        <v>1815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1809</v>
      </c>
      <c r="D36" s="707" t="s">
        <v>561</v>
      </c>
      <c r="E36" s="707" t="s">
        <v>1810</v>
      </c>
      <c r="F36" s="545" t="s">
        <v>1819</v>
      </c>
      <c r="G36" s="708" t="s">
        <v>1809</v>
      </c>
      <c r="H36" s="708" t="s">
        <v>561</v>
      </c>
      <c r="I36" s="708" t="s">
        <v>1810</v>
      </c>
      <c r="J36" s="428"/>
      <c r="K36" s="826" t="s">
        <v>1820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3"/>
      <c r="B37" s="709" t="s">
        <v>1821</v>
      </c>
      <c r="C37" s="691">
        <f>ROUND(D5*C22*C23*C24*C28*F37,0)</f>
        <v>822</v>
      </c>
      <c r="D37" s="692"/>
      <c r="E37" s="581">
        <f>ROUND(C37*D37/10000,0)</f>
        <v>0</v>
      </c>
      <c r="F37" s="581">
        <f>SUMIF(修正!A57:A68,G2,修正!B57:B68)</f>
        <v>0.6</v>
      </c>
      <c r="G37" s="581">
        <f>ROUND(IF(E2="工业",C37*$M$42,C37*$M$41),0)</f>
        <v>123</v>
      </c>
      <c r="H37" s="581">
        <f>D37</f>
        <v>0</v>
      </c>
      <c r="I37" s="581">
        <f>ROUND(G37*H37/10000,0)</f>
        <v>0</v>
      </c>
      <c r="J37" s="829"/>
      <c r="K37" s="830" t="s">
        <v>1822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4"/>
      <c r="B38" s="599" t="s">
        <v>1823</v>
      </c>
      <c r="C38" s="691">
        <f>ROUND(D5*C22*C23*C24*C28*F38,0)</f>
        <v>411</v>
      </c>
      <c r="D38" s="692"/>
      <c r="E38" s="581">
        <f t="shared" ref="E38:E42" si="4">ROUND(C38*D38/10000,0)</f>
        <v>0</v>
      </c>
      <c r="F38" s="581">
        <f>SUMIF(修正!A57:A68,G2,修正!C57:C68)</f>
        <v>0.3</v>
      </c>
      <c r="G38" s="581">
        <f>ROUND(IF(E2="工业",C38*$M$42,C38*$M$41),0)</f>
        <v>62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4"/>
      <c r="B39" s="599" t="s">
        <v>1824</v>
      </c>
      <c r="C39" s="691">
        <f>ROUND(D5*C22*C23*C24*C28*F39,0)</f>
        <v>343</v>
      </c>
      <c r="D39" s="692"/>
      <c r="E39" s="581">
        <f t="shared" si="4"/>
        <v>0</v>
      </c>
      <c r="F39" s="581">
        <f>SUMIF(修正!A57:A68,G2,修正!D57:D68)</f>
        <v>0.25</v>
      </c>
      <c r="G39" s="581">
        <f>ROUND(IF(E2="工业",C39*$M$42,C39*$M$41),0)</f>
        <v>51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1825</v>
      </c>
      <c r="C40" s="581">
        <f>ROUND(D5*C22*C23*C24*C28*F40,0)</f>
        <v>343</v>
      </c>
      <c r="D40" s="692"/>
      <c r="E40" s="581">
        <f t="shared" si="4"/>
        <v>0</v>
      </c>
      <c r="F40" s="691">
        <f>SUMIF(修正!A57:A68,G2,修正!E57:E68)</f>
        <v>0.25</v>
      </c>
      <c r="G40" s="581">
        <f>ROUND(IF(E2="工业",C40*$M$42,C40*$M$41),0)</f>
        <v>51</v>
      </c>
      <c r="H40" s="581">
        <f t="shared" si="5"/>
        <v>0</v>
      </c>
      <c r="I40" s="581">
        <f t="shared" si="6"/>
        <v>0</v>
      </c>
      <c r="J40" s="831"/>
      <c r="L40" s="832" t="s">
        <v>1826</v>
      </c>
      <c r="M40" s="833"/>
      <c r="Z40" s="714"/>
      <c r="AA40" s="714"/>
      <c r="AB40" s="714"/>
      <c r="AC40" s="714"/>
      <c r="AD40" s="714"/>
      <c r="AE40" s="714"/>
      <c r="AF40" s="714"/>
      <c r="AG40" s="714"/>
      <c r="AH40" s="714"/>
      <c r="AI40" s="714"/>
      <c r="AJ40" s="714"/>
    </row>
    <row r="41" spans="1:37" s="538" customFormat="1">
      <c r="A41" s="711"/>
      <c r="B41" s="599" t="s">
        <v>1827</v>
      </c>
      <c r="C41" s="581">
        <f>ROUND(D5*C22*C23*C44*C28*F41,0)</f>
        <v>343</v>
      </c>
      <c r="D41" s="692">
        <f>'数据-汇总表'!G31</f>
        <v>378.9</v>
      </c>
      <c r="E41" s="581">
        <f t="shared" si="4"/>
        <v>13</v>
      </c>
      <c r="F41" s="691">
        <f>SUMIF(修正!A57:A68,G2,修正!F57:F68)</f>
        <v>0.25</v>
      </c>
      <c r="G41" s="581">
        <f>ROUND(IF(E2="工业",C41*$M$42,C41*$M$41),0)</f>
        <v>51</v>
      </c>
      <c r="H41" s="581">
        <f t="shared" si="5"/>
        <v>378.9</v>
      </c>
      <c r="I41" s="581">
        <f t="shared" si="6"/>
        <v>2</v>
      </c>
      <c r="J41" s="831"/>
      <c r="L41" s="834" t="s">
        <v>1828</v>
      </c>
      <c r="M41" s="835">
        <v>0.25</v>
      </c>
      <c r="Z41" s="714"/>
      <c r="AA41" s="714"/>
      <c r="AB41" s="714"/>
      <c r="AC41" s="714"/>
      <c r="AD41" s="714"/>
      <c r="AE41" s="714"/>
      <c r="AF41" s="714"/>
      <c r="AG41" s="714"/>
      <c r="AH41" s="714"/>
      <c r="AI41" s="714"/>
      <c r="AJ41" s="714"/>
    </row>
    <row r="42" spans="1:37" s="538" customFormat="1">
      <c r="A42" s="696"/>
      <c r="B42" s="712" t="s">
        <v>1829</v>
      </c>
      <c r="C42" s="634">
        <f>ROUND(D5*C22*C23*C44*C28*F42,0)</f>
        <v>206</v>
      </c>
      <c r="D42" s="698"/>
      <c r="E42" s="634">
        <f t="shared" si="4"/>
        <v>0</v>
      </c>
      <c r="F42" s="713">
        <f>SUMIF(修正!A57:A68,G2,修正!G57:G68)</f>
        <v>0.15</v>
      </c>
      <c r="G42" s="634">
        <f>ROUND(IF(E2="工业",C42*$M$42,C42*$M$41),0)</f>
        <v>31</v>
      </c>
      <c r="H42" s="634">
        <f t="shared" si="5"/>
        <v>0</v>
      </c>
      <c r="I42" s="634">
        <f t="shared" si="6"/>
        <v>0</v>
      </c>
      <c r="J42" s="836"/>
      <c r="L42" s="837" t="s">
        <v>1805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1830</v>
      </c>
      <c r="C44" s="545">
        <f>ROUND(POWER(1+E44,H44-G44)*(POWER(1+E44,G44)-1)/(POWER(1+E44,H44)-1),4)</f>
        <v>0.87990000000000002</v>
      </c>
      <c r="D44" s="581" t="s">
        <v>1779</v>
      </c>
      <c r="E44" s="716">
        <f>G24</f>
        <v>0.05</v>
      </c>
      <c r="F44" s="581" t="s">
        <v>1780</v>
      </c>
      <c r="G44" s="717">
        <f>项目基本情况!H15</f>
        <v>33.31</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1833</v>
      </c>
      <c r="B49" s="730" t="s">
        <v>1834</v>
      </c>
      <c r="C49" s="730" t="s">
        <v>1835</v>
      </c>
      <c r="D49" s="730" t="s">
        <v>1836</v>
      </c>
      <c r="E49" s="731" t="s">
        <v>1837</v>
      </c>
      <c r="F49" s="732" t="s">
        <v>1838</v>
      </c>
      <c r="G49" s="730" t="s">
        <v>1656</v>
      </c>
      <c r="H49" s="733" t="s">
        <v>1839</v>
      </c>
      <c r="I49" s="730" t="s">
        <v>1840</v>
      </c>
      <c r="J49" s="840" t="s">
        <v>1535</v>
      </c>
      <c r="K49" s="840" t="s">
        <v>1536</v>
      </c>
      <c r="L49" s="840" t="s">
        <v>1537</v>
      </c>
      <c r="M49" s="840" t="s">
        <v>1538</v>
      </c>
      <c r="N49" s="840" t="s">
        <v>1539</v>
      </c>
      <c r="AA49" s="714"/>
      <c r="AB49" s="714"/>
      <c r="AC49" s="714"/>
      <c r="AD49" s="714"/>
      <c r="AE49" s="714"/>
      <c r="AF49" s="714"/>
      <c r="AG49" s="714"/>
      <c r="AH49" s="714"/>
      <c r="AI49" s="714"/>
      <c r="AJ49" s="714"/>
      <c r="AK49" s="714"/>
    </row>
    <row r="50" spans="1:37" s="538" customFormat="1" ht="38.25">
      <c r="A50" s="729" t="s">
        <v>1841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1842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1843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1844</v>
      </c>
      <c r="B53" s="743" t="s">
        <v>1845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1846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1847</v>
      </c>
      <c r="B55" s="744" t="s">
        <v>1848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1849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1852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1833</v>
      </c>
      <c r="B60" s="730"/>
      <c r="C60" s="730" t="s">
        <v>1835</v>
      </c>
      <c r="D60" s="730" t="s">
        <v>1836</v>
      </c>
      <c r="E60" s="731" t="s">
        <v>1837</v>
      </c>
      <c r="F60" s="732" t="s">
        <v>1853</v>
      </c>
      <c r="G60" s="730" t="s">
        <v>1656</v>
      </c>
      <c r="H60" s="733" t="s">
        <v>1839</v>
      </c>
      <c r="I60" s="730" t="s">
        <v>1840</v>
      </c>
      <c r="J60" s="840" t="s">
        <v>1535</v>
      </c>
      <c r="K60" s="840" t="s">
        <v>1536</v>
      </c>
      <c r="L60" s="840" t="s">
        <v>1537</v>
      </c>
      <c r="M60" s="840" t="s">
        <v>1538</v>
      </c>
      <c r="N60" s="840" t="s">
        <v>1539</v>
      </c>
      <c r="AA60" s="714"/>
      <c r="AB60" s="714"/>
      <c r="AC60" s="714"/>
      <c r="AD60" s="714"/>
      <c r="AE60" s="714"/>
      <c r="AF60" s="714"/>
      <c r="AG60" s="714"/>
      <c r="AH60" s="714"/>
      <c r="AI60" s="714"/>
      <c r="AJ60" s="714"/>
      <c r="AK60" s="714"/>
    </row>
    <row r="61" spans="1:37" s="538" customFormat="1" ht="38.25">
      <c r="A61" s="729" t="s">
        <v>1854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1842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1843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1844</v>
      </c>
      <c r="B64" s="743" t="s">
        <v>1845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1846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1847</v>
      </c>
      <c r="B66" s="744" t="s">
        <v>1848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1849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1850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1851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1855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1833</v>
      </c>
      <c r="B71" s="730"/>
      <c r="C71" s="730" t="s">
        <v>1835</v>
      </c>
      <c r="D71" s="730" t="s">
        <v>1836</v>
      </c>
      <c r="E71" s="731" t="s">
        <v>1837</v>
      </c>
      <c r="F71" s="732" t="s">
        <v>1853</v>
      </c>
      <c r="G71" s="730" t="s">
        <v>1656</v>
      </c>
      <c r="H71" s="733" t="s">
        <v>1839</v>
      </c>
      <c r="I71" s="730" t="s">
        <v>1840</v>
      </c>
      <c r="J71" s="840" t="s">
        <v>1535</v>
      </c>
      <c r="K71" s="840" t="s">
        <v>1536</v>
      </c>
      <c r="L71" s="840" t="s">
        <v>1537</v>
      </c>
      <c r="M71" s="840" t="s">
        <v>1538</v>
      </c>
      <c r="N71" s="840" t="s">
        <v>1539</v>
      </c>
      <c r="AA71" s="714"/>
      <c r="AB71" s="714"/>
      <c r="AC71" s="714"/>
      <c r="AD71" s="714"/>
      <c r="AE71" s="714"/>
      <c r="AF71" s="714"/>
      <c r="AG71" s="714"/>
      <c r="AH71" s="714"/>
      <c r="AI71" s="714"/>
      <c r="AJ71" s="714"/>
      <c r="AK71" s="714"/>
    </row>
    <row r="72" spans="1:37" s="538" customFormat="1" ht="51">
      <c r="A72" s="729" t="s">
        <v>1856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1842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1843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1857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1849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1850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1847</v>
      </c>
      <c r="B78" s="744" t="s">
        <v>1848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1851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1858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1859</v>
      </c>
      <c r="B81" s="724">
        <f>1+E83</f>
        <v>1.0174000000000001</v>
      </c>
      <c r="C81" s="726"/>
      <c r="D81" s="726"/>
      <c r="E81" s="727"/>
      <c r="F81" s="728"/>
      <c r="G81" s="722"/>
      <c r="H81" s="722"/>
      <c r="I81" s="722"/>
      <c r="J81" s="721"/>
      <c r="K81" s="721"/>
      <c r="L81" s="721"/>
      <c r="M81" s="721"/>
      <c r="N81" s="721"/>
      <c r="Z81" s="542"/>
      <c r="AA81" s="540"/>
      <c r="AG81" s="544"/>
      <c r="AK81" s="540"/>
    </row>
    <row r="82" spans="1:37" ht="24.75">
      <c r="A82" s="729" t="s">
        <v>1833</v>
      </c>
      <c r="B82" s="730"/>
      <c r="C82" s="730" t="s">
        <v>1835</v>
      </c>
      <c r="D82" s="730" t="s">
        <v>1836</v>
      </c>
      <c r="E82" s="731" t="s">
        <v>1837</v>
      </c>
      <c r="F82" s="732" t="s">
        <v>1853</v>
      </c>
      <c r="G82" s="730" t="s">
        <v>1656</v>
      </c>
      <c r="H82" s="733" t="s">
        <v>1839</v>
      </c>
      <c r="I82" s="730" t="s">
        <v>1840</v>
      </c>
      <c r="J82" s="840" t="s">
        <v>1535</v>
      </c>
      <c r="K82" s="840" t="s">
        <v>1536</v>
      </c>
      <c r="L82" s="840" t="s">
        <v>1537</v>
      </c>
      <c r="M82" s="840" t="s">
        <v>1538</v>
      </c>
      <c r="N82" s="840" t="s">
        <v>1539</v>
      </c>
      <c r="Z82" s="542"/>
      <c r="AA82" s="540"/>
      <c r="AG82" s="544"/>
      <c r="AK82" s="540"/>
    </row>
    <row r="83" spans="1:37" ht="38.25">
      <c r="A83" s="729" t="s">
        <v>1860</v>
      </c>
      <c r="B83" s="740" t="str">
        <f>估价对象房地状况!G15</f>
        <v>估价对象位于XX开发区，园区建设成熟度XX，产业集聚程度XX</v>
      </c>
      <c r="C83" s="605" t="s">
        <v>1861</v>
      </c>
      <c r="D83" s="735">
        <f t="shared" ref="D83:D90" si="22">SUMIF($J$82:$N$82,C83,J83:N83)</f>
        <v>-1.67E-2</v>
      </c>
      <c r="E83" s="736">
        <f>ROUND(SUM(D83:D90),4)</f>
        <v>1.7399999999999999E-2</v>
      </c>
      <c r="F83" s="737">
        <f>IF(E2="工业",SUMIF(L1:L12,G2,N1:N12),"——")</f>
        <v>0.129</v>
      </c>
      <c r="G83" s="738">
        <f>H83</f>
        <v>1.67E-2</v>
      </c>
      <c r="H83" s="739">
        <f t="shared" ref="H83:H90" si="23">IFERROR(ROUNDDOWN($F$83*I83/2,4),"——")</f>
        <v>1.67E-2</v>
      </c>
      <c r="I83" s="841">
        <v>0.26</v>
      </c>
      <c r="J83" s="842">
        <f t="shared" ref="J83:J90" si="24">K83+$G83</f>
        <v>3.3399999999999999E-2</v>
      </c>
      <c r="K83" s="842">
        <f t="shared" ref="K83:K90" si="25">$L83+$G83</f>
        <v>1.67E-2</v>
      </c>
      <c r="L83" s="842">
        <v>0</v>
      </c>
      <c r="M83" s="842">
        <f t="shared" ref="M83:N90" si="26">L83-$G83</f>
        <v>-1.67E-2</v>
      </c>
      <c r="N83" s="842">
        <f t="shared" si="26"/>
        <v>-3.3399999999999999E-2</v>
      </c>
      <c r="Z83" s="542"/>
      <c r="AA83" s="540"/>
      <c r="AG83" s="544"/>
      <c r="AK83" s="540"/>
    </row>
    <row r="84" spans="1:37" ht="38.25">
      <c r="A84" s="729" t="s">
        <v>1842</v>
      </c>
      <c r="B84" s="740" t="str">
        <f>估价对象房地状况!G16</f>
        <v>估价对象周边道路状况、公共交通通达情况、停车便捷程度，综合评价交通便捷度较好</v>
      </c>
      <c r="C84" s="605" t="s">
        <v>1862</v>
      </c>
      <c r="D84" s="735">
        <f t="shared" si="22"/>
        <v>1.9300000000000001E-2</v>
      </c>
      <c r="E84" s="874"/>
      <c r="F84" s="737"/>
      <c r="G84" s="738">
        <f t="shared" ref="G84:G90" si="27">H84</f>
        <v>1.9300000000000001E-2</v>
      </c>
      <c r="H84" s="739">
        <f t="shared" si="23"/>
        <v>1.9300000000000001E-2</v>
      </c>
      <c r="I84" s="841">
        <v>0.3</v>
      </c>
      <c r="J84" s="842">
        <f t="shared" si="24"/>
        <v>3.8600000000000002E-2</v>
      </c>
      <c r="K84" s="842">
        <f t="shared" si="25"/>
        <v>1.9300000000000001E-2</v>
      </c>
      <c r="L84" s="842">
        <v>0</v>
      </c>
      <c r="M84" s="842">
        <f t="shared" si="26"/>
        <v>-1.9300000000000001E-2</v>
      </c>
      <c r="N84" s="842">
        <f t="shared" si="26"/>
        <v>-3.8600000000000002E-2</v>
      </c>
      <c r="Z84" s="542"/>
      <c r="AA84" s="540"/>
      <c r="AG84" s="544"/>
      <c r="AK84" s="540"/>
    </row>
    <row r="85" spans="1:37" ht="36">
      <c r="A85" s="742" t="s">
        <v>1843</v>
      </c>
      <c r="B85" s="740">
        <f>估价对象房地状况!G17</f>
        <v>0</v>
      </c>
      <c r="C85" s="605" t="s">
        <v>1862</v>
      </c>
      <c r="D85" s="735">
        <f t="shared" si="22"/>
        <v>6.4000000000000003E-3</v>
      </c>
      <c r="E85" s="874"/>
      <c r="F85" s="737"/>
      <c r="G85" s="738">
        <f t="shared" si="27"/>
        <v>6.4000000000000003E-3</v>
      </c>
      <c r="H85" s="739">
        <f t="shared" si="23"/>
        <v>6.4000000000000003E-3</v>
      </c>
      <c r="I85" s="841">
        <v>0.1</v>
      </c>
      <c r="J85" s="842">
        <f t="shared" si="24"/>
        <v>1.2800000000000001E-2</v>
      </c>
      <c r="K85" s="842">
        <f t="shared" si="25"/>
        <v>6.4000000000000003E-3</v>
      </c>
      <c r="L85" s="842">
        <v>0</v>
      </c>
      <c r="M85" s="842">
        <f t="shared" si="26"/>
        <v>-6.4000000000000003E-3</v>
      </c>
      <c r="N85" s="842">
        <f t="shared" si="26"/>
        <v>-1.2800000000000001E-2</v>
      </c>
      <c r="Z85" s="542"/>
      <c r="AA85" s="540"/>
      <c r="AG85" s="544"/>
      <c r="AK85" s="540"/>
    </row>
    <row r="86" spans="1:37" ht="14.25">
      <c r="A86" s="729" t="s">
        <v>1857</v>
      </c>
      <c r="B86" s="740">
        <f>估价对象房地状况!G22</f>
        <v>0</v>
      </c>
      <c r="C86" s="605" t="s">
        <v>1861</v>
      </c>
      <c r="D86" s="735">
        <f t="shared" si="22"/>
        <v>-3.2000000000000002E-3</v>
      </c>
      <c r="E86" s="874"/>
      <c r="F86" s="737"/>
      <c r="G86" s="738">
        <f t="shared" si="27"/>
        <v>3.2000000000000002E-3</v>
      </c>
      <c r="H86" s="739">
        <f t="shared" si="23"/>
        <v>3.2000000000000002E-3</v>
      </c>
      <c r="I86" s="841">
        <v>0.05</v>
      </c>
      <c r="J86" s="842">
        <f t="shared" si="24"/>
        <v>6.4000000000000003E-3</v>
      </c>
      <c r="K86" s="842">
        <f t="shared" si="25"/>
        <v>3.2000000000000002E-3</v>
      </c>
      <c r="L86" s="842">
        <v>0</v>
      </c>
      <c r="M86" s="842">
        <f t="shared" si="26"/>
        <v>-3.2000000000000002E-3</v>
      </c>
      <c r="N86" s="842">
        <f t="shared" si="26"/>
        <v>-6.4000000000000003E-3</v>
      </c>
      <c r="Z86" s="542"/>
      <c r="AA86" s="540"/>
      <c r="AG86" s="544"/>
      <c r="AK86" s="540"/>
    </row>
    <row r="87" spans="1:37" ht="25.5">
      <c r="A87" s="729" t="s">
        <v>1849</v>
      </c>
      <c r="B87" s="746" t="str">
        <f>估价对象房地状况!G19</f>
        <v>估价对象所在区域公共配套设施齐备情况</v>
      </c>
      <c r="C87" s="605" t="s">
        <v>1863</v>
      </c>
      <c r="D87" s="735">
        <f t="shared" si="22"/>
        <v>0</v>
      </c>
      <c r="E87" s="874"/>
      <c r="F87" s="737"/>
      <c r="G87" s="738">
        <f t="shared" si="27"/>
        <v>3.8E-3</v>
      </c>
      <c r="H87" s="739">
        <f t="shared" si="23"/>
        <v>3.8E-3</v>
      </c>
      <c r="I87" s="841">
        <v>0.06</v>
      </c>
      <c r="J87" s="842">
        <f t="shared" si="24"/>
        <v>7.6E-3</v>
      </c>
      <c r="K87" s="842">
        <f t="shared" si="25"/>
        <v>3.8E-3</v>
      </c>
      <c r="L87" s="842">
        <v>0</v>
      </c>
      <c r="M87" s="842">
        <f t="shared" si="26"/>
        <v>-3.8E-3</v>
      </c>
      <c r="N87" s="842">
        <f t="shared" si="26"/>
        <v>-7.6E-3</v>
      </c>
    </row>
    <row r="88" spans="1:37" ht="25.5">
      <c r="A88" s="729" t="s">
        <v>1850</v>
      </c>
      <c r="B88" s="746" t="str">
        <f>估价对象房地状况!G20</f>
        <v>估价对象所在区域基础设施水平</v>
      </c>
      <c r="C88" s="605" t="s">
        <v>1864</v>
      </c>
      <c r="D88" s="735">
        <f t="shared" si="22"/>
        <v>1.54E-2</v>
      </c>
      <c r="E88" s="874"/>
      <c r="F88" s="737"/>
      <c r="G88" s="738">
        <f t="shared" si="27"/>
        <v>7.7000000000000002E-3</v>
      </c>
      <c r="H88" s="739">
        <f t="shared" si="23"/>
        <v>7.7000000000000002E-3</v>
      </c>
      <c r="I88" s="841">
        <v>0.12</v>
      </c>
      <c r="J88" s="842">
        <f t="shared" si="24"/>
        <v>1.54E-2</v>
      </c>
      <c r="K88" s="842">
        <f t="shared" si="25"/>
        <v>7.7000000000000002E-3</v>
      </c>
      <c r="L88" s="842">
        <v>0</v>
      </c>
      <c r="M88" s="842">
        <f t="shared" si="26"/>
        <v>-7.7000000000000002E-3</v>
      </c>
      <c r="N88" s="842">
        <f t="shared" si="26"/>
        <v>-1.54E-2</v>
      </c>
    </row>
    <row r="89" spans="1:37" ht="24">
      <c r="A89" s="729" t="s">
        <v>1847</v>
      </c>
      <c r="B89" s="744" t="s">
        <v>1865</v>
      </c>
      <c r="C89" s="605" t="s">
        <v>1861</v>
      </c>
      <c r="D89" s="735">
        <f t="shared" si="22"/>
        <v>-3.8E-3</v>
      </c>
      <c r="E89" s="874"/>
      <c r="F89" s="737"/>
      <c r="G89" s="738">
        <f t="shared" si="27"/>
        <v>3.8E-3</v>
      </c>
      <c r="H89" s="739">
        <f t="shared" si="23"/>
        <v>3.8E-3</v>
      </c>
      <c r="I89" s="841">
        <v>0.06</v>
      </c>
      <c r="J89" s="842">
        <f t="shared" si="24"/>
        <v>7.6E-3</v>
      </c>
      <c r="K89" s="842">
        <f t="shared" si="25"/>
        <v>3.8E-3</v>
      </c>
      <c r="L89" s="842">
        <v>0</v>
      </c>
      <c r="M89" s="842">
        <f t="shared" si="26"/>
        <v>-3.8E-3</v>
      </c>
      <c r="N89" s="842">
        <f t="shared" si="26"/>
        <v>-7.6E-3</v>
      </c>
    </row>
    <row r="90" spans="1:37" ht="38.25">
      <c r="A90" s="747" t="s">
        <v>1866</v>
      </c>
      <c r="B90" s="877" t="str">
        <f>估价对象房地状况!G18</f>
        <v>该园区内是否有污染型企业，绿化情况，卫生条件，整体环境状况判断</v>
      </c>
      <c r="C90" s="605" t="s">
        <v>1863</v>
      </c>
      <c r="D90" s="735">
        <f t="shared" si="22"/>
        <v>0</v>
      </c>
      <c r="E90" s="876"/>
      <c r="F90" s="737"/>
      <c r="G90" s="738">
        <f t="shared" si="27"/>
        <v>3.2000000000000002E-3</v>
      </c>
      <c r="H90" s="739">
        <f t="shared" si="23"/>
        <v>3.2000000000000002E-3</v>
      </c>
      <c r="I90" s="843">
        <v>0.05</v>
      </c>
      <c r="J90" s="842">
        <f t="shared" si="24"/>
        <v>6.4000000000000003E-3</v>
      </c>
      <c r="K90" s="842">
        <f t="shared" si="25"/>
        <v>3.2000000000000002E-3</v>
      </c>
      <c r="L90" s="842">
        <v>0</v>
      </c>
      <c r="M90" s="842">
        <f t="shared" si="26"/>
        <v>-3.2000000000000002E-3</v>
      </c>
      <c r="N90" s="842">
        <f t="shared" si="26"/>
        <v>-6.4000000000000003E-3</v>
      </c>
    </row>
    <row r="91" spans="1:37" ht="15">
      <c r="A91" s="878" t="s">
        <v>280</v>
      </c>
      <c r="B91" s="879">
        <f>1+E93</f>
        <v>1</v>
      </c>
      <c r="C91" s="880"/>
      <c r="D91" s="881"/>
      <c r="E91" s="737"/>
      <c r="F91" s="737"/>
      <c r="G91" s="882"/>
      <c r="H91" s="883"/>
      <c r="I91" s="918"/>
      <c r="J91" s="919"/>
      <c r="K91" s="919"/>
      <c r="L91" s="919"/>
      <c r="M91" s="919"/>
      <c r="N91" s="919"/>
    </row>
    <row r="92" spans="1:37" ht="24.75">
      <c r="A92" s="884" t="s">
        <v>1833</v>
      </c>
      <c r="B92" s="885"/>
      <c r="C92" s="885" t="s">
        <v>1835</v>
      </c>
      <c r="D92" s="885" t="s">
        <v>1836</v>
      </c>
      <c r="E92" s="854" t="s">
        <v>1837</v>
      </c>
      <c r="F92" s="886" t="s">
        <v>1853</v>
      </c>
      <c r="G92" s="885" t="s">
        <v>1656</v>
      </c>
      <c r="H92" s="887" t="s">
        <v>1839</v>
      </c>
      <c r="I92" s="885" t="s">
        <v>1840</v>
      </c>
      <c r="J92" s="920" t="s">
        <v>1535</v>
      </c>
      <c r="K92" s="920" t="s">
        <v>1536</v>
      </c>
      <c r="L92" s="920" t="s">
        <v>1537</v>
      </c>
      <c r="M92" s="920" t="s">
        <v>1538</v>
      </c>
      <c r="N92" s="920" t="s">
        <v>1539</v>
      </c>
    </row>
    <row r="93" spans="1:37" ht="24">
      <c r="A93" s="742" t="s">
        <v>1867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1842</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1843</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1844</v>
      </c>
      <c r="B96" s="893" t="s">
        <v>1845</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1846</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1847</v>
      </c>
      <c r="B98" s="894" t="s">
        <v>1848</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1849</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1850</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1851</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9" t="s">
        <v>1868</v>
      </c>
      <c r="B103" s="3729"/>
      <c r="C103" s="3729"/>
      <c r="D103" s="3729"/>
      <c r="E103" s="3729"/>
      <c r="F103" s="3729"/>
      <c r="G103" s="3729"/>
      <c r="H103" s="3729"/>
      <c r="I103" s="3729"/>
      <c r="J103" s="3729"/>
      <c r="K103" s="898"/>
      <c r="L103" s="898"/>
      <c r="M103" s="898"/>
      <c r="N103" s="898"/>
    </row>
    <row r="104" spans="1:14">
      <c r="A104" s="3735" t="s">
        <v>1869</v>
      </c>
      <c r="B104" s="3735" t="s">
        <v>1870</v>
      </c>
      <c r="C104" s="900" t="s">
        <v>1871</v>
      </c>
      <c r="D104" s="901"/>
      <c r="E104" s="901"/>
      <c r="F104" s="901"/>
      <c r="G104" s="901"/>
      <c r="H104" s="901"/>
      <c r="I104" s="901"/>
      <c r="J104" s="921"/>
      <c r="K104" s="922"/>
      <c r="L104" s="922"/>
      <c r="M104" s="922"/>
      <c r="N104" s="922"/>
    </row>
    <row r="105" spans="1:14">
      <c r="A105" s="3735"/>
      <c r="B105" s="3735"/>
      <c r="C105" s="899" t="s">
        <v>1716</v>
      </c>
      <c r="D105" s="899" t="s">
        <v>1717</v>
      </c>
      <c r="E105" s="899" t="s">
        <v>1718</v>
      </c>
      <c r="F105" s="899" t="s">
        <v>1719</v>
      </c>
      <c r="G105" s="899" t="s">
        <v>1720</v>
      </c>
      <c r="H105" s="899" t="s">
        <v>1721</v>
      </c>
      <c r="I105" s="899" t="s">
        <v>1722</v>
      </c>
      <c r="J105" s="899" t="s">
        <v>1723</v>
      </c>
      <c r="K105" s="899" t="s">
        <v>1724</v>
      </c>
      <c r="L105" s="899" t="s">
        <v>1725</v>
      </c>
      <c r="M105" s="899" t="s">
        <v>1726</v>
      </c>
      <c r="N105" s="899" t="s">
        <v>1727</v>
      </c>
    </row>
    <row r="106" spans="1:14">
      <c r="A106" s="3736" t="s">
        <v>1872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7"/>
      <c r="B111" s="899" t="s">
        <v>1732</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8"/>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0" t="s">
        <v>1873</v>
      </c>
      <c r="B113" s="3730"/>
      <c r="C113" s="3730"/>
      <c r="D113" s="3730"/>
      <c r="E113" s="3730"/>
      <c r="F113" s="3730"/>
      <c r="G113" s="3730"/>
      <c r="H113" s="3730"/>
      <c r="I113" s="3730"/>
      <c r="J113" s="373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1874</v>
      </c>
      <c r="B116" s="906">
        <f>G3</f>
        <v>1.05</v>
      </c>
      <c r="C116" s="907" t="s">
        <v>1875</v>
      </c>
      <c r="D116" s="908">
        <f>SUMPRODUCT((A118:A122=F116)*(B117:M117=H116)*B118:M122)</f>
        <v>0.64229999999999998</v>
      </c>
      <c r="E116" s="548" t="s">
        <v>1689</v>
      </c>
      <c r="F116" s="909" t="str">
        <f>E2</f>
        <v>工业</v>
      </c>
      <c r="G116" s="548" t="s">
        <v>1690</v>
      </c>
      <c r="H116" s="909" t="str">
        <f>G2</f>
        <v>七级</v>
      </c>
      <c r="I116" s="548"/>
      <c r="J116" s="923"/>
      <c r="K116" s="923"/>
      <c r="L116" s="923"/>
      <c r="M116" s="923"/>
      <c r="N116" s="904"/>
    </row>
    <row r="117" spans="1:14">
      <c r="A117" s="910"/>
      <c r="B117" s="911" t="s">
        <v>1876</v>
      </c>
      <c r="C117" s="911" t="s">
        <v>1877</v>
      </c>
      <c r="D117" s="911" t="s">
        <v>1878</v>
      </c>
      <c r="E117" s="912" t="s">
        <v>1879</v>
      </c>
      <c r="F117" s="912" t="s">
        <v>1880</v>
      </c>
      <c r="G117" s="912" t="s">
        <v>1881</v>
      </c>
      <c r="H117" s="913" t="s">
        <v>1882</v>
      </c>
      <c r="I117" s="913" t="s">
        <v>1883</v>
      </c>
      <c r="J117" s="924" t="s">
        <v>1884</v>
      </c>
      <c r="K117" s="924" t="s">
        <v>1885</v>
      </c>
      <c r="L117" s="924" t="s">
        <v>1886</v>
      </c>
      <c r="M117" s="925" t="s">
        <v>1887</v>
      </c>
      <c r="N117" s="904"/>
    </row>
    <row r="118" spans="1:14">
      <c r="A118" s="914" t="s">
        <v>1802</v>
      </c>
      <c r="B118" s="887">
        <f>ROUND(0.9968-0.011*B116,4)</f>
        <v>0.98529999999999995</v>
      </c>
      <c r="C118" s="887">
        <f>B118</f>
        <v>0.98529999999999995</v>
      </c>
      <c r="D118" s="887">
        <f>ROUND(0.949-0.014*B116,4)</f>
        <v>0.93430000000000002</v>
      </c>
      <c r="E118" s="887">
        <f>D118</f>
        <v>0.93430000000000002</v>
      </c>
      <c r="F118" s="887">
        <f>E118</f>
        <v>0.93430000000000002</v>
      </c>
      <c r="G118" s="887">
        <f>F118</f>
        <v>0.93430000000000002</v>
      </c>
      <c r="H118" s="887">
        <f>G118</f>
        <v>0.93430000000000002</v>
      </c>
      <c r="I118" s="887">
        <f>ROUND(0.8486-0.018*B116,4)</f>
        <v>0.82969999999999999</v>
      </c>
      <c r="J118" s="887">
        <f t="shared" ref="J118:M122" si="36">I118</f>
        <v>0.82969999999999999</v>
      </c>
      <c r="K118" s="887">
        <f t="shared" si="36"/>
        <v>0.82969999999999999</v>
      </c>
      <c r="L118" s="887">
        <f t="shared" si="36"/>
        <v>0.82969999999999999</v>
      </c>
      <c r="M118" s="926">
        <f t="shared" si="36"/>
        <v>0.82969999999999999</v>
      </c>
      <c r="N118" s="904"/>
    </row>
    <row r="119" spans="1:14">
      <c r="A119" s="914" t="s">
        <v>1803</v>
      </c>
      <c r="B119" s="887">
        <f>ROUND(0.993-0.0112*B116,4)</f>
        <v>0.98119999999999996</v>
      </c>
      <c r="C119" s="887">
        <f>B119</f>
        <v>0.98119999999999996</v>
      </c>
      <c r="D119" s="887">
        <f>ROUND(0.9415-0.0142*B116,4)</f>
        <v>0.92659999999999998</v>
      </c>
      <c r="E119" s="887">
        <f t="shared" ref="E119:H120" si="37">D119</f>
        <v>0.92659999999999998</v>
      </c>
      <c r="F119" s="887">
        <f t="shared" si="37"/>
        <v>0.92659999999999998</v>
      </c>
      <c r="G119" s="887">
        <f t="shared" si="37"/>
        <v>0.92659999999999998</v>
      </c>
      <c r="H119" s="887">
        <f t="shared" si="37"/>
        <v>0.92659999999999998</v>
      </c>
      <c r="I119" s="887">
        <f>ROUND(0.838-0.0182*B116,4)</f>
        <v>0.81889999999999996</v>
      </c>
      <c r="J119" s="887">
        <f t="shared" si="36"/>
        <v>0.81889999999999996</v>
      </c>
      <c r="K119" s="887">
        <f t="shared" si="36"/>
        <v>0.81889999999999996</v>
      </c>
      <c r="L119" s="887">
        <f t="shared" si="36"/>
        <v>0.81889999999999996</v>
      </c>
      <c r="M119" s="926">
        <f t="shared" si="36"/>
        <v>0.81889999999999996</v>
      </c>
      <c r="N119" s="904"/>
    </row>
    <row r="120" spans="1:14">
      <c r="A120" s="914" t="s">
        <v>1804</v>
      </c>
      <c r="B120" s="887">
        <f>ROUND(0.9448-0.0115*B116,4)</f>
        <v>0.93269999999999997</v>
      </c>
      <c r="C120" s="887">
        <f>B120</f>
        <v>0.93269999999999997</v>
      </c>
      <c r="D120" s="887">
        <f>ROUND(0.937-0.0145*B116,4)</f>
        <v>0.92179999999999995</v>
      </c>
      <c r="E120" s="887">
        <f t="shared" si="37"/>
        <v>0.92179999999999995</v>
      </c>
      <c r="F120" s="887">
        <f t="shared" si="37"/>
        <v>0.92179999999999995</v>
      </c>
      <c r="G120" s="887">
        <f t="shared" si="37"/>
        <v>0.92179999999999995</v>
      </c>
      <c r="H120" s="887">
        <f t="shared" si="37"/>
        <v>0.92179999999999995</v>
      </c>
      <c r="I120" s="887">
        <f>ROUND(0.7965-0.0185*B116,4)</f>
        <v>0.77710000000000001</v>
      </c>
      <c r="J120" s="887">
        <f t="shared" si="36"/>
        <v>0.77710000000000001</v>
      </c>
      <c r="K120" s="887">
        <f t="shared" si="36"/>
        <v>0.77710000000000001</v>
      </c>
      <c r="L120" s="887">
        <f t="shared" si="36"/>
        <v>0.77710000000000001</v>
      </c>
      <c r="M120" s="926">
        <f t="shared" si="36"/>
        <v>0.77710000000000001</v>
      </c>
      <c r="N120" s="904"/>
    </row>
    <row r="121" spans="1:14">
      <c r="A121" s="915" t="s">
        <v>1805</v>
      </c>
      <c r="B121" s="916">
        <f>ROUND(0.7836-0.012*B116,4)</f>
        <v>0.77100000000000002</v>
      </c>
      <c r="C121" s="916">
        <f>B121</f>
        <v>0.77100000000000002</v>
      </c>
      <c r="D121" s="916">
        <f>ROUND(0.753-0.015*B116,4)</f>
        <v>0.73729999999999996</v>
      </c>
      <c r="E121" s="916">
        <f>D121</f>
        <v>0.73729999999999996</v>
      </c>
      <c r="F121" s="916">
        <f>E121</f>
        <v>0.73729999999999996</v>
      </c>
      <c r="G121" s="916">
        <f>ROUND(0.6612-0.018*B116,4)</f>
        <v>0.64229999999999998</v>
      </c>
      <c r="H121" s="916">
        <f>G121</f>
        <v>0.64229999999999998</v>
      </c>
      <c r="I121" s="916">
        <f>ROUND(0.5905-0.019*B116,4)</f>
        <v>0.5706</v>
      </c>
      <c r="J121" s="916">
        <f t="shared" si="36"/>
        <v>0.5706</v>
      </c>
      <c r="K121" s="916">
        <f t="shared" si="36"/>
        <v>0.5706</v>
      </c>
      <c r="L121" s="916">
        <f t="shared" si="36"/>
        <v>0.5706</v>
      </c>
      <c r="M121" s="927">
        <f t="shared" si="36"/>
        <v>0.5706</v>
      </c>
      <c r="N121" s="904"/>
    </row>
    <row r="122" spans="1:14">
      <c r="A122" s="917" t="s">
        <v>280</v>
      </c>
      <c r="B122" s="887">
        <f>ROUND(0.9404-0.0106*B116,4)</f>
        <v>0.92930000000000001</v>
      </c>
      <c r="C122" s="887">
        <f>B122</f>
        <v>0.92930000000000001</v>
      </c>
      <c r="D122" s="887">
        <f>ROUND(0.8955-0.0135*B116,4)</f>
        <v>0.88129999999999997</v>
      </c>
      <c r="E122" s="887">
        <f t="shared" ref="E122:H122" si="38">D122</f>
        <v>0.88129999999999997</v>
      </c>
      <c r="F122" s="887">
        <f t="shared" si="38"/>
        <v>0.88129999999999997</v>
      </c>
      <c r="G122" s="887">
        <f t="shared" si="38"/>
        <v>0.88129999999999997</v>
      </c>
      <c r="H122" s="887">
        <f t="shared" si="38"/>
        <v>0.88129999999999997</v>
      </c>
      <c r="I122" s="887">
        <f>ROUND(0.7632-0.0166*B116,4)</f>
        <v>0.74580000000000002</v>
      </c>
      <c r="J122" s="887">
        <f t="shared" si="36"/>
        <v>0.74580000000000002</v>
      </c>
      <c r="K122" s="887">
        <f t="shared" si="36"/>
        <v>0.74580000000000002</v>
      </c>
      <c r="L122" s="887">
        <f t="shared" si="36"/>
        <v>0.74580000000000002</v>
      </c>
      <c r="M122" s="926">
        <f t="shared" si="36"/>
        <v>0.74580000000000002</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1888</v>
      </c>
      <c r="B2" s="482">
        <v>3.5</v>
      </c>
      <c r="C2" s="482">
        <v>3.5</v>
      </c>
      <c r="D2" s="483">
        <v>2.5</v>
      </c>
      <c r="E2" s="483">
        <v>2.5</v>
      </c>
      <c r="F2" s="483">
        <v>2.5</v>
      </c>
      <c r="G2" s="483">
        <v>2.5</v>
      </c>
      <c r="H2" s="483">
        <v>2.5</v>
      </c>
      <c r="I2" s="482">
        <v>2</v>
      </c>
      <c r="J2" s="482">
        <v>2</v>
      </c>
      <c r="K2" s="482">
        <v>2</v>
      </c>
      <c r="L2" s="482">
        <v>2</v>
      </c>
      <c r="M2" s="526">
        <v>2</v>
      </c>
    </row>
    <row r="3" spans="1:13" ht="19.5" customHeight="1">
      <c r="A3" s="484" t="s">
        <v>1889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1893</v>
      </c>
      <c r="B18" s="498"/>
      <c r="C18" s="499"/>
      <c r="D18" s="499"/>
      <c r="E18" s="498"/>
      <c r="F18" s="499"/>
      <c r="G18" s="499"/>
    </row>
    <row r="19" spans="1:13" ht="19.5" customHeight="1">
      <c r="A19" s="497" t="s">
        <v>1894</v>
      </c>
      <c r="B19" s="500" t="s">
        <v>1895</v>
      </c>
      <c r="C19" s="500" t="s">
        <v>1896</v>
      </c>
      <c r="D19" s="501"/>
      <c r="E19" s="497" t="s">
        <v>1897</v>
      </c>
      <c r="F19" s="502"/>
      <c r="G19" s="502"/>
    </row>
    <row r="20" spans="1:13" ht="19.5" customHeight="1">
      <c r="A20" s="3740" t="s">
        <v>1888</v>
      </c>
      <c r="B20" s="3746" t="s">
        <v>1898</v>
      </c>
      <c r="C20" s="503" t="s">
        <v>1899</v>
      </c>
      <c r="D20" s="504"/>
      <c r="E20" s="505">
        <v>1</v>
      </c>
      <c r="F20" s="506" t="s">
        <v>1900</v>
      </c>
      <c r="G20" s="506"/>
    </row>
    <row r="21" spans="1:13" ht="19.5" customHeight="1">
      <c r="A21" s="3741"/>
      <c r="B21" s="3747"/>
      <c r="C21" s="507" t="s">
        <v>1901</v>
      </c>
      <c r="D21" s="508"/>
      <c r="E21" s="509">
        <v>1</v>
      </c>
      <c r="F21" s="506" t="s">
        <v>1902</v>
      </c>
      <c r="G21" s="506"/>
    </row>
    <row r="22" spans="1:13" ht="19.5" customHeight="1">
      <c r="A22" s="3741"/>
      <c r="B22" s="3747"/>
      <c r="C22" s="507" t="s">
        <v>1903</v>
      </c>
      <c r="D22" s="508"/>
      <c r="E22" s="509">
        <v>0.9</v>
      </c>
      <c r="F22" s="506" t="s">
        <v>1904</v>
      </c>
      <c r="G22" s="506"/>
    </row>
    <row r="23" spans="1:13" ht="19.5" customHeight="1">
      <c r="A23" s="3741"/>
      <c r="B23" s="3747"/>
      <c r="C23" s="507" t="s">
        <v>1905</v>
      </c>
      <c r="D23" s="508"/>
      <c r="E23" s="509">
        <v>0.9</v>
      </c>
      <c r="F23" s="506" t="s">
        <v>1906</v>
      </c>
      <c r="G23" s="506"/>
    </row>
    <row r="24" spans="1:13" ht="19.5" customHeight="1">
      <c r="A24" s="3741"/>
      <c r="B24" s="3747"/>
      <c r="C24" s="507" t="s">
        <v>1907</v>
      </c>
      <c r="D24" s="508"/>
      <c r="E24" s="509">
        <v>0.8</v>
      </c>
      <c r="F24" s="506" t="s">
        <v>1908</v>
      </c>
      <c r="G24" s="506"/>
    </row>
    <row r="25" spans="1:13" ht="19.5" customHeight="1">
      <c r="A25" s="3742"/>
      <c r="B25" s="3748"/>
      <c r="C25" s="510" t="s">
        <v>1909</v>
      </c>
      <c r="D25" s="511"/>
      <c r="E25" s="512">
        <v>0.8</v>
      </c>
      <c r="F25" s="506" t="s">
        <v>1910</v>
      </c>
      <c r="G25" s="506"/>
    </row>
    <row r="26" spans="1:13" ht="19.5" customHeight="1">
      <c r="A26" s="513" t="s">
        <v>1889</v>
      </c>
      <c r="B26" s="514" t="s">
        <v>1898</v>
      </c>
      <c r="C26" s="515" t="s">
        <v>1911</v>
      </c>
      <c r="D26" s="516"/>
      <c r="E26" s="517">
        <v>1</v>
      </c>
      <c r="F26" s="506" t="s">
        <v>1912</v>
      </c>
      <c r="G26" s="506"/>
    </row>
    <row r="27" spans="1:13" ht="19.5" customHeight="1">
      <c r="A27" s="3743" t="s">
        <v>280</v>
      </c>
      <c r="B27" s="3746" t="s">
        <v>280</v>
      </c>
      <c r="C27" s="503" t="s">
        <v>1913</v>
      </c>
      <c r="D27" s="504"/>
      <c r="E27" s="505">
        <v>1</v>
      </c>
      <c r="F27" s="506" t="s">
        <v>1914</v>
      </c>
      <c r="G27" s="506"/>
    </row>
    <row r="28" spans="1:13" ht="19.5" customHeight="1">
      <c r="A28" s="3744"/>
      <c r="B28" s="3747"/>
      <c r="C28" s="507" t="s">
        <v>1915</v>
      </c>
      <c r="D28" s="508"/>
      <c r="E28" s="509">
        <v>1</v>
      </c>
      <c r="F28" s="506" t="s">
        <v>1916</v>
      </c>
      <c r="G28" s="506"/>
    </row>
    <row r="29" spans="1:13" ht="19.5" customHeight="1">
      <c r="A29" s="3744"/>
      <c r="B29" s="3747"/>
      <c r="C29" s="507" t="s">
        <v>1917</v>
      </c>
      <c r="D29" s="508"/>
      <c r="E29" s="509">
        <v>0.8</v>
      </c>
      <c r="F29" s="506" t="s">
        <v>1918</v>
      </c>
      <c r="G29" s="506"/>
    </row>
    <row r="30" spans="1:13" ht="19.5" customHeight="1">
      <c r="A30" s="3744"/>
      <c r="B30" s="3747"/>
      <c r="C30" s="507" t="s">
        <v>1919</v>
      </c>
      <c r="D30" s="508"/>
      <c r="E30" s="509">
        <v>0.8</v>
      </c>
      <c r="F30" s="506" t="s">
        <v>1920</v>
      </c>
      <c r="G30" s="506"/>
    </row>
    <row r="31" spans="1:13" ht="19.5" customHeight="1">
      <c r="A31" s="3744"/>
      <c r="B31" s="3747"/>
      <c r="C31" s="507" t="s">
        <v>1921</v>
      </c>
      <c r="D31" s="508"/>
      <c r="E31" s="509">
        <v>0.8</v>
      </c>
      <c r="F31" s="506" t="s">
        <v>1922</v>
      </c>
      <c r="G31" s="506"/>
    </row>
    <row r="32" spans="1:13" ht="19.5" customHeight="1">
      <c r="A32" s="3744"/>
      <c r="B32" s="3747"/>
      <c r="C32" s="507" t="s">
        <v>1923</v>
      </c>
      <c r="D32" s="508"/>
      <c r="E32" s="509">
        <v>0.7</v>
      </c>
      <c r="F32" s="506" t="s">
        <v>1924</v>
      </c>
      <c r="G32" s="506"/>
    </row>
    <row r="33" spans="1:7" ht="19.5" customHeight="1">
      <c r="A33" s="3744"/>
      <c r="B33" s="3747"/>
      <c r="C33" s="507" t="s">
        <v>1925</v>
      </c>
      <c r="D33" s="508"/>
      <c r="E33" s="509">
        <v>0.8</v>
      </c>
      <c r="F33" s="506" t="s">
        <v>1926</v>
      </c>
      <c r="G33" s="506"/>
    </row>
    <row r="34" spans="1:7" ht="19.5" customHeight="1">
      <c r="A34" s="3744"/>
      <c r="B34" s="3747"/>
      <c r="C34" s="507" t="s">
        <v>1927</v>
      </c>
      <c r="D34" s="508"/>
      <c r="E34" s="509">
        <v>0.6</v>
      </c>
      <c r="F34" s="506" t="s">
        <v>1928</v>
      </c>
      <c r="G34" s="506"/>
    </row>
    <row r="35" spans="1:7" ht="19.5" customHeight="1">
      <c r="A35" s="3744"/>
      <c r="B35" s="3747"/>
      <c r="C35" s="507" t="s">
        <v>1929</v>
      </c>
      <c r="D35" s="508"/>
      <c r="E35" s="509">
        <v>0.2</v>
      </c>
      <c r="F35" s="506" t="s">
        <v>1930</v>
      </c>
      <c r="G35" s="506"/>
    </row>
    <row r="36" spans="1:7" ht="19.5" customHeight="1">
      <c r="A36" s="3744"/>
      <c r="B36" s="3747"/>
      <c r="C36" s="507" t="s">
        <v>1931</v>
      </c>
      <c r="D36" s="508"/>
      <c r="E36" s="509">
        <v>0.2</v>
      </c>
      <c r="F36" s="506" t="s">
        <v>1932</v>
      </c>
      <c r="G36" s="506"/>
    </row>
    <row r="37" spans="1:7" ht="19.5" customHeight="1">
      <c r="A37" s="3744"/>
      <c r="B37" s="3749" t="s">
        <v>1933</v>
      </c>
      <c r="C37" s="507" t="s">
        <v>1934</v>
      </c>
      <c r="D37" s="508"/>
      <c r="E37" s="509">
        <v>0.6</v>
      </c>
      <c r="F37" s="506" t="s">
        <v>1935</v>
      </c>
      <c r="G37" s="506"/>
    </row>
    <row r="38" spans="1:7" ht="19.5" customHeight="1">
      <c r="A38" s="3744"/>
      <c r="B38" s="3747"/>
      <c r="C38" s="507" t="s">
        <v>1936</v>
      </c>
      <c r="D38" s="508"/>
      <c r="E38" s="509">
        <v>0.6</v>
      </c>
      <c r="F38" s="506" t="s">
        <v>1937</v>
      </c>
      <c r="G38" s="506"/>
    </row>
    <row r="39" spans="1:7" ht="19.5" customHeight="1">
      <c r="A39" s="3745"/>
      <c r="B39" s="3748"/>
      <c r="C39" s="510" t="s">
        <v>1938</v>
      </c>
      <c r="D39" s="511"/>
      <c r="E39" s="512">
        <v>0.6</v>
      </c>
      <c r="F39" s="506" t="s">
        <v>1939</v>
      </c>
      <c r="G39" s="506"/>
    </row>
    <row r="40" spans="1:7" ht="19.5" customHeight="1">
      <c r="A40" s="513" t="s">
        <v>412</v>
      </c>
      <c r="B40" s="514" t="s">
        <v>412</v>
      </c>
      <c r="C40" s="515" t="s">
        <v>1940</v>
      </c>
      <c r="D40" s="516"/>
      <c r="E40" s="517">
        <v>1</v>
      </c>
      <c r="F40" s="506" t="s">
        <v>1941</v>
      </c>
      <c r="G40" s="506"/>
    </row>
    <row r="41" spans="1:7" ht="19.5" customHeight="1">
      <c r="A41" s="3740" t="s">
        <v>408</v>
      </c>
      <c r="B41" s="3746" t="s">
        <v>1942</v>
      </c>
      <c r="C41" s="503" t="s">
        <v>1694</v>
      </c>
      <c r="D41" s="504"/>
      <c r="E41" s="505">
        <v>1</v>
      </c>
      <c r="F41" s="506" t="s">
        <v>1943</v>
      </c>
      <c r="G41" s="506"/>
    </row>
    <row r="42" spans="1:7" ht="19.5" customHeight="1">
      <c r="A42" s="3741"/>
      <c r="B42" s="3747"/>
      <c r="C42" s="507" t="s">
        <v>1944</v>
      </c>
      <c r="D42" s="508"/>
      <c r="E42" s="509">
        <v>1</v>
      </c>
      <c r="F42" s="506" t="s">
        <v>1945</v>
      </c>
      <c r="G42" s="506"/>
    </row>
    <row r="43" spans="1:7" ht="19.5" customHeight="1">
      <c r="A43" s="3741"/>
      <c r="B43" s="3750"/>
      <c r="C43" s="507" t="s">
        <v>1946</v>
      </c>
      <c r="D43" s="508"/>
      <c r="E43" s="509">
        <v>1.5</v>
      </c>
      <c r="F43" s="506" t="s">
        <v>1947</v>
      </c>
      <c r="G43" s="506"/>
    </row>
    <row r="44" spans="1:7" ht="19.5" customHeight="1">
      <c r="A44" s="3741"/>
      <c r="B44" s="519" t="s">
        <v>280</v>
      </c>
      <c r="C44" s="507" t="s">
        <v>1890</v>
      </c>
      <c r="D44" s="508"/>
      <c r="E44" s="509">
        <v>2</v>
      </c>
      <c r="F44" s="506" t="s">
        <v>1948</v>
      </c>
      <c r="G44" s="506"/>
    </row>
    <row r="45" spans="1:7" ht="19.5" customHeight="1">
      <c r="A45" s="3741"/>
      <c r="B45" s="3749" t="s">
        <v>1949</v>
      </c>
      <c r="C45" s="507" t="s">
        <v>1950</v>
      </c>
      <c r="D45" s="508"/>
      <c r="E45" s="509">
        <v>1</v>
      </c>
      <c r="F45" s="506" t="s">
        <v>1951</v>
      </c>
      <c r="G45" s="506"/>
    </row>
    <row r="46" spans="1:7" ht="19.5" customHeight="1">
      <c r="A46" s="3741"/>
      <c r="B46" s="3747"/>
      <c r="C46" s="507" t="s">
        <v>1952</v>
      </c>
      <c r="D46" s="508"/>
      <c r="E46" s="509">
        <v>1</v>
      </c>
      <c r="F46" s="506" t="s">
        <v>1953</v>
      </c>
      <c r="G46" s="506"/>
    </row>
    <row r="47" spans="1:7" ht="19.5" customHeight="1">
      <c r="A47" s="3741"/>
      <c r="B47" s="3747"/>
      <c r="C47" s="507" t="s">
        <v>1954</v>
      </c>
      <c r="D47" s="508"/>
      <c r="E47" s="509">
        <v>1</v>
      </c>
      <c r="F47" s="506" t="s">
        <v>1955</v>
      </c>
      <c r="G47" s="506"/>
    </row>
    <row r="48" spans="1:7" ht="19.5" customHeight="1">
      <c r="A48" s="3741"/>
      <c r="B48" s="3747"/>
      <c r="C48" s="507" t="s">
        <v>1956</v>
      </c>
      <c r="D48" s="508"/>
      <c r="E48" s="509">
        <v>1</v>
      </c>
      <c r="F48" s="506" t="s">
        <v>1957</v>
      </c>
      <c r="G48" s="506"/>
    </row>
    <row r="49" spans="1:7" ht="19.5" customHeight="1">
      <c r="A49" s="3741"/>
      <c r="B49" s="3747"/>
      <c r="C49" s="507" t="s">
        <v>1958</v>
      </c>
      <c r="D49" s="508"/>
      <c r="E49" s="509">
        <v>1</v>
      </c>
      <c r="F49" s="506" t="s">
        <v>1959</v>
      </c>
      <c r="G49" s="506"/>
    </row>
    <row r="50" spans="1:7" ht="19.5" customHeight="1">
      <c r="A50" s="3741"/>
      <c r="B50" s="3747"/>
      <c r="C50" s="507" t="s">
        <v>1960</v>
      </c>
      <c r="D50" s="508"/>
      <c r="E50" s="509">
        <v>1</v>
      </c>
      <c r="F50" s="506" t="s">
        <v>1961</v>
      </c>
      <c r="G50" s="506"/>
    </row>
    <row r="51" spans="1:7" ht="19.5" customHeight="1">
      <c r="A51" s="3742"/>
      <c r="B51" s="3748"/>
      <c r="C51" s="510" t="s">
        <v>1962</v>
      </c>
      <c r="D51" s="511"/>
      <c r="E51" s="512">
        <v>1</v>
      </c>
      <c r="F51" s="506" t="s">
        <v>1963</v>
      </c>
      <c r="G51" s="506"/>
    </row>
    <row r="52" spans="1:7" ht="19.5" customHeight="1">
      <c r="A52" s="520"/>
      <c r="B52" s="520"/>
      <c r="C52" s="520"/>
      <c r="D52" s="520"/>
      <c r="E52" s="520"/>
      <c r="F52" s="520"/>
      <c r="G52" s="520"/>
    </row>
    <row r="54" spans="1:7" ht="19.5" customHeight="1">
      <c r="A54" s="521"/>
      <c r="B54" s="495" t="s">
        <v>541</v>
      </c>
      <c r="C54" s="495" t="s">
        <v>541</v>
      </c>
      <c r="D54" s="495" t="s">
        <v>541</v>
      </c>
      <c r="E54" s="497" t="s">
        <v>541</v>
      </c>
      <c r="F54" s="497" t="s">
        <v>1964</v>
      </c>
      <c r="G54" s="497" t="s">
        <v>541</v>
      </c>
    </row>
    <row r="55" spans="1:7" ht="19.5" customHeight="1">
      <c r="A55" s="522"/>
      <c r="B55" s="497" t="s">
        <v>1888</v>
      </c>
      <c r="C55" s="497" t="s">
        <v>1888</v>
      </c>
      <c r="D55" s="497" t="s">
        <v>1888</v>
      </c>
      <c r="E55" s="495" t="s">
        <v>1889</v>
      </c>
      <c r="F55" s="495" t="s">
        <v>408</v>
      </c>
      <c r="G55" s="495" t="s">
        <v>1589</v>
      </c>
    </row>
    <row r="56" spans="1:7" ht="19.5" customHeight="1">
      <c r="A56" s="523"/>
      <c r="B56" s="495">
        <v>1</v>
      </c>
      <c r="C56" s="495">
        <v>2</v>
      </c>
      <c r="D56" s="495">
        <v>3</v>
      </c>
      <c r="E56" s="524" t="s">
        <v>1965</v>
      </c>
      <c r="F56" s="524" t="s">
        <v>1965</v>
      </c>
      <c r="G56" s="524" t="s">
        <v>1965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1966</v>
      </c>
      <c r="E70" s="536"/>
      <c r="F70" s="536"/>
    </row>
    <row r="71" spans="1:7" ht="19.5" customHeight="1">
      <c r="A71" s="519" t="s">
        <v>1967</v>
      </c>
      <c r="B71" s="519" t="s">
        <v>1968</v>
      </c>
      <c r="C71" s="519" t="s">
        <v>1969</v>
      </c>
      <c r="D71" s="519" t="s">
        <v>1970</v>
      </c>
      <c r="E71" s="519" t="s">
        <v>1971</v>
      </c>
      <c r="F71" s="519" t="s">
        <v>1972</v>
      </c>
    </row>
    <row r="72" spans="1:7" ht="13.5">
      <c r="A72" s="519"/>
      <c r="B72" s="519"/>
      <c r="C72" s="519" t="s">
        <v>1711</v>
      </c>
      <c r="D72" s="519"/>
      <c r="E72" s="519" t="s">
        <v>124</v>
      </c>
      <c r="F72" s="519" t="s">
        <v>124</v>
      </c>
    </row>
    <row r="73" spans="1:7" ht="13.5">
      <c r="A73" s="519">
        <v>1</v>
      </c>
      <c r="B73" s="3749" t="s">
        <v>1973</v>
      </c>
      <c r="C73" s="495" t="s">
        <v>1974</v>
      </c>
      <c r="D73" s="495" t="s">
        <v>1975</v>
      </c>
      <c r="E73" s="519">
        <v>0.2</v>
      </c>
      <c r="F73" s="519">
        <v>25</v>
      </c>
    </row>
    <row r="74" spans="1:7" ht="24">
      <c r="A74" s="519">
        <v>2</v>
      </c>
      <c r="B74" s="3747"/>
      <c r="C74" s="495" t="s">
        <v>1976</v>
      </c>
      <c r="D74" s="495" t="s">
        <v>1977</v>
      </c>
      <c r="E74" s="519">
        <v>0.2</v>
      </c>
      <c r="F74" s="519">
        <v>25</v>
      </c>
    </row>
    <row r="75" spans="1:7" ht="24">
      <c r="A75" s="519">
        <v>3</v>
      </c>
      <c r="B75" s="3747"/>
      <c r="C75" s="495" t="s">
        <v>1978</v>
      </c>
      <c r="D75" s="495" t="s">
        <v>1979</v>
      </c>
      <c r="E75" s="519">
        <v>0.2</v>
      </c>
      <c r="F75" s="519">
        <v>25</v>
      </c>
    </row>
    <row r="76" spans="1:7" ht="13.5">
      <c r="A76" s="519">
        <v>4</v>
      </c>
      <c r="B76" s="3747"/>
      <c r="C76" s="495" t="s">
        <v>1980</v>
      </c>
      <c r="D76" s="495" t="s">
        <v>1981</v>
      </c>
      <c r="E76" s="519">
        <v>0.15</v>
      </c>
      <c r="F76" s="519">
        <v>20</v>
      </c>
    </row>
    <row r="77" spans="1:7" ht="24">
      <c r="A77" s="519">
        <v>5</v>
      </c>
      <c r="B77" s="3747"/>
      <c r="C77" s="495" t="s">
        <v>1982</v>
      </c>
      <c r="D77" s="495" t="s">
        <v>1983</v>
      </c>
      <c r="E77" s="519">
        <v>0.15</v>
      </c>
      <c r="F77" s="519">
        <v>20</v>
      </c>
    </row>
    <row r="78" spans="1:7" ht="24">
      <c r="A78" s="519">
        <v>6</v>
      </c>
      <c r="B78" s="3747"/>
      <c r="C78" s="495" t="s">
        <v>1984</v>
      </c>
      <c r="D78" s="495" t="s">
        <v>1985</v>
      </c>
      <c r="E78" s="519">
        <v>0.15</v>
      </c>
      <c r="F78" s="519">
        <v>20</v>
      </c>
    </row>
    <row r="79" spans="1:7" ht="24">
      <c r="A79" s="519">
        <v>7</v>
      </c>
      <c r="B79" s="3747"/>
      <c r="C79" s="495" t="s">
        <v>1986</v>
      </c>
      <c r="D79" s="495" t="s">
        <v>1987</v>
      </c>
      <c r="E79" s="519">
        <v>0.15</v>
      </c>
      <c r="F79" s="519">
        <v>20</v>
      </c>
    </row>
    <row r="80" spans="1:7" ht="24">
      <c r="A80" s="519">
        <v>8</v>
      </c>
      <c r="B80" s="3747"/>
      <c r="C80" s="495" t="s">
        <v>1988</v>
      </c>
      <c r="D80" s="495" t="s">
        <v>1989</v>
      </c>
      <c r="E80" s="519">
        <v>0.1</v>
      </c>
      <c r="F80" s="519">
        <v>15</v>
      </c>
    </row>
    <row r="81" spans="1:6" ht="24">
      <c r="A81" s="519">
        <v>9</v>
      </c>
      <c r="B81" s="3747"/>
      <c r="C81" s="495" t="s">
        <v>1990</v>
      </c>
      <c r="D81" s="495" t="s">
        <v>1991</v>
      </c>
      <c r="E81" s="519">
        <v>0.1</v>
      </c>
      <c r="F81" s="519">
        <v>15</v>
      </c>
    </row>
    <row r="82" spans="1:6" ht="24">
      <c r="A82" s="519">
        <v>10</v>
      </c>
      <c r="B82" s="3747"/>
      <c r="C82" s="495" t="s">
        <v>1992</v>
      </c>
      <c r="D82" s="495" t="s">
        <v>1993</v>
      </c>
      <c r="E82" s="519">
        <v>0.1</v>
      </c>
      <c r="F82" s="519">
        <v>15</v>
      </c>
    </row>
    <row r="83" spans="1:6" ht="24">
      <c r="A83" s="519">
        <v>11</v>
      </c>
      <c r="B83" s="3747"/>
      <c r="C83" s="495" t="s">
        <v>1994</v>
      </c>
      <c r="D83" s="495" t="s">
        <v>1995</v>
      </c>
      <c r="E83" s="519">
        <v>0.1</v>
      </c>
      <c r="F83" s="519">
        <v>15</v>
      </c>
    </row>
    <row r="84" spans="1:6" ht="24">
      <c r="A84" s="519">
        <v>12</v>
      </c>
      <c r="B84" s="3747"/>
      <c r="C84" s="495" t="s">
        <v>1996</v>
      </c>
      <c r="D84" s="495" t="s">
        <v>1997</v>
      </c>
      <c r="E84" s="519">
        <v>0.1</v>
      </c>
      <c r="F84" s="519">
        <v>15</v>
      </c>
    </row>
    <row r="85" spans="1:6" ht="13.5">
      <c r="A85" s="519">
        <v>13</v>
      </c>
      <c r="B85" s="3747"/>
      <c r="C85" s="495" t="s">
        <v>1998</v>
      </c>
      <c r="D85" s="495" t="s">
        <v>1999</v>
      </c>
      <c r="E85" s="519">
        <v>0.1</v>
      </c>
      <c r="F85" s="519">
        <v>15</v>
      </c>
    </row>
    <row r="86" spans="1:6" ht="13.5">
      <c r="A86" s="519">
        <v>14</v>
      </c>
      <c r="B86" s="3747"/>
      <c r="C86" s="495" t="s">
        <v>2000</v>
      </c>
      <c r="D86" s="495" t="s">
        <v>2001</v>
      </c>
      <c r="E86" s="519">
        <v>0.1</v>
      </c>
      <c r="F86" s="519">
        <v>15</v>
      </c>
    </row>
    <row r="87" spans="1:6" ht="13.5">
      <c r="A87" s="519">
        <v>15</v>
      </c>
      <c r="B87" s="3747"/>
      <c r="C87" s="495" t="s">
        <v>2002</v>
      </c>
      <c r="D87" s="495" t="s">
        <v>2003</v>
      </c>
      <c r="E87" s="519">
        <v>0.1</v>
      </c>
      <c r="F87" s="519">
        <v>15</v>
      </c>
    </row>
    <row r="88" spans="1:6" ht="24">
      <c r="A88" s="519">
        <v>16</v>
      </c>
      <c r="B88" s="3747"/>
      <c r="C88" s="495" t="s">
        <v>2004</v>
      </c>
      <c r="D88" s="495" t="s">
        <v>2005</v>
      </c>
      <c r="E88" s="519">
        <v>0.1</v>
      </c>
      <c r="F88" s="519">
        <v>15</v>
      </c>
    </row>
    <row r="89" spans="1:6" ht="24">
      <c r="A89" s="519">
        <v>17</v>
      </c>
      <c r="B89" s="3750"/>
      <c r="C89" s="495" t="s">
        <v>2006</v>
      </c>
      <c r="D89" s="495" t="s">
        <v>2007</v>
      </c>
      <c r="E89" s="519">
        <v>0.1</v>
      </c>
      <c r="F89" s="519">
        <v>15</v>
      </c>
    </row>
    <row r="90" spans="1:6" ht="13.5">
      <c r="A90" s="519">
        <v>18</v>
      </c>
      <c r="B90" s="3749" t="s">
        <v>2008</v>
      </c>
      <c r="C90" s="495" t="s">
        <v>2009</v>
      </c>
      <c r="D90" s="495" t="s">
        <v>2010</v>
      </c>
      <c r="E90" s="519">
        <v>0.2</v>
      </c>
      <c r="F90" s="519">
        <v>25</v>
      </c>
    </row>
    <row r="91" spans="1:6" ht="24">
      <c r="A91" s="519">
        <v>19</v>
      </c>
      <c r="B91" s="3747"/>
      <c r="C91" s="495" t="s">
        <v>2011</v>
      </c>
      <c r="D91" s="495" t="s">
        <v>2012</v>
      </c>
      <c r="E91" s="519">
        <v>0.2</v>
      </c>
      <c r="F91" s="519">
        <v>25</v>
      </c>
    </row>
    <row r="92" spans="1:6" ht="13.5">
      <c r="A92" s="519">
        <v>20</v>
      </c>
      <c r="B92" s="3747"/>
      <c r="C92" s="495" t="s">
        <v>2013</v>
      </c>
      <c r="D92" s="495" t="s">
        <v>2014</v>
      </c>
      <c r="E92" s="519">
        <v>0.15</v>
      </c>
      <c r="F92" s="519">
        <v>20</v>
      </c>
    </row>
    <row r="93" spans="1:6" ht="13.5">
      <c r="A93" s="519">
        <v>21</v>
      </c>
      <c r="B93" s="3747"/>
      <c r="C93" s="495" t="s">
        <v>2015</v>
      </c>
      <c r="D93" s="495" t="s">
        <v>2016</v>
      </c>
      <c r="E93" s="519">
        <v>0.15</v>
      </c>
      <c r="F93" s="519">
        <v>20</v>
      </c>
    </row>
    <row r="94" spans="1:6" ht="13.5">
      <c r="A94" s="519">
        <v>22</v>
      </c>
      <c r="B94" s="3747"/>
      <c r="C94" s="495" t="s">
        <v>2017</v>
      </c>
      <c r="D94" s="495" t="s">
        <v>2018</v>
      </c>
      <c r="E94" s="519">
        <v>0.15</v>
      </c>
      <c r="F94" s="519">
        <v>20</v>
      </c>
    </row>
    <row r="95" spans="1:6" ht="36">
      <c r="A95" s="519">
        <v>23</v>
      </c>
      <c r="B95" s="3747"/>
      <c r="C95" s="495" t="s">
        <v>2019</v>
      </c>
      <c r="D95" s="495" t="s">
        <v>2020</v>
      </c>
      <c r="E95" s="519">
        <v>0.15</v>
      </c>
      <c r="F95" s="519">
        <v>20</v>
      </c>
    </row>
    <row r="96" spans="1:6" ht="13.5">
      <c r="A96" s="519">
        <v>24</v>
      </c>
      <c r="B96" s="3747"/>
      <c r="C96" s="495" t="s">
        <v>2021</v>
      </c>
      <c r="D96" s="495" t="s">
        <v>2022</v>
      </c>
      <c r="E96" s="519">
        <v>0.1</v>
      </c>
      <c r="F96" s="519">
        <v>15</v>
      </c>
    </row>
    <row r="97" spans="1:6" ht="13.5">
      <c r="A97" s="519">
        <v>25</v>
      </c>
      <c r="B97" s="3747"/>
      <c r="C97" s="495" t="s">
        <v>2023</v>
      </c>
      <c r="D97" s="495" t="s">
        <v>2024</v>
      </c>
      <c r="E97" s="519">
        <v>0.1</v>
      </c>
      <c r="F97" s="519">
        <v>15</v>
      </c>
    </row>
    <row r="98" spans="1:6" ht="24">
      <c r="A98" s="519">
        <v>26</v>
      </c>
      <c r="B98" s="3747"/>
      <c r="C98" s="495" t="s">
        <v>2025</v>
      </c>
      <c r="D98" s="495" t="s">
        <v>2026</v>
      </c>
      <c r="E98" s="519">
        <v>0.1</v>
      </c>
      <c r="F98" s="519">
        <v>15</v>
      </c>
    </row>
    <row r="99" spans="1:6" ht="24">
      <c r="A99" s="519">
        <v>27</v>
      </c>
      <c r="B99" s="3747"/>
      <c r="C99" s="495" t="s">
        <v>2027</v>
      </c>
      <c r="D99" s="495" t="s">
        <v>2028</v>
      </c>
      <c r="E99" s="519">
        <v>0.1</v>
      </c>
      <c r="F99" s="519">
        <v>15</v>
      </c>
    </row>
    <row r="100" spans="1:6" ht="13.5">
      <c r="A100" s="519">
        <v>28</v>
      </c>
      <c r="B100" s="3747"/>
      <c r="C100" s="495" t="s">
        <v>2029</v>
      </c>
      <c r="D100" s="495" t="s">
        <v>2030</v>
      </c>
      <c r="E100" s="519">
        <v>0.1</v>
      </c>
      <c r="F100" s="519">
        <v>15</v>
      </c>
    </row>
    <row r="101" spans="1:6" ht="13.5">
      <c r="A101" s="519">
        <v>29</v>
      </c>
      <c r="B101" s="3747"/>
      <c r="C101" s="495" t="s">
        <v>2031</v>
      </c>
      <c r="D101" s="495" t="s">
        <v>2032</v>
      </c>
      <c r="E101" s="519">
        <v>0.1</v>
      </c>
      <c r="F101" s="519">
        <v>15</v>
      </c>
    </row>
    <row r="102" spans="1:6" ht="13.5">
      <c r="A102" s="519">
        <v>30</v>
      </c>
      <c r="B102" s="3747"/>
      <c r="C102" s="495" t="s">
        <v>2033</v>
      </c>
      <c r="D102" s="495" t="s">
        <v>2034</v>
      </c>
      <c r="E102" s="519">
        <v>0.1</v>
      </c>
      <c r="F102" s="519">
        <v>15</v>
      </c>
    </row>
    <row r="103" spans="1:6" ht="24">
      <c r="A103" s="519">
        <v>31</v>
      </c>
      <c r="B103" s="3747"/>
      <c r="C103" s="495" t="s">
        <v>2035</v>
      </c>
      <c r="D103" s="495" t="s">
        <v>2036</v>
      </c>
      <c r="E103" s="519">
        <v>0.1</v>
      </c>
      <c r="F103" s="519">
        <v>15</v>
      </c>
    </row>
    <row r="104" spans="1:6" ht="24">
      <c r="A104" s="519">
        <v>32</v>
      </c>
      <c r="B104" s="3747"/>
      <c r="C104" s="495" t="s">
        <v>2037</v>
      </c>
      <c r="D104" s="495" t="s">
        <v>2038</v>
      </c>
      <c r="E104" s="519">
        <v>0.1</v>
      </c>
      <c r="F104" s="519">
        <v>15</v>
      </c>
    </row>
    <row r="105" spans="1:6" ht="24">
      <c r="A105" s="519">
        <v>33</v>
      </c>
      <c r="B105" s="3747"/>
      <c r="C105" s="495" t="s">
        <v>2039</v>
      </c>
      <c r="D105" s="495" t="s">
        <v>2040</v>
      </c>
      <c r="E105" s="519">
        <v>0.1</v>
      </c>
      <c r="F105" s="519">
        <v>15</v>
      </c>
    </row>
    <row r="106" spans="1:6" ht="24">
      <c r="A106" s="519">
        <v>34</v>
      </c>
      <c r="B106" s="3750"/>
      <c r="C106" s="495" t="s">
        <v>2041</v>
      </c>
      <c r="D106" s="495" t="s">
        <v>2042</v>
      </c>
      <c r="E106" s="519">
        <v>0.1</v>
      </c>
      <c r="F106" s="519">
        <v>15</v>
      </c>
    </row>
    <row r="107" spans="1:6" ht="24">
      <c r="A107" s="519">
        <v>35</v>
      </c>
      <c r="B107" s="3749" t="s">
        <v>2043</v>
      </c>
      <c r="C107" s="519" t="s">
        <v>2044</v>
      </c>
      <c r="D107" s="495" t="s">
        <v>2045</v>
      </c>
      <c r="E107" s="519">
        <v>0.15</v>
      </c>
      <c r="F107" s="519">
        <v>20</v>
      </c>
    </row>
    <row r="108" spans="1:6" ht="13.5">
      <c r="A108" s="519">
        <v>36</v>
      </c>
      <c r="B108" s="3747"/>
      <c r="C108" s="519" t="s">
        <v>2046</v>
      </c>
      <c r="D108" s="495" t="s">
        <v>2047</v>
      </c>
      <c r="E108" s="519">
        <v>0.15</v>
      </c>
      <c r="F108" s="519">
        <v>20</v>
      </c>
    </row>
    <row r="109" spans="1:6" ht="13.5">
      <c r="A109" s="519">
        <v>37</v>
      </c>
      <c r="B109" s="3747"/>
      <c r="C109" s="519" t="s">
        <v>2048</v>
      </c>
      <c r="D109" s="495" t="s">
        <v>2049</v>
      </c>
      <c r="E109" s="519">
        <v>0.15</v>
      </c>
      <c r="F109" s="519">
        <v>20</v>
      </c>
    </row>
    <row r="110" spans="1:6" ht="13.5">
      <c r="A110" s="519">
        <v>38</v>
      </c>
      <c r="B110" s="3747"/>
      <c r="C110" s="519" t="s">
        <v>2050</v>
      </c>
      <c r="D110" s="495" t="s">
        <v>2051</v>
      </c>
      <c r="E110" s="519">
        <v>0.1</v>
      </c>
      <c r="F110" s="519">
        <v>15</v>
      </c>
    </row>
    <row r="111" spans="1:6" ht="24">
      <c r="A111" s="519">
        <v>39</v>
      </c>
      <c r="B111" s="3747"/>
      <c r="C111" s="519" t="s">
        <v>2052</v>
      </c>
      <c r="D111" s="495" t="s">
        <v>2053</v>
      </c>
      <c r="E111" s="519">
        <v>0.1</v>
      </c>
      <c r="F111" s="519">
        <v>15</v>
      </c>
    </row>
    <row r="112" spans="1:6" ht="24">
      <c r="A112" s="519">
        <v>40</v>
      </c>
      <c r="B112" s="3750"/>
      <c r="C112" s="519" t="s">
        <v>2054</v>
      </c>
      <c r="D112" s="495" t="s">
        <v>2055</v>
      </c>
      <c r="E112" s="519">
        <v>0.1</v>
      </c>
      <c r="F112" s="519">
        <v>15</v>
      </c>
    </row>
    <row r="113" spans="1:6" ht="13.5">
      <c r="A113" s="519">
        <v>41</v>
      </c>
      <c r="B113" s="3751" t="s">
        <v>2056</v>
      </c>
      <c r="C113" s="519" t="s">
        <v>2057</v>
      </c>
      <c r="D113" s="495" t="s">
        <v>2058</v>
      </c>
      <c r="E113" s="519">
        <v>0.1</v>
      </c>
      <c r="F113" s="519">
        <v>15</v>
      </c>
    </row>
    <row r="114" spans="1:6" ht="13.5">
      <c r="A114" s="519">
        <v>42</v>
      </c>
      <c r="B114" s="3751"/>
      <c r="C114" s="519" t="s">
        <v>2059</v>
      </c>
      <c r="D114" s="495" t="s">
        <v>2060</v>
      </c>
      <c r="E114" s="519">
        <v>0.1</v>
      </c>
      <c r="F114" s="519">
        <v>15</v>
      </c>
    </row>
    <row r="115" spans="1:6" ht="24">
      <c r="A115" s="519">
        <v>43</v>
      </c>
      <c r="B115" s="3751"/>
      <c r="C115" s="519" t="s">
        <v>2061</v>
      </c>
      <c r="D115" s="495" t="s">
        <v>2062</v>
      </c>
      <c r="E115" s="519">
        <v>0.1</v>
      </c>
      <c r="F115" s="519">
        <v>15</v>
      </c>
    </row>
    <row r="116" spans="1:6" ht="13.5">
      <c r="A116" s="519">
        <v>44</v>
      </c>
      <c r="B116" s="3749" t="s">
        <v>2063</v>
      </c>
      <c r="C116" s="519" t="s">
        <v>2064</v>
      </c>
      <c r="D116" s="495" t="s">
        <v>2065</v>
      </c>
      <c r="E116" s="519">
        <v>0.1</v>
      </c>
      <c r="F116" s="519">
        <v>15</v>
      </c>
    </row>
    <row r="117" spans="1:6" ht="24">
      <c r="A117" s="519">
        <v>45</v>
      </c>
      <c r="B117" s="3750"/>
      <c r="C117" s="495" t="s">
        <v>2066</v>
      </c>
      <c r="D117" s="495" t="s">
        <v>2067</v>
      </c>
      <c r="E117" s="519">
        <v>0.1</v>
      </c>
      <c r="F117" s="519">
        <v>15</v>
      </c>
    </row>
    <row r="118" spans="1:6" ht="24">
      <c r="A118" s="519">
        <v>46</v>
      </c>
      <c r="B118" s="3749" t="s">
        <v>2068</v>
      </c>
      <c r="C118" s="519" t="s">
        <v>2069</v>
      </c>
      <c r="D118" s="495" t="s">
        <v>2070</v>
      </c>
      <c r="E118" s="519">
        <v>0.1</v>
      </c>
      <c r="F118" s="519">
        <v>15</v>
      </c>
    </row>
    <row r="119" spans="1:6" ht="24">
      <c r="A119" s="519">
        <v>47</v>
      </c>
      <c r="B119" s="3750"/>
      <c r="C119" s="519" t="s">
        <v>2071</v>
      </c>
      <c r="D119" s="495" t="s">
        <v>2072</v>
      </c>
      <c r="E119" s="519">
        <v>0.1</v>
      </c>
      <c r="F119" s="519">
        <v>15</v>
      </c>
    </row>
    <row r="120" spans="1:6" ht="13.5">
      <c r="A120" s="519">
        <v>48</v>
      </c>
      <c r="B120" s="3749" t="s">
        <v>2073</v>
      </c>
      <c r="C120" s="519" t="s">
        <v>2074</v>
      </c>
      <c r="D120" s="495" t="s">
        <v>2075</v>
      </c>
      <c r="E120" s="519">
        <v>0.1</v>
      </c>
      <c r="F120" s="519">
        <v>15</v>
      </c>
    </row>
    <row r="121" spans="1:6" ht="13.5">
      <c r="A121" s="519">
        <v>49</v>
      </c>
      <c r="B121" s="3750"/>
      <c r="C121" s="519" t="s">
        <v>2076</v>
      </c>
      <c r="D121" s="495" t="s">
        <v>2077</v>
      </c>
      <c r="E121" s="519">
        <v>0.1</v>
      </c>
      <c r="F121" s="519">
        <v>15</v>
      </c>
    </row>
    <row r="122" spans="1:6" ht="24">
      <c r="A122" s="519">
        <v>50</v>
      </c>
      <c r="B122" s="3751" t="s">
        <v>2078</v>
      </c>
      <c r="C122" s="519" t="s">
        <v>2079</v>
      </c>
      <c r="D122" s="495" t="s">
        <v>2080</v>
      </c>
      <c r="E122" s="519">
        <v>0.1</v>
      </c>
      <c r="F122" s="519">
        <v>15</v>
      </c>
    </row>
    <row r="123" spans="1:6" ht="24">
      <c r="A123" s="519">
        <v>51</v>
      </c>
      <c r="B123" s="3751"/>
      <c r="C123" s="519" t="s">
        <v>2081</v>
      </c>
      <c r="D123" s="495" t="s">
        <v>2082</v>
      </c>
      <c r="E123" s="519">
        <v>0.1</v>
      </c>
      <c r="F123" s="519">
        <v>15</v>
      </c>
    </row>
    <row r="124" spans="1:6" ht="24">
      <c r="A124" s="519">
        <v>52</v>
      </c>
      <c r="B124" s="3751" t="s">
        <v>2083</v>
      </c>
      <c r="C124" s="519" t="s">
        <v>2084</v>
      </c>
      <c r="D124" s="495" t="s">
        <v>2085</v>
      </c>
      <c r="E124" s="519">
        <v>0.1</v>
      </c>
      <c r="F124" s="519">
        <v>15</v>
      </c>
    </row>
    <row r="125" spans="1:6" ht="24">
      <c r="A125" s="519">
        <v>53</v>
      </c>
      <c r="B125" s="3751"/>
      <c r="C125" s="519" t="s">
        <v>2086</v>
      </c>
      <c r="D125" s="495" t="s">
        <v>2087</v>
      </c>
      <c r="E125" s="519">
        <v>0.1</v>
      </c>
      <c r="F125" s="519">
        <v>15</v>
      </c>
    </row>
    <row r="126" spans="1:6" ht="13.5">
      <c r="A126" s="519">
        <v>54</v>
      </c>
      <c r="B126" s="519" t="s">
        <v>2088</v>
      </c>
      <c r="C126" s="519" t="s">
        <v>2089</v>
      </c>
      <c r="D126" s="495" t="s">
        <v>2090</v>
      </c>
      <c r="E126" s="519">
        <v>0.1</v>
      </c>
      <c r="F126" s="519">
        <v>15</v>
      </c>
    </row>
    <row r="127" spans="1:6" ht="13.5">
      <c r="A127" s="519">
        <v>55</v>
      </c>
      <c r="B127" s="3751" t="s">
        <v>2091</v>
      </c>
      <c r="C127" s="519" t="s">
        <v>2092</v>
      </c>
      <c r="D127" s="495" t="s">
        <v>2093</v>
      </c>
      <c r="E127" s="519">
        <v>0.1</v>
      </c>
      <c r="F127" s="519">
        <v>15</v>
      </c>
    </row>
    <row r="128" spans="1:6" ht="13.5">
      <c r="A128" s="519">
        <v>56</v>
      </c>
      <c r="B128" s="3751"/>
      <c r="C128" s="519" t="s">
        <v>2094</v>
      </c>
      <c r="D128" s="495" t="s">
        <v>2095</v>
      </c>
      <c r="E128" s="519">
        <v>0.1</v>
      </c>
      <c r="F128" s="519">
        <v>15</v>
      </c>
    </row>
    <row r="129" spans="1:6" ht="24">
      <c r="A129" s="519">
        <v>57</v>
      </c>
      <c r="B129" s="3751"/>
      <c r="C129" s="519" t="s">
        <v>2096</v>
      </c>
      <c r="D129" s="495" t="s">
        <v>2097</v>
      </c>
      <c r="E129" s="519">
        <v>0.1</v>
      </c>
      <c r="F129" s="519">
        <v>15</v>
      </c>
    </row>
    <row r="130" spans="1:6" ht="24">
      <c r="A130" s="519">
        <v>58</v>
      </c>
      <c r="B130" s="3751" t="s">
        <v>2098</v>
      </c>
      <c r="C130" s="519" t="s">
        <v>2099</v>
      </c>
      <c r="D130" s="495" t="s">
        <v>2100</v>
      </c>
      <c r="E130" s="519">
        <v>0.1</v>
      </c>
      <c r="F130" s="519">
        <v>15</v>
      </c>
    </row>
    <row r="131" spans="1:6" ht="13.5">
      <c r="A131" s="519">
        <v>59</v>
      </c>
      <c r="B131" s="3751"/>
      <c r="C131" s="519" t="s">
        <v>2101</v>
      </c>
      <c r="D131" s="495" t="s">
        <v>2102</v>
      </c>
      <c r="E131" s="519">
        <v>0.1</v>
      </c>
      <c r="F131" s="519">
        <v>15</v>
      </c>
    </row>
    <row r="132" spans="1:6" ht="13.5">
      <c r="A132" s="519">
        <v>60</v>
      </c>
      <c r="B132" s="3749" t="s">
        <v>2103</v>
      </c>
      <c r="C132" s="519" t="s">
        <v>2104</v>
      </c>
      <c r="D132" s="495" t="s">
        <v>2105</v>
      </c>
      <c r="E132" s="519">
        <v>0.1</v>
      </c>
      <c r="F132" s="519">
        <v>15</v>
      </c>
    </row>
    <row r="133" spans="1:6" ht="13.5">
      <c r="A133" s="519">
        <v>61</v>
      </c>
      <c r="B133" s="3750"/>
      <c r="C133" s="519" t="s">
        <v>2106</v>
      </c>
      <c r="D133" s="495" t="s">
        <v>2107</v>
      </c>
      <c r="E133" s="519">
        <v>0.1</v>
      </c>
      <c r="F133" s="519">
        <v>15</v>
      </c>
    </row>
    <row r="134" spans="1:6" ht="24">
      <c r="A134" s="519">
        <v>62</v>
      </c>
      <c r="B134" s="519" t="s">
        <v>2108</v>
      </c>
      <c r="C134" s="519" t="s">
        <v>2109</v>
      </c>
      <c r="D134" s="495" t="s">
        <v>2110</v>
      </c>
      <c r="E134" s="519">
        <v>0.1</v>
      </c>
      <c r="F134" s="519">
        <v>15</v>
      </c>
    </row>
    <row r="135" spans="1:6" ht="13.5">
      <c r="A135" s="519">
        <v>63</v>
      </c>
      <c r="B135" s="3751" t="s">
        <v>2111</v>
      </c>
      <c r="C135" s="519" t="s">
        <v>2112</v>
      </c>
      <c r="D135" s="495" t="s">
        <v>2113</v>
      </c>
      <c r="E135" s="519">
        <v>0.1</v>
      </c>
      <c r="F135" s="519">
        <v>15</v>
      </c>
    </row>
    <row r="136" spans="1:6" ht="13.5">
      <c r="A136" s="519">
        <v>64</v>
      </c>
      <c r="B136" s="3751"/>
      <c r="C136" s="519" t="s">
        <v>2114</v>
      </c>
      <c r="D136" s="495" t="s">
        <v>2115</v>
      </c>
      <c r="E136" s="519">
        <v>0.1</v>
      </c>
      <c r="F136" s="519">
        <v>15</v>
      </c>
    </row>
    <row r="137" spans="1:6" ht="13.5">
      <c r="A137" s="519">
        <v>65</v>
      </c>
      <c r="B137" s="519" t="s">
        <v>2116</v>
      </c>
      <c r="C137" s="519" t="s">
        <v>2117</v>
      </c>
      <c r="D137" s="495" t="s">
        <v>2118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2119</v>
      </c>
      <c r="B1" s="460"/>
      <c r="C1" s="460"/>
      <c r="D1" s="460"/>
      <c r="E1" s="460"/>
      <c r="F1" s="460"/>
      <c r="G1" s="460"/>
      <c r="H1" s="460"/>
      <c r="I1" s="460"/>
      <c r="J1" s="460"/>
      <c r="K1" s="460"/>
      <c r="L1" s="460"/>
      <c r="M1" s="460"/>
      <c r="N1" s="467"/>
    </row>
    <row r="2" spans="1:20">
      <c r="A2" s="461" t="s">
        <v>2120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2121</v>
      </c>
      <c r="R2" s="472" t="s">
        <v>2122</v>
      </c>
      <c r="S2" s="472" t="s">
        <v>2123</v>
      </c>
      <c r="T2" s="472" t="s">
        <v>2124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2125</v>
      </c>
      <c r="B93" s="460"/>
      <c r="C93" s="460"/>
      <c r="D93" s="460"/>
      <c r="E93" s="460"/>
      <c r="F93" s="460"/>
      <c r="G93" s="460"/>
      <c r="H93" s="460"/>
      <c r="I93" s="460"/>
      <c r="J93" s="460"/>
      <c r="K93" s="460"/>
      <c r="L93" s="460"/>
      <c r="M93" s="460"/>
    </row>
    <row r="94" spans="1:20">
      <c r="A94" s="461" t="s">
        <v>2120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1.2158</v>
      </c>
      <c r="Q94" s="472" t="s">
        <v>2121</v>
      </c>
      <c r="R94" s="472" t="s">
        <v>2122</v>
      </c>
      <c r="S94" s="472" t="s">
        <v>2123</v>
      </c>
      <c r="T94" s="472" t="s">
        <v>2124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2126</v>
      </c>
      <c r="B185" s="460"/>
      <c r="C185" s="460"/>
      <c r="D185" s="460"/>
      <c r="E185" s="460"/>
      <c r="F185" s="460"/>
      <c r="G185" s="460"/>
      <c r="H185" s="460"/>
      <c r="I185" s="460"/>
      <c r="J185" s="460"/>
      <c r="K185" s="460"/>
      <c r="L185" s="460"/>
      <c r="M185" s="460"/>
    </row>
    <row r="186" spans="1:20">
      <c r="A186" s="461" t="s">
        <v>2120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2121</v>
      </c>
      <c r="R186" s="472" t="s">
        <v>2122</v>
      </c>
      <c r="S186" s="472" t="s">
        <v>2123</v>
      </c>
      <c r="T186" s="472" t="s">
        <v>2124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2127</v>
      </c>
      <c r="B277" s="460"/>
      <c r="C277" s="460"/>
      <c r="D277" s="460"/>
      <c r="E277" s="460"/>
      <c r="F277" s="460"/>
      <c r="G277" s="460"/>
      <c r="H277" s="460"/>
      <c r="I277" s="460"/>
      <c r="J277" s="460"/>
      <c r="K277" s="460"/>
      <c r="L277" s="460"/>
      <c r="M277" s="460"/>
    </row>
    <row r="278" spans="1:21">
      <c r="A278" s="461" t="s">
        <v>2120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2121</v>
      </c>
      <c r="R278" s="472" t="s">
        <v>2122</v>
      </c>
      <c r="S278" s="472" t="s">
        <v>2128</v>
      </c>
      <c r="T278" s="472" t="s">
        <v>2129</v>
      </c>
      <c r="U278" s="472" t="s">
        <v>2124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2130</v>
      </c>
      <c r="B369" s="476"/>
      <c r="C369" s="476"/>
      <c r="D369" s="476"/>
      <c r="E369" s="476"/>
      <c r="F369" s="476"/>
      <c r="G369" s="476"/>
      <c r="H369" s="476"/>
      <c r="I369" s="476"/>
      <c r="J369" s="476"/>
      <c r="K369" s="476"/>
      <c r="L369" s="476"/>
      <c r="M369" s="476"/>
    </row>
    <row r="370" spans="1:20">
      <c r="A370" s="461" t="s">
        <v>2120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1.1565000000000001</v>
      </c>
      <c r="Q370" s="472" t="s">
        <v>2121</v>
      </c>
      <c r="R370" s="472" t="s">
        <v>2122</v>
      </c>
      <c r="S370" s="472" t="s">
        <v>2123</v>
      </c>
      <c r="T370" s="472" t="s">
        <v>2124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2131</v>
      </c>
      <c r="B1" s="374"/>
      <c r="C1" s="375"/>
      <c r="D1" s="375"/>
      <c r="E1" s="375"/>
      <c r="F1" s="375"/>
      <c r="G1" s="376"/>
    </row>
    <row r="2" spans="1:7" s="365" customFormat="1" ht="18" customHeight="1">
      <c r="A2" s="377" t="s">
        <v>2132</v>
      </c>
      <c r="B2" s="378">
        <f ca="1">C52</f>
        <v>25923</v>
      </c>
      <c r="C2" s="379" t="s">
        <v>1344</v>
      </c>
      <c r="D2" s="376"/>
      <c r="E2" s="376"/>
      <c r="F2" s="376"/>
      <c r="G2" s="376"/>
    </row>
    <row r="3" spans="1:7" s="365" customFormat="1" ht="18" customHeight="1">
      <c r="A3" s="380" t="s">
        <v>2133</v>
      </c>
      <c r="B3" s="381">
        <f ca="1">ROUND(B2*10000/'数据-汇总表'!E3,0)</f>
        <v>102012</v>
      </c>
      <c r="C3" s="379" t="s">
        <v>1599</v>
      </c>
      <c r="D3" s="376"/>
      <c r="E3" s="376"/>
      <c r="F3" s="376"/>
      <c r="G3" s="376"/>
    </row>
    <row r="4" spans="1:7" s="366" customFormat="1" ht="15.75">
      <c r="A4" s="382" t="s">
        <v>2134</v>
      </c>
      <c r="B4" s="383"/>
      <c r="C4" s="383"/>
      <c r="D4" s="383"/>
      <c r="E4" s="383"/>
      <c r="F4" s="383"/>
      <c r="G4" s="384"/>
    </row>
    <row r="5" spans="1:7" s="367" customFormat="1" ht="13.5" customHeight="1">
      <c r="A5" s="385" t="s">
        <v>997</v>
      </c>
      <c r="B5" s="386" t="s">
        <v>2135</v>
      </c>
      <c r="C5" s="387">
        <f>C6+C7+C8</f>
        <v>20610</v>
      </c>
      <c r="D5" s="387" t="s">
        <v>2136</v>
      </c>
      <c r="E5" s="388" t="s">
        <v>2137</v>
      </c>
      <c r="F5" s="388" t="s">
        <v>2138</v>
      </c>
      <c r="G5" s="389"/>
    </row>
    <row r="6" spans="1:7" s="367" customFormat="1" ht="13.5" customHeight="1">
      <c r="A6" s="390" t="s">
        <v>1001</v>
      </c>
      <c r="B6" s="391" t="s">
        <v>2139</v>
      </c>
      <c r="C6" s="392">
        <v>20000</v>
      </c>
      <c r="D6" s="393"/>
      <c r="E6" s="394"/>
      <c r="F6" s="394"/>
      <c r="G6" s="395"/>
    </row>
    <row r="7" spans="1:7" s="367" customFormat="1" ht="13.5" customHeight="1">
      <c r="A7" s="390" t="s">
        <v>1003</v>
      </c>
      <c r="B7" s="391" t="s">
        <v>2140</v>
      </c>
      <c r="C7" s="396">
        <f>ROUND(C6*F7,0)</f>
        <v>610</v>
      </c>
      <c r="D7" s="396"/>
      <c r="E7" s="394"/>
      <c r="F7" s="397">
        <f>'数据-取费表'!B48+'数据-取费表'!B49</f>
        <v>3.0499999999999999E-2</v>
      </c>
      <c r="G7" s="395"/>
    </row>
    <row r="8" spans="1:7" s="368" customFormat="1">
      <c r="A8" s="390" t="s">
        <v>1005</v>
      </c>
      <c r="B8" s="391" t="s">
        <v>2141</v>
      </c>
      <c r="C8" s="396" t="str">
        <f>IF(G8="已包含在土地购买价格中","0",'数据-取费表'!B29)</f>
        <v>0</v>
      </c>
      <c r="D8" s="398"/>
      <c r="E8" s="396"/>
      <c r="F8" s="397"/>
      <c r="G8" s="399" t="s">
        <v>2142</v>
      </c>
    </row>
    <row r="9" spans="1:7" s="367" customFormat="1" ht="13.5" customHeight="1">
      <c r="A9" s="400" t="s">
        <v>1007</v>
      </c>
      <c r="B9" s="401" t="s">
        <v>2143</v>
      </c>
      <c r="C9" s="402">
        <f>ROUND(D9*E9/10000,0)</f>
        <v>0</v>
      </c>
      <c r="D9" s="403">
        <f>'数据-汇总表'!E5</f>
        <v>0</v>
      </c>
      <c r="E9" s="402">
        <f>'数据-取费表'!B27</f>
        <v>160</v>
      </c>
      <c r="F9" s="397"/>
      <c r="G9" s="404"/>
    </row>
    <row r="10" spans="1:7" s="367" customFormat="1" ht="13.5" customHeight="1">
      <c r="A10" s="400" t="s">
        <v>1010</v>
      </c>
      <c r="B10" s="401" t="s">
        <v>2144</v>
      </c>
      <c r="C10" s="402">
        <f>ROUND(D10*E10/10000,0)</f>
        <v>51</v>
      </c>
      <c r="D10" s="403">
        <f>'数据-汇总表'!E6</f>
        <v>2541.1799999999998</v>
      </c>
      <c r="E10" s="402">
        <f>'数据-取费表'!B28</f>
        <v>200</v>
      </c>
      <c r="F10" s="397"/>
      <c r="G10" s="404"/>
    </row>
    <row r="11" spans="1:7" s="367" customFormat="1" ht="13.5" hidden="1" customHeight="1">
      <c r="A11" s="405" t="s">
        <v>1012</v>
      </c>
      <c r="B11" s="391" t="s">
        <v>2145</v>
      </c>
      <c r="C11" s="387"/>
      <c r="D11" s="406"/>
      <c r="E11" s="394"/>
      <c r="F11" s="394"/>
      <c r="G11" s="395"/>
    </row>
    <row r="12" spans="1:7" s="367" customFormat="1" ht="13.5" hidden="1" customHeight="1">
      <c r="A12" s="405" t="s">
        <v>1014</v>
      </c>
      <c r="B12" s="391" t="s">
        <v>2146</v>
      </c>
      <c r="C12" s="387">
        <v>0</v>
      </c>
      <c r="D12" s="406"/>
      <c r="E12" s="407"/>
      <c r="F12" s="397">
        <v>3.0499999999999999E-2</v>
      </c>
      <c r="G12" s="395"/>
    </row>
    <row r="13" spans="1:7" s="367" customFormat="1" ht="13.5" hidden="1" customHeight="1">
      <c r="A13" s="405" t="s">
        <v>1015</v>
      </c>
      <c r="B13" s="391" t="s">
        <v>2147</v>
      </c>
      <c r="C13" s="387"/>
      <c r="D13" s="406"/>
      <c r="E13" s="394"/>
      <c r="F13" s="394"/>
      <c r="G13" s="395"/>
    </row>
    <row r="14" spans="1:7" s="367" customFormat="1" ht="13.5" hidden="1" customHeight="1">
      <c r="A14" s="405" t="s">
        <v>1017</v>
      </c>
      <c r="B14" s="391" t="s">
        <v>2141</v>
      </c>
      <c r="C14" s="387"/>
      <c r="D14" s="406"/>
      <c r="E14" s="394"/>
      <c r="F14" s="394"/>
      <c r="G14" s="395" t="s">
        <v>2148</v>
      </c>
    </row>
    <row r="15" spans="1:7" s="367" customFormat="1" ht="13.5" hidden="1" customHeight="1">
      <c r="A15" s="405" t="s">
        <v>1019</v>
      </c>
      <c r="B15" s="391" t="s">
        <v>2149</v>
      </c>
      <c r="C15" s="396"/>
      <c r="D15" s="406"/>
      <c r="E15" s="394"/>
      <c r="F15" s="394"/>
      <c r="G15" s="395" t="s">
        <v>2150</v>
      </c>
    </row>
    <row r="16" spans="1:7" s="367" customFormat="1" ht="13.5" hidden="1" customHeight="1">
      <c r="A16" s="405" t="s">
        <v>1022</v>
      </c>
      <c r="B16" s="391" t="s">
        <v>2141</v>
      </c>
      <c r="C16" s="396"/>
      <c r="D16" s="406"/>
      <c r="E16" s="394"/>
      <c r="F16" s="394"/>
      <c r="G16" s="395"/>
    </row>
    <row r="17" spans="1:7" s="367" customFormat="1" ht="13.5" hidden="1" customHeight="1">
      <c r="A17" s="405" t="s">
        <v>1023</v>
      </c>
      <c r="B17" s="391" t="s">
        <v>2151</v>
      </c>
      <c r="C17" s="408"/>
      <c r="D17" s="409"/>
      <c r="E17" s="408"/>
      <c r="F17" s="408"/>
      <c r="G17" s="395" t="s">
        <v>2150</v>
      </c>
    </row>
    <row r="18" spans="1:7" s="367" customFormat="1" ht="13.5" hidden="1" customHeight="1">
      <c r="A18" s="405" t="s">
        <v>1025</v>
      </c>
      <c r="B18" s="391" t="s">
        <v>2152</v>
      </c>
      <c r="C18" s="396">
        <v>0</v>
      </c>
      <c r="D18" s="406"/>
      <c r="E18" s="394"/>
      <c r="F18" s="397">
        <v>3.0499999999999999E-2</v>
      </c>
      <c r="G18" s="395" t="s">
        <v>2153</v>
      </c>
    </row>
    <row r="19" spans="1:7" s="368" customFormat="1" ht="13.5" customHeight="1">
      <c r="A19" s="410" t="s">
        <v>1704</v>
      </c>
      <c r="B19" s="386" t="s">
        <v>2154</v>
      </c>
      <c r="C19" s="387">
        <f>IF(G19="已包含在土地取得成本中","0",ROUND(D19*E19/10000,0))</f>
        <v>51</v>
      </c>
      <c r="D19" s="411">
        <f>'数据-汇总表'!E3</f>
        <v>2541.1799999999998</v>
      </c>
      <c r="E19" s="387">
        <f>'数据-取费表'!B31</f>
        <v>200</v>
      </c>
      <c r="F19" s="412"/>
      <c r="G19" s="399" t="s">
        <v>2155</v>
      </c>
    </row>
    <row r="20" spans="1:7" s="367" customFormat="1" ht="13.5" customHeight="1">
      <c r="A20" s="410" t="s">
        <v>1741</v>
      </c>
      <c r="B20" s="386" t="s">
        <v>2156</v>
      </c>
      <c r="C20" s="413">
        <f>ROUND((C5+C19)*F20,0)</f>
        <v>413</v>
      </c>
      <c r="D20" s="413"/>
      <c r="E20" s="413"/>
      <c r="F20" s="414">
        <f>'数据-取费表'!B37</f>
        <v>0.02</v>
      </c>
      <c r="G20" s="415" t="s">
        <v>2157</v>
      </c>
    </row>
    <row r="21" spans="1:7" s="367" customFormat="1" ht="13.5" customHeight="1">
      <c r="A21" s="410" t="s">
        <v>1746</v>
      </c>
      <c r="B21" s="386" t="s">
        <v>2158</v>
      </c>
      <c r="C21" s="416">
        <f>F21</f>
        <v>0.02</v>
      </c>
      <c r="D21" s="417" t="s">
        <v>2159</v>
      </c>
      <c r="E21" s="413"/>
      <c r="F21" s="414">
        <f>'数据-取费表'!B38</f>
        <v>0.02</v>
      </c>
      <c r="G21" s="418" t="s">
        <v>2160</v>
      </c>
    </row>
    <row r="22" spans="1:7" s="367" customFormat="1" ht="13.5" customHeight="1">
      <c r="A22" s="410" t="s">
        <v>1755</v>
      </c>
      <c r="B22" s="386" t="s">
        <v>2161</v>
      </c>
      <c r="C22" s="419">
        <f ca="1">ROUND(SUM(C23:C25),0)</f>
        <v>720</v>
      </c>
      <c r="D22" s="416">
        <f ca="1">C26</f>
        <v>2.9999999999999997E-4</v>
      </c>
      <c r="E22" s="417" t="s">
        <v>2159</v>
      </c>
      <c r="F22" s="420">
        <f ca="1">'数据-取费表'!B40</f>
        <v>3.4500000000000003E-2</v>
      </c>
      <c r="G22" s="415" t="str">
        <f>IF('数据-取费表'!B22&lt;=1,"单利计息","复利计息")</f>
        <v>单利计息</v>
      </c>
    </row>
    <row r="23" spans="1:7" s="367" customFormat="1" ht="13.5" customHeight="1">
      <c r="A23" s="421" t="s">
        <v>1001</v>
      </c>
      <c r="B23" s="391" t="s">
        <v>2162</v>
      </c>
      <c r="C23" s="422">
        <f ca="1">ROUND(IF('数据-取费表'!B22&lt;=1,C5*F22*'数据-取费表'!B23,C5*(POWER((1+F22),'数据-取费表'!B23)-1)),0)</f>
        <v>711</v>
      </c>
      <c r="D23" s="423"/>
      <c r="E23" s="423"/>
      <c r="F23" s="424"/>
      <c r="G23" s="425" t="s">
        <v>2163</v>
      </c>
    </row>
    <row r="24" spans="1:7" s="367" customFormat="1" ht="13.5" customHeight="1">
      <c r="A24" s="421" t="s">
        <v>1003</v>
      </c>
      <c r="B24" s="391" t="s">
        <v>2164</v>
      </c>
      <c r="C24" s="422">
        <f ca="1">ROUND(IF('数据-取费表'!B22&lt;=1,C19*F22*('数据-取费表'!B19/2+'数据-取费表'!B21),C19*(POWER((1+F22),('数据-取费表'!B19/2+'数据-取费表'!B21))-1)),0)</f>
        <v>2</v>
      </c>
      <c r="D24" s="423"/>
      <c r="E24" s="423"/>
      <c r="F24" s="424"/>
      <c r="G24" s="425" t="s">
        <v>2165</v>
      </c>
    </row>
    <row r="25" spans="1:7" s="367" customFormat="1" ht="24">
      <c r="A25" s="421" t="s">
        <v>1005</v>
      </c>
      <c r="B25" s="391" t="s">
        <v>2166</v>
      </c>
      <c r="C25" s="422">
        <f ca="1">ROUND(IF('数据-取费表'!B22&lt;=1,C20*F22*'数据-取费表'!B23/2,C20*(POWER((1+F22),'数据-取费表'!B23/2)-1)),0)</f>
        <v>7</v>
      </c>
      <c r="D25" s="423"/>
      <c r="E25" s="426"/>
      <c r="F25" s="424"/>
      <c r="G25" s="427" t="s">
        <v>2167</v>
      </c>
    </row>
    <row r="26" spans="1:7" s="367" customFormat="1">
      <c r="A26" s="421" t="s">
        <v>1045</v>
      </c>
      <c r="B26" s="391" t="s">
        <v>2168</v>
      </c>
      <c r="C26" s="423">
        <f ca="1">ROUND(IF('数据-取费表'!B22&lt;=1,F21*F22*'数据-取费表'!B23/2,F21*(POWER((1+F22),'数据-取费表'!B23/2)-1)),4)</f>
        <v>2.9999999999999997E-4</v>
      </c>
      <c r="D26" s="423"/>
      <c r="E26" s="426"/>
      <c r="F26" s="424"/>
      <c r="G26" s="428"/>
    </row>
    <row r="27" spans="1:7" s="367" customFormat="1" ht="24.75">
      <c r="A27" s="410" t="s">
        <v>1764</v>
      </c>
      <c r="B27" s="429" t="s">
        <v>2169</v>
      </c>
      <c r="C27" s="430">
        <f>C28</f>
        <v>1686</v>
      </c>
      <c r="D27" s="416">
        <f>C29</f>
        <v>1.6000000000000001E-3</v>
      </c>
      <c r="E27" s="417" t="s">
        <v>2159</v>
      </c>
      <c r="F27" s="431">
        <f>'数据-取费表'!Q16</f>
        <v>0.08</v>
      </c>
      <c r="G27" s="432" t="s">
        <v>2170</v>
      </c>
    </row>
    <row r="28" spans="1:7" s="367" customFormat="1" ht="13.5" customHeight="1">
      <c r="A28" s="421" t="s">
        <v>1001</v>
      </c>
      <c r="B28" s="433" t="s">
        <v>2171</v>
      </c>
      <c r="C28" s="434">
        <f>ROUND((C5+C19+C20)*F27*'数据-取费表'!B21/'数据-取费表'!B20,0)</f>
        <v>1686</v>
      </c>
      <c r="D28" s="416"/>
      <c r="E28" s="417"/>
      <c r="F28" s="431"/>
      <c r="G28" s="432"/>
    </row>
    <row r="29" spans="1:7" s="367" customFormat="1" ht="13.5" customHeight="1">
      <c r="A29" s="421" t="s">
        <v>1003</v>
      </c>
      <c r="B29" s="433" t="s">
        <v>2172</v>
      </c>
      <c r="C29" s="423">
        <f>ROUND(C21*F27*'数据-取费表'!B21/'数据-取费表'!B20,4)</f>
        <v>1.6000000000000001E-3</v>
      </c>
      <c r="D29" s="416"/>
      <c r="E29" s="417"/>
      <c r="F29" s="431"/>
      <c r="G29" s="432"/>
    </row>
    <row r="30" spans="1:7" s="367" customFormat="1" ht="13.5" customHeight="1">
      <c r="A30" s="410" t="s">
        <v>2173</v>
      </c>
      <c r="B30" s="386" t="s">
        <v>2174</v>
      </c>
      <c r="C30" s="416">
        <f>F30</f>
        <v>5.5E-2</v>
      </c>
      <c r="D30" s="417" t="s">
        <v>2175</v>
      </c>
      <c r="E30" s="426"/>
      <c r="F30" s="420">
        <f>'数据-取费表'!B41</f>
        <v>5.5E-2</v>
      </c>
      <c r="G30" s="418" t="s">
        <v>2176</v>
      </c>
    </row>
    <row r="31" spans="1:7" ht="16.5" customHeight="1">
      <c r="A31" s="435">
        <v>1</v>
      </c>
      <c r="B31" s="386" t="s">
        <v>2177</v>
      </c>
      <c r="C31" s="387">
        <f ca="1">ROUND((C5+C19+C20+C22+C27)/(1-C21-D22-D27-C30/(1+'数据-取费表'!B42)),0)</f>
        <v>25364</v>
      </c>
      <c r="D31" s="436"/>
      <c r="E31" s="387"/>
      <c r="F31" s="437"/>
      <c r="G31" s="418" t="s">
        <v>2178</v>
      </c>
    </row>
    <row r="32" spans="1:7" s="366" customFormat="1" ht="15.75">
      <c r="A32" s="438" t="s">
        <v>2179</v>
      </c>
      <c r="B32" s="439"/>
      <c r="C32" s="439"/>
      <c r="D32" s="439"/>
      <c r="E32" s="439"/>
      <c r="F32" s="439"/>
      <c r="G32" s="440"/>
    </row>
    <row r="33" spans="1:7" s="367" customFormat="1" ht="13.5" customHeight="1">
      <c r="A33" s="385" t="s">
        <v>997</v>
      </c>
      <c r="B33" s="386" t="s">
        <v>2180</v>
      </c>
      <c r="C33" s="441">
        <f>SUM(C34:C38)</f>
        <v>772</v>
      </c>
      <c r="D33" s="413"/>
      <c r="E33" s="388"/>
      <c r="F33" s="426"/>
      <c r="G33" s="418"/>
    </row>
    <row r="34" spans="1:7" s="369" customFormat="1" ht="13.5" customHeight="1">
      <c r="A34" s="421" t="s">
        <v>1001</v>
      </c>
      <c r="B34" s="391" t="s">
        <v>2181</v>
      </c>
      <c r="C34" s="396">
        <f>IF(F34=100%,'数据-取费表'!M16-SUMIF('数据-取费表'!C:C,"公共配套",'数据-取费表'!M:M),'数据-取费表'!O16-SUMIF('数据-取费表'!C:C,"公共配套",'数据-取费表'!O:O))</f>
        <v>686</v>
      </c>
      <c r="D34" s="393"/>
      <c r="E34" s="396"/>
      <c r="F34" s="442">
        <f>IF('数据-取费表'!B24=0,1,'数据-取费表'!N16)</f>
        <v>1</v>
      </c>
      <c r="G34" s="395" t="s">
        <v>2182</v>
      </c>
    </row>
    <row r="35" spans="1:7" ht="13.5" customHeight="1">
      <c r="A35" s="421" t="s">
        <v>1003</v>
      </c>
      <c r="B35" s="391" t="s">
        <v>2183</v>
      </c>
      <c r="C35" s="396">
        <f>ROUND(C34*F35,0)</f>
        <v>21</v>
      </c>
      <c r="D35" s="396"/>
      <c r="E35" s="396"/>
      <c r="F35" s="443">
        <f>'数据-取费表'!B33</f>
        <v>0.03</v>
      </c>
      <c r="G35" s="395" t="s">
        <v>2184</v>
      </c>
    </row>
    <row r="36" spans="1:7" ht="24">
      <c r="A36" s="421" t="s">
        <v>1005</v>
      </c>
      <c r="B36" s="391" t="s">
        <v>2185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2186</v>
      </c>
    </row>
    <row r="37" spans="1:7" s="369" customFormat="1" ht="13.5" customHeight="1">
      <c r="A37" s="421" t="s">
        <v>1045</v>
      </c>
      <c r="B37" s="391" t="s">
        <v>2187</v>
      </c>
      <c r="C37" s="434">
        <f>ROUND(E37*D37*F34/10000,0)</f>
        <v>51</v>
      </c>
      <c r="D37" s="393">
        <f>'数据-汇总表'!E3</f>
        <v>2541.1799999999998</v>
      </c>
      <c r="E37" s="434">
        <f>'数据-取费表'!B35</f>
        <v>200</v>
      </c>
      <c r="F37" s="443"/>
      <c r="G37" s="445" t="s">
        <v>2188</v>
      </c>
    </row>
    <row r="38" spans="1:7" ht="13.5" customHeight="1">
      <c r="A38" s="421" t="s">
        <v>1067</v>
      </c>
      <c r="B38" s="391" t="s">
        <v>2146</v>
      </c>
      <c r="C38" s="396">
        <f>ROUND(C34*F38,0)</f>
        <v>14</v>
      </c>
      <c r="D38" s="396"/>
      <c r="E38" s="396"/>
      <c r="F38" s="443">
        <f>'数据-取费表'!B36</f>
        <v>0.02</v>
      </c>
      <c r="G38" s="395" t="s">
        <v>2184</v>
      </c>
    </row>
    <row r="39" spans="1:7" s="367" customFormat="1" ht="13.5" customHeight="1">
      <c r="A39" s="410" t="s">
        <v>1704</v>
      </c>
      <c r="B39" s="386" t="s">
        <v>2156</v>
      </c>
      <c r="C39" s="413">
        <f>ROUND(C33*F20,0)</f>
        <v>15</v>
      </c>
      <c r="D39" s="413"/>
      <c r="E39" s="413"/>
      <c r="F39" s="414"/>
      <c r="G39" s="415" t="s">
        <v>2189</v>
      </c>
    </row>
    <row r="40" spans="1:7" s="367" customFormat="1" ht="13.5" customHeight="1">
      <c r="A40" s="410" t="s">
        <v>1741</v>
      </c>
      <c r="B40" s="386" t="s">
        <v>2158</v>
      </c>
      <c r="C40" s="446">
        <f>F21</f>
        <v>0.02</v>
      </c>
      <c r="D40" s="417" t="s">
        <v>2190</v>
      </c>
      <c r="E40" s="413"/>
      <c r="F40" s="414"/>
      <c r="G40" s="418" t="s">
        <v>2191</v>
      </c>
    </row>
    <row r="41" spans="1:7" s="367" customFormat="1" ht="13.5" customHeight="1">
      <c r="A41" s="410" t="s">
        <v>1746</v>
      </c>
      <c r="B41" s="386" t="s">
        <v>2161</v>
      </c>
      <c r="C41" s="413">
        <f ca="1">ROUND(SUM(C42:C43),0)</f>
        <v>13</v>
      </c>
      <c r="D41" s="416">
        <f ca="1">C44</f>
        <v>2.9999999999999997E-4</v>
      </c>
      <c r="E41" s="417" t="s">
        <v>2190</v>
      </c>
      <c r="F41" s="420"/>
      <c r="G41" s="415" t="str">
        <f>IF('数据-取费表'!B22&lt;=1,"单利计息","复利计息")</f>
        <v>单利计息</v>
      </c>
    </row>
    <row r="42" spans="1:7" ht="13.5" customHeight="1">
      <c r="A42" s="421" t="s">
        <v>1001</v>
      </c>
      <c r="B42" s="391" t="s">
        <v>2162</v>
      </c>
      <c r="C42" s="423">
        <f ca="1">ROUND(IF('数据-取费表'!B22&lt;=1,C33*F22*'数据-取费表'!B21/2,C33*(POWER((1+F22),'数据-取费表'!B21/2)-1)),0)</f>
        <v>13</v>
      </c>
      <c r="D42" s="423"/>
      <c r="E42" s="423"/>
      <c r="F42" s="424"/>
      <c r="G42" s="3616" t="s">
        <v>2192</v>
      </c>
    </row>
    <row r="43" spans="1:7" ht="13.5" customHeight="1">
      <c r="A43" s="421" t="s">
        <v>1003</v>
      </c>
      <c r="B43" s="391" t="s">
        <v>2164</v>
      </c>
      <c r="C43" s="423">
        <f ca="1">ROUND(IF('数据-取费表'!B22&lt;=1,C39*F22*'数据-取费表'!B21/2,C39*(POWER((1+F22),'数据-取费表'!B21/2)-1)),0)</f>
        <v>0</v>
      </c>
      <c r="D43" s="423"/>
      <c r="E43" s="423"/>
      <c r="F43" s="424"/>
      <c r="G43" s="3617"/>
    </row>
    <row r="44" spans="1:7" ht="13.5" customHeight="1">
      <c r="A44" s="421" t="s">
        <v>1005</v>
      </c>
      <c r="B44" s="391" t="s">
        <v>2166</v>
      </c>
      <c r="C44" s="423">
        <f ca="1">ROUND(IF('数据-取费表'!B22&lt;=1,C40*F22*'数据-取费表'!B21/2,C40*(POWER((1+F22),'数据-取费表'!B21/2)-1)),4)</f>
        <v>2.9999999999999997E-4</v>
      </c>
      <c r="D44" s="423"/>
      <c r="E44" s="423"/>
      <c r="F44" s="424"/>
      <c r="G44" s="3618"/>
    </row>
    <row r="45" spans="1:7" s="367" customFormat="1" ht="13.5" customHeight="1">
      <c r="A45" s="410" t="s">
        <v>1755</v>
      </c>
      <c r="B45" s="429" t="s">
        <v>2169</v>
      </c>
      <c r="C45" s="430">
        <f>C46</f>
        <v>63</v>
      </c>
      <c r="D45" s="416">
        <f>C47</f>
        <v>1.6000000000000001E-3</v>
      </c>
      <c r="E45" s="417" t="s">
        <v>2190</v>
      </c>
      <c r="F45" s="431"/>
      <c r="G45" s="432" t="s">
        <v>2193</v>
      </c>
    </row>
    <row r="46" spans="1:7" s="367" customFormat="1" ht="13.5" customHeight="1">
      <c r="A46" s="421" t="s">
        <v>1001</v>
      </c>
      <c r="B46" s="433" t="s">
        <v>2194</v>
      </c>
      <c r="C46" s="434">
        <f>ROUND((C33+C39)*F27,0)</f>
        <v>63</v>
      </c>
      <c r="D46" s="447"/>
      <c r="E46" s="417"/>
      <c r="F46" s="431"/>
      <c r="G46" s="432"/>
    </row>
    <row r="47" spans="1:7" s="367" customFormat="1" ht="13.5" customHeight="1">
      <c r="A47" s="421" t="s">
        <v>1003</v>
      </c>
      <c r="B47" s="433" t="s">
        <v>2195</v>
      </c>
      <c r="C47" s="423">
        <f>ROUND(C40*F27,4)</f>
        <v>1.6000000000000001E-3</v>
      </c>
      <c r="D47" s="447"/>
      <c r="E47" s="417"/>
      <c r="F47" s="431"/>
      <c r="G47" s="432"/>
    </row>
    <row r="48" spans="1:7" s="367" customFormat="1" ht="13.5" customHeight="1">
      <c r="A48" s="410" t="s">
        <v>1764</v>
      </c>
      <c r="B48" s="386" t="s">
        <v>2174</v>
      </c>
      <c r="C48" s="446">
        <f>F30</f>
        <v>5.5E-2</v>
      </c>
      <c r="D48" s="417" t="s">
        <v>2196</v>
      </c>
      <c r="E48" s="413"/>
      <c r="F48" s="420"/>
      <c r="G48" s="418" t="s">
        <v>2197</v>
      </c>
    </row>
    <row r="49" spans="1:7" ht="16.5" customHeight="1">
      <c r="A49" s="410" t="s">
        <v>2173</v>
      </c>
      <c r="B49" s="386" t="s">
        <v>2198</v>
      </c>
      <c r="C49" s="413">
        <f ca="1">ROUND((C33+C39+C41+C45)/(1-C40-D41-D45-C48/(1+'数据-取费表'!B42)),0)</f>
        <v>932</v>
      </c>
      <c r="D49" s="413"/>
      <c r="E49" s="413"/>
      <c r="F49" s="448"/>
      <c r="G49" s="418" t="s">
        <v>2199</v>
      </c>
    </row>
    <row r="50" spans="1:7" s="369" customFormat="1" ht="24">
      <c r="A50" s="410" t="s">
        <v>2200</v>
      </c>
      <c r="B50" s="386" t="s">
        <v>2201</v>
      </c>
      <c r="C50" s="413"/>
      <c r="D50" s="413"/>
      <c r="E50" s="413"/>
      <c r="F50" s="448">
        <f>IF('数据-取费表'!B24=0,'数据-取费表'!N16,1)</f>
        <v>0.6</v>
      </c>
      <c r="G50" s="432" t="s">
        <v>2202</v>
      </c>
    </row>
    <row r="51" spans="1:7" ht="16.5" customHeight="1">
      <c r="A51" s="410" t="s">
        <v>2203</v>
      </c>
      <c r="B51" s="386" t="s">
        <v>2204</v>
      </c>
      <c r="C51" s="413">
        <f ca="1">ROUND(C49*F50,0)</f>
        <v>559</v>
      </c>
      <c r="D51" s="413"/>
      <c r="E51" s="413"/>
      <c r="F51" s="448"/>
      <c r="G51" s="418" t="s">
        <v>2205</v>
      </c>
    </row>
    <row r="52" spans="1:7" s="366" customFormat="1" ht="15.75">
      <c r="A52" s="449" t="s">
        <v>2206</v>
      </c>
      <c r="B52" s="450"/>
      <c r="C52" s="451">
        <f ca="1">C31+C51</f>
        <v>25923</v>
      </c>
      <c r="D52" s="450"/>
      <c r="E52" s="450"/>
      <c r="F52" s="450"/>
      <c r="G52" s="452"/>
    </row>
    <row r="55" spans="1:7" ht="15">
      <c r="B55" s="453" t="s">
        <v>2207</v>
      </c>
      <c r="C55" s="454"/>
    </row>
    <row r="56" spans="1:7">
      <c r="B56" s="455" t="s">
        <v>2208</v>
      </c>
      <c r="C56" s="456">
        <f ca="1">ROUND(C51/C52,3)</f>
        <v>2.1999999999999999E-2</v>
      </c>
    </row>
    <row r="57" spans="1:7">
      <c r="B57" s="455" t="s">
        <v>2209</v>
      </c>
      <c r="C57" s="457">
        <f ca="1">1-C56</f>
        <v>0.97799999999999998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1664</v>
      </c>
      <c r="E5" s="3381"/>
    </row>
    <row r="6" spans="1:5" ht="15.75">
      <c r="A6" s="3381"/>
      <c r="B6" s="3437"/>
      <c r="C6" s="3383" t="s">
        <v>98</v>
      </c>
      <c r="D6" s="3384" t="str">
        <f ca="1">NUMBERSTRING(INT(D5*10000),2)&amp;"元整"</f>
        <v>壹仟陆佰陆拾肆万元整</v>
      </c>
      <c r="E6" s="3381"/>
    </row>
    <row r="7" spans="1:5" ht="15.75">
      <c r="A7" s="3381"/>
      <c r="B7" s="3438"/>
      <c r="C7" s="3385" t="s">
        <v>99</v>
      </c>
      <c r="D7" s="3386">
        <f ca="1">结果表!H102</f>
        <v>6549</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1664</v>
      </c>
      <c r="E13" s="3381"/>
    </row>
    <row r="14" spans="1:5" ht="15.75">
      <c r="A14" s="3381"/>
      <c r="B14" s="3437"/>
      <c r="C14" s="3383" t="s">
        <v>98</v>
      </c>
      <c r="D14" s="3384" t="str">
        <f ca="1">NUMBERSTRING(INT(D13*10000),2)&amp;"元整"</f>
        <v>壹仟陆佰陆拾肆万元整</v>
      </c>
      <c r="E14" s="3381"/>
    </row>
    <row r="15" spans="1:5" ht="15">
      <c r="A15" s="3381"/>
      <c r="B15" s="3438"/>
      <c r="C15" s="3385" t="s">
        <v>99</v>
      </c>
      <c r="D15" s="3393">
        <f ca="1">结果表!H108</f>
        <v>6549</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2210</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2211</v>
      </c>
      <c r="B2" s="337"/>
      <c r="C2" s="337"/>
      <c r="D2" s="337"/>
      <c r="E2" s="337"/>
      <c r="F2" s="337"/>
      <c r="G2" s="338" t="s">
        <v>2212</v>
      </c>
      <c r="I2" s="345" t="s">
        <v>2213</v>
      </c>
      <c r="J2" s="345" t="s">
        <v>2214</v>
      </c>
      <c r="K2" s="345" t="s">
        <v>2215</v>
      </c>
      <c r="L2" s="345" t="s">
        <v>2216</v>
      </c>
      <c r="M2" s="345" t="s">
        <v>2217</v>
      </c>
      <c r="N2" s="345" t="s">
        <v>2218</v>
      </c>
      <c r="O2" s="345" t="s">
        <v>2219</v>
      </c>
      <c r="P2" s="345" t="s">
        <v>2220</v>
      </c>
      <c r="Q2" s="345" t="s">
        <v>2221</v>
      </c>
      <c r="R2" s="345" t="s">
        <v>2222</v>
      </c>
      <c r="S2" s="345" t="s">
        <v>2223</v>
      </c>
      <c r="T2" s="345" t="s">
        <v>2224</v>
      </c>
    </row>
    <row r="3" spans="1:20" s="334" customFormat="1">
      <c r="A3" s="3754" t="s">
        <v>2225</v>
      </c>
      <c r="B3" s="339"/>
      <c r="C3" s="340" t="s">
        <v>1888</v>
      </c>
      <c r="D3" s="340" t="s">
        <v>1889</v>
      </c>
      <c r="E3" s="340" t="s">
        <v>412</v>
      </c>
      <c r="F3" s="340" t="s">
        <v>408</v>
      </c>
      <c r="G3" s="340" t="s">
        <v>280</v>
      </c>
      <c r="H3" s="341"/>
      <c r="I3" s="346" t="s">
        <v>2226</v>
      </c>
      <c r="J3" s="347" t="s">
        <v>2227</v>
      </c>
      <c r="K3" s="347" t="s">
        <v>2228</v>
      </c>
      <c r="L3" s="346" t="s">
        <v>2229</v>
      </c>
      <c r="M3" s="346" t="s">
        <v>2230</v>
      </c>
      <c r="N3" s="346" t="s">
        <v>2231</v>
      </c>
      <c r="O3" s="346" t="s">
        <v>2232</v>
      </c>
      <c r="P3" s="346" t="s">
        <v>2233</v>
      </c>
      <c r="Q3" s="346" t="s">
        <v>2234</v>
      </c>
      <c r="R3" s="346" t="s">
        <v>2235</v>
      </c>
      <c r="S3" s="346" t="s">
        <v>2236</v>
      </c>
      <c r="T3" s="346" t="s">
        <v>2237</v>
      </c>
    </row>
    <row r="4" spans="1:20" s="334" customFormat="1">
      <c r="A4" s="3755"/>
      <c r="B4" s="342" t="s">
        <v>2238</v>
      </c>
      <c r="C4" s="342" t="s">
        <v>2239</v>
      </c>
      <c r="D4" s="342" t="s">
        <v>2239</v>
      </c>
      <c r="E4" s="342" t="s">
        <v>2239</v>
      </c>
      <c r="F4" s="343" t="s">
        <v>2239</v>
      </c>
      <c r="G4" s="343" t="s">
        <v>2239</v>
      </c>
      <c r="H4" s="341"/>
      <c r="I4" s="347" t="s">
        <v>2240</v>
      </c>
      <c r="J4" s="347" t="s">
        <v>2241</v>
      </c>
      <c r="K4" s="347" t="s">
        <v>2242</v>
      </c>
      <c r="L4" s="346" t="s">
        <v>2243</v>
      </c>
      <c r="M4" s="346" t="s">
        <v>2244</v>
      </c>
      <c r="N4" s="346" t="s">
        <v>2245</v>
      </c>
      <c r="O4" s="346" t="s">
        <v>2246</v>
      </c>
      <c r="P4" s="346" t="s">
        <v>2247</v>
      </c>
      <c r="Q4" s="346" t="s">
        <v>2248</v>
      </c>
      <c r="R4" s="346" t="s">
        <v>2249</v>
      </c>
      <c r="S4" s="346" t="s">
        <v>2250</v>
      </c>
      <c r="T4" s="346" t="s">
        <v>2251</v>
      </c>
    </row>
    <row r="5" spans="1:20">
      <c r="A5" s="344" t="s">
        <v>230</v>
      </c>
      <c r="B5" s="345" t="s">
        <v>2213</v>
      </c>
      <c r="C5" s="345">
        <v>34550</v>
      </c>
      <c r="D5" s="345">
        <v>34470</v>
      </c>
      <c r="E5" s="345">
        <v>34330</v>
      </c>
      <c r="F5" s="345">
        <v>13400</v>
      </c>
      <c r="G5" s="345">
        <v>25450</v>
      </c>
      <c r="H5" s="341"/>
      <c r="I5" s="346" t="s">
        <v>2252</v>
      </c>
      <c r="J5" s="347" t="s">
        <v>2253</v>
      </c>
      <c r="K5" s="347" t="s">
        <v>2254</v>
      </c>
      <c r="L5" s="346" t="s">
        <v>2255</v>
      </c>
      <c r="M5" s="346" t="s">
        <v>2256</v>
      </c>
      <c r="N5" s="346" t="s">
        <v>2257</v>
      </c>
      <c r="O5" s="346" t="s">
        <v>2258</v>
      </c>
      <c r="P5" s="346" t="s">
        <v>2259</v>
      </c>
      <c r="Q5" s="346" t="s">
        <v>2260</v>
      </c>
      <c r="R5" s="346" t="s">
        <v>2261</v>
      </c>
      <c r="S5" s="346" t="s">
        <v>2262</v>
      </c>
      <c r="T5" s="346" t="s">
        <v>2263</v>
      </c>
    </row>
    <row r="6" spans="1:20">
      <c r="A6" s="346" t="s">
        <v>230</v>
      </c>
      <c r="B6" s="346" t="s">
        <v>2226</v>
      </c>
      <c r="C6" s="346">
        <v>36990</v>
      </c>
      <c r="D6" s="346">
        <v>36850</v>
      </c>
      <c r="E6" s="346">
        <v>36700</v>
      </c>
      <c r="F6" s="346">
        <v>14590</v>
      </c>
      <c r="G6" s="346">
        <v>27450</v>
      </c>
      <c r="H6" s="341"/>
      <c r="I6" s="349" t="s">
        <v>2264</v>
      </c>
      <c r="J6" s="347" t="s">
        <v>2265</v>
      </c>
      <c r="K6" s="347" t="s">
        <v>2266</v>
      </c>
      <c r="L6" s="346" t="s">
        <v>2267</v>
      </c>
      <c r="M6" s="346" t="s">
        <v>2268</v>
      </c>
      <c r="N6" s="346" t="s">
        <v>2269</v>
      </c>
      <c r="O6" s="346" t="s">
        <v>2270</v>
      </c>
      <c r="P6" s="346" t="s">
        <v>2271</v>
      </c>
      <c r="Q6" s="346" t="s">
        <v>2272</v>
      </c>
      <c r="R6" s="346" t="s">
        <v>2273</v>
      </c>
      <c r="S6" s="346" t="s">
        <v>2274</v>
      </c>
      <c r="T6" s="346" t="s">
        <v>2275</v>
      </c>
    </row>
    <row r="7" spans="1:20">
      <c r="A7" s="346" t="s">
        <v>230</v>
      </c>
      <c r="B7" s="347" t="s">
        <v>2240</v>
      </c>
      <c r="C7" s="346">
        <v>34850</v>
      </c>
      <c r="D7" s="346">
        <v>34690</v>
      </c>
      <c r="E7" s="346">
        <v>34550</v>
      </c>
      <c r="F7" s="346">
        <v>14360</v>
      </c>
      <c r="G7" s="346">
        <v>25620</v>
      </c>
      <c r="H7" s="341"/>
      <c r="J7" s="347" t="s">
        <v>2276</v>
      </c>
      <c r="K7" s="347" t="s">
        <v>2277</v>
      </c>
      <c r="L7" s="346" t="s">
        <v>2278</v>
      </c>
      <c r="M7" s="346" t="s">
        <v>2279</v>
      </c>
      <c r="N7" s="346" t="s">
        <v>2280</v>
      </c>
      <c r="O7" s="346" t="s">
        <v>2281</v>
      </c>
      <c r="P7" s="346" t="s">
        <v>2282</v>
      </c>
      <c r="Q7" s="346" t="s">
        <v>2283</v>
      </c>
      <c r="R7" s="346" t="s">
        <v>2284</v>
      </c>
      <c r="S7" s="346" t="s">
        <v>2285</v>
      </c>
      <c r="T7" s="346" t="s">
        <v>2286</v>
      </c>
    </row>
    <row r="8" spans="1:20">
      <c r="A8" s="346" t="s">
        <v>230</v>
      </c>
      <c r="B8" s="346" t="s">
        <v>2252</v>
      </c>
      <c r="C8" s="346">
        <v>32630</v>
      </c>
      <c r="D8" s="346">
        <v>32510</v>
      </c>
      <c r="E8" s="346">
        <v>32420</v>
      </c>
      <c r="F8" s="346">
        <v>13300</v>
      </c>
      <c r="G8" s="346">
        <v>24010</v>
      </c>
      <c r="H8" s="341"/>
      <c r="J8" s="347" t="s">
        <v>2287</v>
      </c>
      <c r="K8" s="347" t="s">
        <v>2288</v>
      </c>
      <c r="L8" s="346" t="s">
        <v>2289</v>
      </c>
      <c r="M8" s="346" t="s">
        <v>2290</v>
      </c>
      <c r="N8" s="346" t="s">
        <v>2291</v>
      </c>
      <c r="O8" s="346" t="s">
        <v>2292</v>
      </c>
      <c r="P8" s="346" t="s">
        <v>2293</v>
      </c>
      <c r="Q8" s="346" t="s">
        <v>2294</v>
      </c>
      <c r="R8" s="346" t="s">
        <v>2295</v>
      </c>
      <c r="S8" s="346" t="s">
        <v>2296</v>
      </c>
      <c r="T8" s="350" t="s">
        <v>2297</v>
      </c>
    </row>
    <row r="9" spans="1:20">
      <c r="A9" s="348" t="s">
        <v>230</v>
      </c>
      <c r="B9" s="349" t="s">
        <v>2264</v>
      </c>
      <c r="C9" s="350">
        <v>36370</v>
      </c>
      <c r="D9" s="350">
        <v>36210</v>
      </c>
      <c r="E9" s="350">
        <v>36050</v>
      </c>
      <c r="F9" s="350"/>
      <c r="G9" s="350">
        <v>26740</v>
      </c>
      <c r="H9" s="341"/>
      <c r="J9" s="347" t="s">
        <v>2298</v>
      </c>
      <c r="K9" s="347" t="s">
        <v>2299</v>
      </c>
      <c r="L9" s="346" t="s">
        <v>2300</v>
      </c>
      <c r="M9" s="346" t="s">
        <v>2301</v>
      </c>
      <c r="N9" s="346" t="s">
        <v>2302</v>
      </c>
      <c r="O9" s="346" t="s">
        <v>2303</v>
      </c>
      <c r="P9" s="346" t="s">
        <v>2304</v>
      </c>
      <c r="Q9" s="346" t="s">
        <v>2305</v>
      </c>
      <c r="R9" s="346" t="s">
        <v>2306</v>
      </c>
      <c r="S9" s="346" t="s">
        <v>2307</v>
      </c>
    </row>
    <row r="10" spans="1:20">
      <c r="A10" s="344" t="s">
        <v>241</v>
      </c>
      <c r="B10" s="345" t="s">
        <v>2214</v>
      </c>
      <c r="C10" s="346">
        <v>32350</v>
      </c>
      <c r="D10" s="346">
        <v>31430</v>
      </c>
      <c r="E10" s="346">
        <v>31320</v>
      </c>
      <c r="F10" s="346">
        <v>10850</v>
      </c>
      <c r="G10" s="346">
        <v>22860</v>
      </c>
      <c r="H10" s="341"/>
      <c r="J10" s="347" t="s">
        <v>2308</v>
      </c>
      <c r="K10" s="347" t="s">
        <v>2309</v>
      </c>
      <c r="L10" s="346" t="s">
        <v>2310</v>
      </c>
      <c r="M10" s="346" t="s">
        <v>2311</v>
      </c>
      <c r="N10" s="346" t="s">
        <v>2312</v>
      </c>
      <c r="O10" s="346" t="s">
        <v>2313</v>
      </c>
      <c r="P10" s="346" t="s">
        <v>2314</v>
      </c>
      <c r="Q10" s="346" t="s">
        <v>2315</v>
      </c>
      <c r="R10" s="346" t="s">
        <v>2316</v>
      </c>
      <c r="S10" s="346" t="s">
        <v>2317</v>
      </c>
    </row>
    <row r="11" spans="1:20">
      <c r="A11" s="346" t="s">
        <v>241</v>
      </c>
      <c r="B11" s="347" t="s">
        <v>2227</v>
      </c>
      <c r="C11" s="346">
        <v>31590</v>
      </c>
      <c r="D11" s="346">
        <v>29490</v>
      </c>
      <c r="E11" s="346">
        <v>28700</v>
      </c>
      <c r="F11" s="346">
        <v>10410</v>
      </c>
      <c r="G11" s="346">
        <v>21460</v>
      </c>
      <c r="H11" s="341"/>
      <c r="J11" s="347" t="s">
        <v>2318</v>
      </c>
      <c r="K11" s="347" t="s">
        <v>2319</v>
      </c>
      <c r="L11" s="346" t="s">
        <v>2320</v>
      </c>
      <c r="M11" s="346" t="s">
        <v>2321</v>
      </c>
      <c r="N11" s="346" t="s">
        <v>2322</v>
      </c>
      <c r="O11" s="346" t="s">
        <v>2323</v>
      </c>
      <c r="P11" s="346" t="s">
        <v>2324</v>
      </c>
      <c r="Q11" s="346" t="s">
        <v>2325</v>
      </c>
      <c r="R11" s="346" t="s">
        <v>2326</v>
      </c>
      <c r="S11" s="346" t="s">
        <v>2327</v>
      </c>
    </row>
    <row r="12" spans="1:20">
      <c r="A12" s="346" t="s">
        <v>241</v>
      </c>
      <c r="B12" s="347" t="s">
        <v>2241</v>
      </c>
      <c r="C12" s="346">
        <v>29640</v>
      </c>
      <c r="D12" s="346">
        <v>27550</v>
      </c>
      <c r="E12" s="346">
        <v>28010</v>
      </c>
      <c r="F12" s="346">
        <v>8730</v>
      </c>
      <c r="G12" s="346">
        <v>20050</v>
      </c>
      <c r="H12" s="341"/>
      <c r="J12" s="347" t="s">
        <v>2328</v>
      </c>
      <c r="K12" s="347" t="s">
        <v>2329</v>
      </c>
      <c r="L12" s="346" t="s">
        <v>2330</v>
      </c>
      <c r="M12" s="346" t="s">
        <v>2331</v>
      </c>
      <c r="N12" s="346" t="s">
        <v>2332</v>
      </c>
      <c r="O12" s="346" t="s">
        <v>2333</v>
      </c>
      <c r="P12" s="346" t="s">
        <v>2334</v>
      </c>
      <c r="Q12" s="346" t="s">
        <v>2335</v>
      </c>
      <c r="R12" s="346" t="s">
        <v>2336</v>
      </c>
      <c r="S12" s="346" t="s">
        <v>2337</v>
      </c>
    </row>
    <row r="13" spans="1:20">
      <c r="A13" s="346" t="s">
        <v>241</v>
      </c>
      <c r="B13" s="347" t="s">
        <v>2253</v>
      </c>
      <c r="C13" s="346">
        <v>29680</v>
      </c>
      <c r="D13" s="346">
        <v>27660</v>
      </c>
      <c r="E13" s="346">
        <v>28210</v>
      </c>
      <c r="F13" s="346">
        <v>9590</v>
      </c>
      <c r="G13" s="346">
        <v>20120</v>
      </c>
      <c r="H13" s="341"/>
      <c r="J13" s="347" t="s">
        <v>2338</v>
      </c>
      <c r="K13" s="347" t="s">
        <v>2339</v>
      </c>
      <c r="L13" s="346" t="s">
        <v>2340</v>
      </c>
      <c r="M13" s="346" t="s">
        <v>2341</v>
      </c>
      <c r="N13" s="346" t="s">
        <v>2342</v>
      </c>
      <c r="O13" s="346" t="s">
        <v>497</v>
      </c>
      <c r="P13" s="346" t="s">
        <v>2343</v>
      </c>
      <c r="Q13" s="346" t="s">
        <v>2344</v>
      </c>
      <c r="R13" s="346" t="s">
        <v>2345</v>
      </c>
      <c r="S13" s="346" t="s">
        <v>2346</v>
      </c>
    </row>
    <row r="14" spans="1:20">
      <c r="A14" s="346" t="s">
        <v>241</v>
      </c>
      <c r="B14" s="347" t="s">
        <v>2265</v>
      </c>
      <c r="C14" s="346">
        <v>30520</v>
      </c>
      <c r="D14" s="346">
        <v>29510</v>
      </c>
      <c r="E14" s="346">
        <v>29400</v>
      </c>
      <c r="F14" s="346">
        <v>9630</v>
      </c>
      <c r="G14" s="346">
        <v>21480</v>
      </c>
      <c r="H14" s="341"/>
      <c r="J14" s="347" t="s">
        <v>2347</v>
      </c>
      <c r="K14" s="347" t="s">
        <v>2348</v>
      </c>
      <c r="L14" s="346" t="s">
        <v>2349</v>
      </c>
      <c r="M14" s="346" t="s">
        <v>2350</v>
      </c>
      <c r="N14" s="346" t="s">
        <v>2351</v>
      </c>
      <c r="O14" s="346" t="s">
        <v>2352</v>
      </c>
      <c r="P14" s="346" t="s">
        <v>2353</v>
      </c>
      <c r="Q14" s="346" t="s">
        <v>2354</v>
      </c>
      <c r="R14" s="346" t="s">
        <v>2355</v>
      </c>
      <c r="S14" s="346" t="s">
        <v>2356</v>
      </c>
    </row>
    <row r="15" spans="1:20">
      <c r="A15" s="346" t="s">
        <v>241</v>
      </c>
      <c r="B15" s="347" t="s">
        <v>2276</v>
      </c>
      <c r="C15" s="346">
        <v>29090</v>
      </c>
      <c r="D15" s="346">
        <v>27590</v>
      </c>
      <c r="E15" s="346">
        <v>28120</v>
      </c>
      <c r="F15" s="346">
        <v>9110</v>
      </c>
      <c r="G15" s="346">
        <v>20070</v>
      </c>
      <c r="H15" s="341"/>
      <c r="J15" s="347" t="s">
        <v>2357</v>
      </c>
      <c r="K15" s="347" t="s">
        <v>2358</v>
      </c>
      <c r="L15" s="346" t="s">
        <v>2359</v>
      </c>
      <c r="M15" s="346" t="s">
        <v>2360</v>
      </c>
      <c r="N15" s="346" t="s">
        <v>2361</v>
      </c>
      <c r="O15" s="346" t="s">
        <v>2362</v>
      </c>
      <c r="P15" s="346" t="s">
        <v>2363</v>
      </c>
      <c r="Q15" s="346" t="s">
        <v>2364</v>
      </c>
      <c r="R15" s="346" t="s">
        <v>2365</v>
      </c>
      <c r="S15" s="346" t="s">
        <v>2366</v>
      </c>
    </row>
    <row r="16" spans="1:20">
      <c r="A16" s="346" t="s">
        <v>241</v>
      </c>
      <c r="B16" s="347" t="s">
        <v>2287</v>
      </c>
      <c r="C16" s="346">
        <v>26790</v>
      </c>
      <c r="D16" s="346">
        <v>30370</v>
      </c>
      <c r="E16" s="346">
        <v>30240</v>
      </c>
      <c r="F16" s="346">
        <v>11590</v>
      </c>
      <c r="G16" s="346">
        <v>22090</v>
      </c>
      <c r="H16" s="341"/>
      <c r="J16" s="347" t="s">
        <v>2367</v>
      </c>
      <c r="K16" s="347" t="s">
        <v>2368</v>
      </c>
      <c r="L16" s="346" t="s">
        <v>2369</v>
      </c>
      <c r="M16" s="346" t="s">
        <v>2370</v>
      </c>
      <c r="N16" s="346" t="s">
        <v>2371</v>
      </c>
      <c r="O16" s="346" t="s">
        <v>2372</v>
      </c>
      <c r="P16" s="346" t="s">
        <v>2373</v>
      </c>
      <c r="Q16" s="346" t="s">
        <v>2374</v>
      </c>
      <c r="R16" s="346" t="s">
        <v>2375</v>
      </c>
      <c r="S16" s="346" t="s">
        <v>2376</v>
      </c>
    </row>
    <row r="17" spans="1:19" ht="14.25" customHeight="1">
      <c r="A17" s="346" t="s">
        <v>241</v>
      </c>
      <c r="B17" s="347" t="s">
        <v>2298</v>
      </c>
      <c r="C17" s="346">
        <v>29180</v>
      </c>
      <c r="D17" s="346">
        <v>27620</v>
      </c>
      <c r="E17" s="346">
        <v>28180</v>
      </c>
      <c r="F17" s="346">
        <v>10790</v>
      </c>
      <c r="G17" s="346">
        <v>20090</v>
      </c>
      <c r="H17" s="341"/>
      <c r="J17" s="347" t="s">
        <v>2377</v>
      </c>
      <c r="K17" s="347" t="s">
        <v>2378</v>
      </c>
      <c r="L17" s="346" t="s">
        <v>2379</v>
      </c>
      <c r="M17" s="346" t="s">
        <v>2380</v>
      </c>
      <c r="N17" s="346" t="s">
        <v>2381</v>
      </c>
      <c r="O17" s="346" t="s">
        <v>2382</v>
      </c>
      <c r="P17" s="346" t="s">
        <v>2383</v>
      </c>
      <c r="Q17" s="346" t="s">
        <v>2384</v>
      </c>
      <c r="R17" s="346" t="s">
        <v>2385</v>
      </c>
      <c r="S17" s="346" t="s">
        <v>2386</v>
      </c>
    </row>
    <row r="18" spans="1:19" ht="14.25" customHeight="1">
      <c r="A18" s="346" t="s">
        <v>241</v>
      </c>
      <c r="B18" s="347" t="s">
        <v>2308</v>
      </c>
      <c r="C18" s="346">
        <v>26840</v>
      </c>
      <c r="D18" s="346">
        <v>28930</v>
      </c>
      <c r="E18" s="346">
        <v>28820</v>
      </c>
      <c r="F18" s="346"/>
      <c r="G18" s="346">
        <v>21050</v>
      </c>
      <c r="H18" s="341"/>
      <c r="J18" s="347" t="s">
        <v>2387</v>
      </c>
      <c r="K18" s="347" t="s">
        <v>2388</v>
      </c>
      <c r="L18" s="346" t="s">
        <v>2389</v>
      </c>
      <c r="M18" s="346" t="s">
        <v>2390</v>
      </c>
      <c r="N18" s="346" t="s">
        <v>2391</v>
      </c>
      <c r="O18" s="346" t="s">
        <v>2392</v>
      </c>
      <c r="P18" s="346" t="s">
        <v>2393</v>
      </c>
      <c r="Q18" s="346" t="s">
        <v>2394</v>
      </c>
      <c r="R18" s="346" t="s">
        <v>2395</v>
      </c>
      <c r="S18" s="346" t="s">
        <v>2396</v>
      </c>
    </row>
    <row r="19" spans="1:19" ht="14.25" customHeight="1">
      <c r="A19" s="346" t="s">
        <v>241</v>
      </c>
      <c r="B19" s="347" t="s">
        <v>2318</v>
      </c>
      <c r="C19" s="346">
        <v>27750</v>
      </c>
      <c r="D19" s="346">
        <v>26680</v>
      </c>
      <c r="E19" s="346">
        <v>26590</v>
      </c>
      <c r="F19" s="346"/>
      <c r="G19" s="346">
        <v>19420</v>
      </c>
      <c r="H19" s="341"/>
      <c r="J19" s="347" t="s">
        <v>2397</v>
      </c>
      <c r="K19" s="347" t="s">
        <v>2398</v>
      </c>
      <c r="L19" s="346" t="s">
        <v>2399</v>
      </c>
      <c r="M19" s="346" t="s">
        <v>2400</v>
      </c>
      <c r="N19" s="346" t="s">
        <v>2401</v>
      </c>
      <c r="O19" s="346" t="s">
        <v>2402</v>
      </c>
      <c r="P19" s="346" t="s">
        <v>2403</v>
      </c>
      <c r="Q19" s="346" t="s">
        <v>2404</v>
      </c>
      <c r="R19" s="346" t="s">
        <v>2405</v>
      </c>
      <c r="S19" s="346" t="s">
        <v>2406</v>
      </c>
    </row>
    <row r="20" spans="1:19" ht="14.25" customHeight="1">
      <c r="A20" s="346" t="s">
        <v>241</v>
      </c>
      <c r="B20" s="347" t="s">
        <v>2328</v>
      </c>
      <c r="C20" s="346">
        <v>27050</v>
      </c>
      <c r="D20" s="346">
        <v>29010</v>
      </c>
      <c r="E20" s="346">
        <v>28910</v>
      </c>
      <c r="F20" s="346"/>
      <c r="G20" s="346">
        <v>21110</v>
      </c>
      <c r="J20" s="347" t="s">
        <v>2407</v>
      </c>
      <c r="K20" s="347" t="s">
        <v>2408</v>
      </c>
      <c r="L20" s="346" t="s">
        <v>2409</v>
      </c>
      <c r="M20" s="346" t="s">
        <v>2410</v>
      </c>
      <c r="N20" s="346" t="s">
        <v>2411</v>
      </c>
      <c r="O20" s="346" t="s">
        <v>2412</v>
      </c>
      <c r="P20" s="346" t="s">
        <v>2413</v>
      </c>
      <c r="Q20" s="346" t="s">
        <v>2414</v>
      </c>
      <c r="R20" s="346" t="s">
        <v>2415</v>
      </c>
      <c r="S20" s="346" t="s">
        <v>2416</v>
      </c>
    </row>
    <row r="21" spans="1:19" ht="14.25" customHeight="1">
      <c r="A21" s="346" t="s">
        <v>241</v>
      </c>
      <c r="B21" s="347" t="s">
        <v>2338</v>
      </c>
      <c r="C21" s="346">
        <v>32370</v>
      </c>
      <c r="D21" s="346">
        <v>26730</v>
      </c>
      <c r="E21" s="346">
        <v>26640</v>
      </c>
      <c r="F21" s="346"/>
      <c r="G21" s="346">
        <v>19440</v>
      </c>
      <c r="J21" s="350" t="s">
        <v>2417</v>
      </c>
      <c r="K21" s="347" t="s">
        <v>2418</v>
      </c>
      <c r="L21" s="346" t="s">
        <v>2419</v>
      </c>
      <c r="M21" s="346" t="s">
        <v>2420</v>
      </c>
      <c r="N21" s="346" t="s">
        <v>2421</v>
      </c>
      <c r="O21" s="346" t="s">
        <v>2422</v>
      </c>
      <c r="P21" s="346" t="s">
        <v>2423</v>
      </c>
      <c r="Q21" s="346" t="s">
        <v>2424</v>
      </c>
      <c r="R21" s="346" t="s">
        <v>2425</v>
      </c>
      <c r="S21" s="350" t="s">
        <v>2426</v>
      </c>
    </row>
    <row r="22" spans="1:19" ht="14.25" customHeight="1">
      <c r="A22" s="346" t="s">
        <v>241</v>
      </c>
      <c r="B22" s="347" t="s">
        <v>2347</v>
      </c>
      <c r="C22" s="346">
        <v>29830</v>
      </c>
      <c r="D22" s="346">
        <v>27600</v>
      </c>
      <c r="E22" s="346">
        <v>28150</v>
      </c>
      <c r="F22" s="346"/>
      <c r="G22" s="346">
        <v>20080</v>
      </c>
      <c r="K22" s="347" t="s">
        <v>2427</v>
      </c>
      <c r="L22" s="346" t="s">
        <v>2428</v>
      </c>
      <c r="M22" s="346" t="s">
        <v>2429</v>
      </c>
      <c r="N22" s="346" t="s">
        <v>2430</v>
      </c>
      <c r="O22" s="346" t="s">
        <v>2431</v>
      </c>
      <c r="P22" s="346" t="s">
        <v>2432</v>
      </c>
      <c r="Q22" s="346" t="s">
        <v>2433</v>
      </c>
      <c r="R22" s="346" t="s">
        <v>2434</v>
      </c>
    </row>
    <row r="23" spans="1:19" ht="14.25" customHeight="1">
      <c r="A23" s="346" t="s">
        <v>241</v>
      </c>
      <c r="B23" s="347" t="s">
        <v>2357</v>
      </c>
      <c r="C23" s="346">
        <v>27800</v>
      </c>
      <c r="D23" s="346">
        <v>26900</v>
      </c>
      <c r="E23" s="346">
        <v>27170</v>
      </c>
      <c r="F23" s="346"/>
      <c r="G23" s="346">
        <v>19570</v>
      </c>
      <c r="K23" s="347" t="s">
        <v>2435</v>
      </c>
      <c r="L23" s="346" t="s">
        <v>2436</v>
      </c>
      <c r="M23" s="346" t="s">
        <v>2437</v>
      </c>
      <c r="N23" s="346" t="s">
        <v>2438</v>
      </c>
      <c r="O23" s="346" t="s">
        <v>2439</v>
      </c>
      <c r="P23" s="346" t="s">
        <v>2440</v>
      </c>
      <c r="Q23" s="346" t="s">
        <v>2441</v>
      </c>
      <c r="R23" s="346" t="s">
        <v>2442</v>
      </c>
    </row>
    <row r="24" spans="1:19" ht="14.25" customHeight="1">
      <c r="A24" s="346" t="s">
        <v>241</v>
      </c>
      <c r="B24" s="347" t="s">
        <v>2367</v>
      </c>
      <c r="C24" s="346">
        <v>27930</v>
      </c>
      <c r="D24" s="346">
        <v>32260</v>
      </c>
      <c r="E24" s="346">
        <v>32120</v>
      </c>
      <c r="F24" s="346"/>
      <c r="G24" s="346">
        <v>23470</v>
      </c>
      <c r="K24" s="347" t="s">
        <v>2443</v>
      </c>
      <c r="L24" s="346" t="s">
        <v>2444</v>
      </c>
      <c r="M24" s="346" t="s">
        <v>2445</v>
      </c>
      <c r="N24" s="346" t="s">
        <v>2446</v>
      </c>
      <c r="O24" s="346" t="s">
        <v>2447</v>
      </c>
      <c r="P24" s="346" t="s">
        <v>2448</v>
      </c>
      <c r="Q24" s="360" t="s">
        <v>2449</v>
      </c>
      <c r="R24" s="346" t="s">
        <v>2450</v>
      </c>
    </row>
    <row r="25" spans="1:19" ht="14.25" customHeight="1">
      <c r="A25" s="346" t="s">
        <v>241</v>
      </c>
      <c r="B25" s="347" t="s">
        <v>2377</v>
      </c>
      <c r="C25" s="346">
        <v>32230</v>
      </c>
      <c r="D25" s="346">
        <v>29640</v>
      </c>
      <c r="E25" s="346">
        <v>29510</v>
      </c>
      <c r="F25" s="346"/>
      <c r="G25" s="346">
        <v>21560</v>
      </c>
      <c r="K25" s="347" t="s">
        <v>2451</v>
      </c>
      <c r="L25" s="346" t="s">
        <v>2452</v>
      </c>
      <c r="M25" s="346" t="s">
        <v>2453</v>
      </c>
      <c r="N25" s="346" t="s">
        <v>2454</v>
      </c>
      <c r="O25" s="346" t="s">
        <v>2455</v>
      </c>
      <c r="P25" s="346" t="s">
        <v>2456</v>
      </c>
      <c r="Q25" s="360" t="s">
        <v>2457</v>
      </c>
      <c r="R25" s="346" t="s">
        <v>2458</v>
      </c>
    </row>
    <row r="26" spans="1:19" ht="14.25" customHeight="1">
      <c r="A26" s="346" t="s">
        <v>241</v>
      </c>
      <c r="B26" s="347" t="s">
        <v>2387</v>
      </c>
      <c r="C26" s="346">
        <v>31690</v>
      </c>
      <c r="D26" s="346">
        <v>27650</v>
      </c>
      <c r="E26" s="346">
        <v>28200</v>
      </c>
      <c r="F26" s="346"/>
      <c r="G26" s="346">
        <v>20110</v>
      </c>
      <c r="K26" s="349" t="s">
        <v>2459</v>
      </c>
      <c r="L26" s="346" t="s">
        <v>2460</v>
      </c>
      <c r="M26" s="346" t="s">
        <v>2461</v>
      </c>
      <c r="N26" s="346" t="s">
        <v>2462</v>
      </c>
      <c r="O26" s="346" t="s">
        <v>2463</v>
      </c>
      <c r="P26" s="346" t="s">
        <v>2464</v>
      </c>
      <c r="Q26" s="360" t="s">
        <v>2465</v>
      </c>
      <c r="R26" s="346" t="s">
        <v>2466</v>
      </c>
    </row>
    <row r="27" spans="1:19" ht="14.25" customHeight="1">
      <c r="A27" s="346" t="s">
        <v>241</v>
      </c>
      <c r="B27" s="347" t="s">
        <v>2397</v>
      </c>
      <c r="C27" s="346">
        <v>29610</v>
      </c>
      <c r="D27" s="346">
        <v>27770</v>
      </c>
      <c r="E27" s="346">
        <v>28300</v>
      </c>
      <c r="F27" s="346"/>
      <c r="G27" s="346">
        <v>20210</v>
      </c>
      <c r="L27" s="346" t="s">
        <v>2467</v>
      </c>
      <c r="M27" s="346" t="s">
        <v>2468</v>
      </c>
      <c r="N27" s="346" t="s">
        <v>2469</v>
      </c>
      <c r="O27" s="346" t="s">
        <v>2470</v>
      </c>
      <c r="P27" s="346" t="s">
        <v>2471</v>
      </c>
      <c r="Q27" s="346" t="s">
        <v>2472</v>
      </c>
      <c r="R27" s="346" t="s">
        <v>2473</v>
      </c>
    </row>
    <row r="28" spans="1:19" ht="14.25" customHeight="1">
      <c r="A28" s="346" t="s">
        <v>241</v>
      </c>
      <c r="B28" s="347" t="s">
        <v>2407</v>
      </c>
      <c r="C28" s="346"/>
      <c r="D28" s="346">
        <v>31520</v>
      </c>
      <c r="E28" s="346">
        <v>31410</v>
      </c>
      <c r="F28" s="346"/>
      <c r="G28" s="346">
        <v>22940</v>
      </c>
      <c r="L28" s="346" t="s">
        <v>2474</v>
      </c>
      <c r="M28" s="346" t="s">
        <v>2475</v>
      </c>
      <c r="N28" s="346" t="s">
        <v>2476</v>
      </c>
      <c r="O28" s="346" t="s">
        <v>2477</v>
      </c>
      <c r="P28" s="346" t="s">
        <v>2478</v>
      </c>
      <c r="Q28" s="346" t="s">
        <v>2479</v>
      </c>
      <c r="R28" s="346" t="s">
        <v>2480</v>
      </c>
    </row>
    <row r="29" spans="1:19" ht="14.25" customHeight="1">
      <c r="A29" s="348" t="s">
        <v>241</v>
      </c>
      <c r="B29" s="351" t="s">
        <v>2417</v>
      </c>
      <c r="C29" s="352"/>
      <c r="D29" s="352">
        <v>29460</v>
      </c>
      <c r="E29" s="352">
        <v>28640</v>
      </c>
      <c r="F29" s="352"/>
      <c r="G29" s="352">
        <v>21430</v>
      </c>
      <c r="L29" s="346" t="s">
        <v>2481</v>
      </c>
      <c r="M29" s="346" t="s">
        <v>2482</v>
      </c>
      <c r="N29" s="346" t="s">
        <v>2483</v>
      </c>
      <c r="O29" s="346" t="s">
        <v>2484</v>
      </c>
      <c r="P29" s="346" t="s">
        <v>2485</v>
      </c>
      <c r="Q29" s="346" t="s">
        <v>2486</v>
      </c>
      <c r="R29" s="346" t="s">
        <v>2487</v>
      </c>
    </row>
    <row r="30" spans="1:19" ht="14.25" customHeight="1">
      <c r="A30" s="344" t="s">
        <v>251</v>
      </c>
      <c r="B30" s="345" t="s">
        <v>2215</v>
      </c>
      <c r="C30" s="345">
        <v>26890</v>
      </c>
      <c r="D30" s="345">
        <v>26770</v>
      </c>
      <c r="E30" s="345">
        <v>25700</v>
      </c>
      <c r="F30" s="345">
        <v>8180</v>
      </c>
      <c r="G30" s="353">
        <v>18740</v>
      </c>
      <c r="L30" s="346" t="s">
        <v>2488</v>
      </c>
      <c r="M30" s="346" t="s">
        <v>2489</v>
      </c>
      <c r="N30" s="346" t="s">
        <v>2490</v>
      </c>
      <c r="O30" s="346" t="s">
        <v>2491</v>
      </c>
      <c r="P30" s="346" t="s">
        <v>2492</v>
      </c>
      <c r="Q30" s="346" t="s">
        <v>2493</v>
      </c>
      <c r="R30" s="346" t="s">
        <v>2494</v>
      </c>
    </row>
    <row r="31" spans="1:19" ht="14.25" customHeight="1">
      <c r="A31" s="346" t="s">
        <v>251</v>
      </c>
      <c r="B31" s="347" t="s">
        <v>2228</v>
      </c>
      <c r="C31" s="346">
        <v>24550</v>
      </c>
      <c r="D31" s="346">
        <v>23990</v>
      </c>
      <c r="E31" s="346">
        <v>22930</v>
      </c>
      <c r="F31" s="346">
        <v>7470</v>
      </c>
      <c r="G31" s="354">
        <v>16790</v>
      </c>
      <c r="L31" s="346" t="s">
        <v>2495</v>
      </c>
      <c r="M31" s="346" t="s">
        <v>2496</v>
      </c>
      <c r="N31" s="346" t="s">
        <v>2497</v>
      </c>
      <c r="O31" s="346" t="s">
        <v>2498</v>
      </c>
      <c r="P31" s="346" t="s">
        <v>2499</v>
      </c>
      <c r="Q31" s="346" t="s">
        <v>2500</v>
      </c>
      <c r="R31" s="346" t="s">
        <v>2501</v>
      </c>
    </row>
    <row r="32" spans="1:19" ht="14.25" customHeight="1">
      <c r="A32" s="346" t="s">
        <v>251</v>
      </c>
      <c r="B32" s="347" t="s">
        <v>2242</v>
      </c>
      <c r="C32" s="346">
        <v>27210</v>
      </c>
      <c r="D32" s="346">
        <v>23240</v>
      </c>
      <c r="E32" s="346">
        <v>23260</v>
      </c>
      <c r="F32" s="346">
        <v>7130</v>
      </c>
      <c r="G32" s="354">
        <v>16270</v>
      </c>
      <c r="L32" s="346" t="s">
        <v>2502</v>
      </c>
      <c r="M32" s="346" t="s">
        <v>2503</v>
      </c>
      <c r="N32" s="346" t="s">
        <v>2504</v>
      </c>
      <c r="O32" s="346" t="s">
        <v>2505</v>
      </c>
      <c r="P32" s="346" t="s">
        <v>2506</v>
      </c>
      <c r="Q32" s="346" t="s">
        <v>2507</v>
      </c>
      <c r="R32" s="350" t="s">
        <v>2508</v>
      </c>
    </row>
    <row r="33" spans="1:17" ht="14.25" customHeight="1">
      <c r="A33" s="346" t="s">
        <v>251</v>
      </c>
      <c r="B33" s="347" t="s">
        <v>2254</v>
      </c>
      <c r="C33" s="346">
        <v>27300</v>
      </c>
      <c r="D33" s="346">
        <v>22980</v>
      </c>
      <c r="E33" s="346">
        <v>24260</v>
      </c>
      <c r="F33" s="346">
        <v>5860</v>
      </c>
      <c r="G33" s="354">
        <v>16090</v>
      </c>
      <c r="L33" s="350" t="s">
        <v>2509</v>
      </c>
      <c r="M33" s="346" t="s">
        <v>2510</v>
      </c>
      <c r="N33" s="346" t="s">
        <v>2511</v>
      </c>
      <c r="O33" s="346" t="s">
        <v>2512</v>
      </c>
      <c r="P33" s="346" t="s">
        <v>2513</v>
      </c>
      <c r="Q33" s="346" t="s">
        <v>2514</v>
      </c>
    </row>
    <row r="34" spans="1:17" ht="14.25" customHeight="1">
      <c r="A34" s="346" t="s">
        <v>251</v>
      </c>
      <c r="B34" s="347" t="s">
        <v>2266</v>
      </c>
      <c r="C34" s="346">
        <v>23090</v>
      </c>
      <c r="D34" s="346">
        <v>23390</v>
      </c>
      <c r="E34" s="346">
        <v>23510</v>
      </c>
      <c r="F34" s="346">
        <v>6700</v>
      </c>
      <c r="G34" s="354">
        <v>16370</v>
      </c>
      <c r="M34" s="346" t="s">
        <v>2515</v>
      </c>
      <c r="N34" s="346" t="s">
        <v>2516</v>
      </c>
      <c r="O34" s="346" t="s">
        <v>2517</v>
      </c>
      <c r="P34" s="346" t="s">
        <v>2518</v>
      </c>
      <c r="Q34" s="346" t="s">
        <v>2519</v>
      </c>
    </row>
    <row r="35" spans="1:17" ht="14.25" customHeight="1">
      <c r="A35" s="346" t="s">
        <v>251</v>
      </c>
      <c r="B35" s="347" t="s">
        <v>2277</v>
      </c>
      <c r="C35" s="346">
        <v>27270</v>
      </c>
      <c r="D35" s="346">
        <v>24270</v>
      </c>
      <c r="E35" s="346">
        <v>24950</v>
      </c>
      <c r="F35" s="346">
        <v>6600</v>
      </c>
      <c r="G35" s="354">
        <v>16990</v>
      </c>
      <c r="M35" s="346" t="s">
        <v>2520</v>
      </c>
      <c r="N35" s="346" t="s">
        <v>2521</v>
      </c>
      <c r="O35" s="346" t="s">
        <v>2522</v>
      </c>
      <c r="P35" s="346" t="s">
        <v>2523</v>
      </c>
      <c r="Q35" s="346" t="s">
        <v>2524</v>
      </c>
    </row>
    <row r="36" spans="1:17" ht="14.25" customHeight="1">
      <c r="A36" s="346" t="s">
        <v>251</v>
      </c>
      <c r="B36" s="347" t="s">
        <v>2288</v>
      </c>
      <c r="C36" s="346">
        <v>23490</v>
      </c>
      <c r="D36" s="346">
        <v>23020</v>
      </c>
      <c r="E36" s="346">
        <v>25230</v>
      </c>
      <c r="F36" s="346">
        <v>6780</v>
      </c>
      <c r="G36" s="354">
        <v>16120</v>
      </c>
      <c r="M36" s="346" t="s">
        <v>2525</v>
      </c>
      <c r="N36" s="346" t="s">
        <v>2526</v>
      </c>
      <c r="O36" s="346" t="s">
        <v>2527</v>
      </c>
      <c r="P36" s="346" t="s">
        <v>2528</v>
      </c>
      <c r="Q36" s="346" t="s">
        <v>2529</v>
      </c>
    </row>
    <row r="37" spans="1:17" ht="14.25" customHeight="1">
      <c r="A37" s="346" t="s">
        <v>251</v>
      </c>
      <c r="B37" s="347" t="s">
        <v>2299</v>
      </c>
      <c r="C37" s="346">
        <v>24380</v>
      </c>
      <c r="D37" s="346">
        <v>22240</v>
      </c>
      <c r="E37" s="346">
        <v>25980</v>
      </c>
      <c r="F37" s="346">
        <v>8160</v>
      </c>
      <c r="G37" s="354">
        <v>15570</v>
      </c>
      <c r="M37" s="346" t="s">
        <v>2530</v>
      </c>
      <c r="N37" s="346" t="s">
        <v>2531</v>
      </c>
      <c r="O37" s="346" t="s">
        <v>2532</v>
      </c>
      <c r="P37" s="346" t="s">
        <v>2533</v>
      </c>
      <c r="Q37" s="346" t="s">
        <v>2534</v>
      </c>
    </row>
    <row r="38" spans="1:17" ht="14.25" customHeight="1">
      <c r="A38" s="346" t="s">
        <v>251</v>
      </c>
      <c r="B38" s="347" t="s">
        <v>2309</v>
      </c>
      <c r="C38" s="346">
        <v>23120</v>
      </c>
      <c r="D38" s="346">
        <v>24630</v>
      </c>
      <c r="E38" s="346">
        <v>25030</v>
      </c>
      <c r="F38" s="346">
        <v>7710</v>
      </c>
      <c r="G38" s="354">
        <v>17240</v>
      </c>
      <c r="M38" s="346" t="s">
        <v>2535</v>
      </c>
      <c r="N38" s="346" t="s">
        <v>2536</v>
      </c>
      <c r="O38" s="346" t="s">
        <v>2537</v>
      </c>
      <c r="P38" s="346" t="s">
        <v>2538</v>
      </c>
      <c r="Q38" s="346" t="s">
        <v>2539</v>
      </c>
    </row>
    <row r="39" spans="1:17" ht="14.25" customHeight="1">
      <c r="A39" s="346" t="s">
        <v>251</v>
      </c>
      <c r="B39" s="347" t="s">
        <v>2319</v>
      </c>
      <c r="C39" s="346">
        <v>22330</v>
      </c>
      <c r="D39" s="346">
        <v>21140</v>
      </c>
      <c r="E39" s="346">
        <v>23970</v>
      </c>
      <c r="F39" s="346">
        <v>7940</v>
      </c>
      <c r="G39" s="354">
        <v>14790</v>
      </c>
      <c r="M39" s="346" t="s">
        <v>2540</v>
      </c>
      <c r="N39" s="346" t="s">
        <v>2541</v>
      </c>
      <c r="O39" s="346" t="s">
        <v>2542</v>
      </c>
      <c r="P39" s="346" t="s">
        <v>2543</v>
      </c>
      <c r="Q39" s="346" t="s">
        <v>2544</v>
      </c>
    </row>
    <row r="40" spans="1:17" ht="14.25" customHeight="1">
      <c r="A40" s="346" t="s">
        <v>251</v>
      </c>
      <c r="B40" s="347" t="s">
        <v>2329</v>
      </c>
      <c r="C40" s="346">
        <v>24740</v>
      </c>
      <c r="D40" s="346">
        <v>24690</v>
      </c>
      <c r="E40" s="346">
        <v>22610</v>
      </c>
      <c r="F40" s="346"/>
      <c r="G40" s="354">
        <v>17280</v>
      </c>
      <c r="M40" s="346" t="s">
        <v>2545</v>
      </c>
      <c r="N40" s="346" t="s">
        <v>2546</v>
      </c>
      <c r="O40" s="346" t="s">
        <v>2547</v>
      </c>
      <c r="P40" s="346" t="s">
        <v>2548</v>
      </c>
      <c r="Q40" s="346" t="s">
        <v>2549</v>
      </c>
    </row>
    <row r="41" spans="1:17" ht="14.25" customHeight="1">
      <c r="A41" s="346" t="s">
        <v>251</v>
      </c>
      <c r="B41" s="347" t="s">
        <v>2339</v>
      </c>
      <c r="C41" s="346">
        <v>21220</v>
      </c>
      <c r="D41" s="346">
        <v>21120</v>
      </c>
      <c r="E41" s="346">
        <v>22590</v>
      </c>
      <c r="F41" s="346"/>
      <c r="G41" s="354">
        <v>14780</v>
      </c>
      <c r="M41" s="350" t="s">
        <v>2550</v>
      </c>
      <c r="N41" s="346" t="s">
        <v>2551</v>
      </c>
      <c r="O41" s="346" t="s">
        <v>2552</v>
      </c>
      <c r="P41" s="346" t="s">
        <v>2553</v>
      </c>
      <c r="Q41" s="346" t="s">
        <v>2554</v>
      </c>
    </row>
    <row r="42" spans="1:17" ht="14.25" customHeight="1">
      <c r="A42" s="346" t="s">
        <v>251</v>
      </c>
      <c r="B42" s="347" t="s">
        <v>2348</v>
      </c>
      <c r="C42" s="346">
        <v>24800</v>
      </c>
      <c r="D42" s="346">
        <v>22280</v>
      </c>
      <c r="E42" s="346">
        <v>24350</v>
      </c>
      <c r="F42" s="346"/>
      <c r="G42" s="354">
        <v>15590</v>
      </c>
      <c r="N42" s="346" t="s">
        <v>2555</v>
      </c>
      <c r="O42" s="346" t="s">
        <v>2556</v>
      </c>
      <c r="P42" s="346" t="s">
        <v>2557</v>
      </c>
      <c r="Q42" s="346" t="s">
        <v>2558</v>
      </c>
    </row>
    <row r="43" spans="1:17" ht="14.25" customHeight="1">
      <c r="A43" s="346" t="s">
        <v>251</v>
      </c>
      <c r="B43" s="347" t="s">
        <v>2358</v>
      </c>
      <c r="C43" s="346">
        <v>21210</v>
      </c>
      <c r="D43" s="346">
        <v>21160</v>
      </c>
      <c r="E43" s="346">
        <v>22650</v>
      </c>
      <c r="F43" s="346"/>
      <c r="G43" s="354">
        <v>14800</v>
      </c>
      <c r="N43" s="346" t="s">
        <v>2559</v>
      </c>
      <c r="O43" s="346" t="s">
        <v>2560</v>
      </c>
      <c r="P43" s="346" t="s">
        <v>2561</v>
      </c>
      <c r="Q43" s="346" t="s">
        <v>2562</v>
      </c>
    </row>
    <row r="44" spans="1:17" ht="14.25" customHeight="1">
      <c r="A44" s="346" t="s">
        <v>251</v>
      </c>
      <c r="B44" s="347" t="s">
        <v>2368</v>
      </c>
      <c r="C44" s="346">
        <v>22370</v>
      </c>
      <c r="D44" s="346">
        <v>23140</v>
      </c>
      <c r="E44" s="346">
        <v>25090</v>
      </c>
      <c r="F44" s="346"/>
      <c r="G44" s="354">
        <v>16190</v>
      </c>
      <c r="N44" s="346" t="s">
        <v>2563</v>
      </c>
      <c r="O44" s="346" t="s">
        <v>2564</v>
      </c>
      <c r="P44" s="350" t="s">
        <v>2565</v>
      </c>
      <c r="Q44" s="346" t="s">
        <v>2566</v>
      </c>
    </row>
    <row r="45" spans="1:17" ht="14.25" customHeight="1">
      <c r="A45" s="346" t="s">
        <v>251</v>
      </c>
      <c r="B45" s="347" t="s">
        <v>2378</v>
      </c>
      <c r="C45" s="346">
        <v>21240</v>
      </c>
      <c r="D45" s="346">
        <v>27050</v>
      </c>
      <c r="E45" s="346">
        <v>28000</v>
      </c>
      <c r="F45" s="346"/>
      <c r="G45" s="354">
        <v>18940</v>
      </c>
      <c r="N45" s="346" t="s">
        <v>2567</v>
      </c>
      <c r="O45" s="350" t="s">
        <v>2568</v>
      </c>
      <c r="Q45" s="346" t="s">
        <v>2569</v>
      </c>
    </row>
    <row r="46" spans="1:17" ht="14.25" customHeight="1">
      <c r="A46" s="346" t="s">
        <v>251</v>
      </c>
      <c r="B46" s="347" t="s">
        <v>2388</v>
      </c>
      <c r="C46" s="346">
        <v>23240</v>
      </c>
      <c r="D46" s="346">
        <v>23000</v>
      </c>
      <c r="E46" s="346">
        <v>24980</v>
      </c>
      <c r="F46" s="346"/>
      <c r="G46" s="354">
        <v>16100</v>
      </c>
      <c r="N46" s="346" t="s">
        <v>2570</v>
      </c>
      <c r="Q46" s="346" t="s">
        <v>2571</v>
      </c>
    </row>
    <row r="47" spans="1:17" ht="14.25" customHeight="1">
      <c r="A47" s="346" t="s">
        <v>251</v>
      </c>
      <c r="B47" s="347" t="s">
        <v>2398</v>
      </c>
      <c r="C47" s="346">
        <v>27150</v>
      </c>
      <c r="D47" s="346">
        <v>23310</v>
      </c>
      <c r="E47" s="346">
        <v>25150</v>
      </c>
      <c r="F47" s="346"/>
      <c r="G47" s="354">
        <v>16310</v>
      </c>
      <c r="N47" s="346" t="s">
        <v>2572</v>
      </c>
      <c r="Q47" s="346" t="s">
        <v>2573</v>
      </c>
    </row>
    <row r="48" spans="1:17" ht="14.25" customHeight="1">
      <c r="A48" s="346" t="s">
        <v>251</v>
      </c>
      <c r="B48" s="347" t="s">
        <v>2408</v>
      </c>
      <c r="C48" s="346">
        <v>23100</v>
      </c>
      <c r="D48" s="346">
        <v>21110</v>
      </c>
      <c r="E48" s="346">
        <v>23080</v>
      </c>
      <c r="F48" s="346"/>
      <c r="G48" s="354">
        <v>14780</v>
      </c>
      <c r="N48" s="346" t="s">
        <v>2574</v>
      </c>
      <c r="Q48" s="346" t="s">
        <v>2575</v>
      </c>
    </row>
    <row r="49" spans="1:17" ht="14.25" customHeight="1">
      <c r="A49" s="346" t="s">
        <v>251</v>
      </c>
      <c r="B49" s="347" t="s">
        <v>2418</v>
      </c>
      <c r="C49" s="346">
        <v>23400</v>
      </c>
      <c r="D49" s="346">
        <v>22920</v>
      </c>
      <c r="E49" s="346">
        <v>24900</v>
      </c>
      <c r="F49" s="346"/>
      <c r="G49" s="354">
        <v>16040</v>
      </c>
      <c r="N49" s="346" t="s">
        <v>2576</v>
      </c>
      <c r="Q49" s="346" t="s">
        <v>2577</v>
      </c>
    </row>
    <row r="50" spans="1:17" ht="14.25" customHeight="1">
      <c r="A50" s="346" t="s">
        <v>251</v>
      </c>
      <c r="B50" s="347" t="s">
        <v>2427</v>
      </c>
      <c r="C50" s="346">
        <v>21200</v>
      </c>
      <c r="D50" s="346">
        <v>26540</v>
      </c>
      <c r="E50" s="346">
        <v>23200</v>
      </c>
      <c r="F50" s="346"/>
      <c r="G50" s="354">
        <v>18580</v>
      </c>
      <c r="N50" s="346" t="s">
        <v>2578</v>
      </c>
      <c r="Q50" s="347" t="s">
        <v>2579</v>
      </c>
    </row>
    <row r="51" spans="1:17" ht="14.25" customHeight="1">
      <c r="A51" s="346" t="s">
        <v>251</v>
      </c>
      <c r="B51" s="347" t="s">
        <v>2435</v>
      </c>
      <c r="C51" s="346">
        <v>23000</v>
      </c>
      <c r="D51" s="346">
        <v>23460</v>
      </c>
      <c r="E51" s="346">
        <v>25290</v>
      </c>
      <c r="F51" s="346"/>
      <c r="G51" s="354">
        <v>16420</v>
      </c>
      <c r="N51" s="346" t="s">
        <v>2580</v>
      </c>
      <c r="Q51" s="350" t="s">
        <v>2581</v>
      </c>
    </row>
    <row r="52" spans="1:17" ht="14.25" customHeight="1">
      <c r="A52" s="346" t="s">
        <v>251</v>
      </c>
      <c r="B52" s="347" t="s">
        <v>2443</v>
      </c>
      <c r="C52" s="346">
        <v>26660</v>
      </c>
      <c r="D52" s="346">
        <v>22350</v>
      </c>
      <c r="E52" s="346">
        <v>22920</v>
      </c>
      <c r="F52" s="346"/>
      <c r="G52" s="354">
        <v>15640</v>
      </c>
      <c r="N52" s="346" t="s">
        <v>2582</v>
      </c>
    </row>
    <row r="53" spans="1:17" ht="14.25" customHeight="1">
      <c r="A53" s="346" t="s">
        <v>251</v>
      </c>
      <c r="B53" s="347" t="s">
        <v>2451</v>
      </c>
      <c r="C53" s="346">
        <v>23580</v>
      </c>
      <c r="D53" s="346"/>
      <c r="E53" s="346">
        <v>24280</v>
      </c>
      <c r="F53" s="346"/>
      <c r="G53" s="354"/>
      <c r="N53" s="346" t="s">
        <v>2583</v>
      </c>
    </row>
    <row r="54" spans="1:17" ht="14.25" customHeight="1">
      <c r="A54" s="355" t="s">
        <v>251</v>
      </c>
      <c r="B54" s="349" t="s">
        <v>2459</v>
      </c>
      <c r="C54" s="350">
        <v>22460</v>
      </c>
      <c r="D54" s="350"/>
      <c r="E54" s="350"/>
      <c r="F54" s="350"/>
      <c r="G54" s="356"/>
      <c r="N54" s="346" t="s">
        <v>2584</v>
      </c>
    </row>
    <row r="55" spans="1:17" ht="14.25" customHeight="1">
      <c r="A55" s="344" t="s">
        <v>259</v>
      </c>
      <c r="B55" s="345" t="s">
        <v>2216</v>
      </c>
      <c r="C55" s="346">
        <v>21970</v>
      </c>
      <c r="D55" s="346">
        <v>20370</v>
      </c>
      <c r="E55" s="346">
        <v>20180</v>
      </c>
      <c r="F55" s="346">
        <v>5730</v>
      </c>
      <c r="G55" s="346">
        <v>13820</v>
      </c>
      <c r="N55" s="346" t="s">
        <v>2585</v>
      </c>
    </row>
    <row r="56" spans="1:17" ht="14.25" customHeight="1">
      <c r="A56" s="346" t="s">
        <v>259</v>
      </c>
      <c r="B56" s="346" t="s">
        <v>2229</v>
      </c>
      <c r="C56" s="346">
        <v>20470</v>
      </c>
      <c r="D56" s="346">
        <v>20700</v>
      </c>
      <c r="E56" s="346">
        <v>20380</v>
      </c>
      <c r="F56" s="346">
        <v>4760</v>
      </c>
      <c r="G56" s="346">
        <v>14050</v>
      </c>
      <c r="N56" s="346" t="s">
        <v>2586</v>
      </c>
    </row>
    <row r="57" spans="1:17" ht="14.25" customHeight="1">
      <c r="A57" s="346" t="s">
        <v>259</v>
      </c>
      <c r="B57" s="346" t="s">
        <v>2243</v>
      </c>
      <c r="C57" s="346">
        <v>20790</v>
      </c>
      <c r="D57" s="346">
        <v>21370</v>
      </c>
      <c r="E57" s="346">
        <v>20890</v>
      </c>
      <c r="F57" s="346">
        <v>4910</v>
      </c>
      <c r="G57" s="346">
        <v>14510</v>
      </c>
      <c r="N57" s="346" t="s">
        <v>2587</v>
      </c>
    </row>
    <row r="58" spans="1:17" ht="14.25" customHeight="1">
      <c r="A58" s="346" t="s">
        <v>259</v>
      </c>
      <c r="B58" s="346" t="s">
        <v>2255</v>
      </c>
      <c r="C58" s="346">
        <v>21460</v>
      </c>
      <c r="D58" s="346">
        <v>20920</v>
      </c>
      <c r="E58" s="346">
        <v>23410</v>
      </c>
      <c r="F58" s="346">
        <v>5100</v>
      </c>
      <c r="G58" s="346">
        <v>14200</v>
      </c>
      <c r="N58" s="346" t="s">
        <v>2588</v>
      </c>
    </row>
    <row r="59" spans="1:17" ht="14.25" customHeight="1">
      <c r="A59" s="346" t="s">
        <v>259</v>
      </c>
      <c r="B59" s="346" t="s">
        <v>2267</v>
      </c>
      <c r="C59" s="346">
        <v>21000</v>
      </c>
      <c r="D59" s="346">
        <v>21550</v>
      </c>
      <c r="E59" s="346">
        <v>21150</v>
      </c>
      <c r="F59" s="346">
        <v>5250</v>
      </c>
      <c r="G59" s="346">
        <v>14630</v>
      </c>
      <c r="N59" s="346" t="s">
        <v>2589</v>
      </c>
    </row>
    <row r="60" spans="1:17" ht="14.25" customHeight="1">
      <c r="A60" s="346" t="s">
        <v>259</v>
      </c>
      <c r="B60" s="346" t="s">
        <v>2278</v>
      </c>
      <c r="C60" s="346">
        <v>21640</v>
      </c>
      <c r="D60" s="346">
        <v>21260</v>
      </c>
      <c r="E60" s="346">
        <v>24040</v>
      </c>
      <c r="F60" s="346">
        <v>4470</v>
      </c>
      <c r="G60" s="346">
        <v>14430</v>
      </c>
      <c r="N60" s="346" t="s">
        <v>2590</v>
      </c>
    </row>
    <row r="61" spans="1:17" ht="14.25" customHeight="1">
      <c r="A61" s="346" t="s">
        <v>259</v>
      </c>
      <c r="B61" s="346" t="s">
        <v>2289</v>
      </c>
      <c r="C61" s="346">
        <v>21330</v>
      </c>
      <c r="D61" s="346">
        <v>18640</v>
      </c>
      <c r="E61" s="346">
        <v>21190</v>
      </c>
      <c r="F61" s="346">
        <v>4180</v>
      </c>
      <c r="G61" s="346">
        <v>12650</v>
      </c>
      <c r="N61" s="346" t="s">
        <v>2591</v>
      </c>
    </row>
    <row r="62" spans="1:17" ht="14.25" customHeight="1">
      <c r="A62" s="346" t="s">
        <v>259</v>
      </c>
      <c r="B62" s="346" t="s">
        <v>2300</v>
      </c>
      <c r="C62" s="346">
        <v>18710</v>
      </c>
      <c r="D62" s="346">
        <v>19400</v>
      </c>
      <c r="E62" s="346">
        <v>23750</v>
      </c>
      <c r="F62" s="346">
        <v>4860</v>
      </c>
      <c r="G62" s="346">
        <v>13170</v>
      </c>
      <c r="N62" s="346" t="s">
        <v>2592</v>
      </c>
    </row>
    <row r="63" spans="1:17" ht="14.25" customHeight="1">
      <c r="A63" s="346" t="s">
        <v>259</v>
      </c>
      <c r="B63" s="346" t="s">
        <v>2310</v>
      </c>
      <c r="C63" s="346">
        <v>19480</v>
      </c>
      <c r="D63" s="346">
        <v>16830</v>
      </c>
      <c r="E63" s="346">
        <v>21590</v>
      </c>
      <c r="F63" s="346">
        <v>4560</v>
      </c>
      <c r="G63" s="346">
        <v>11420</v>
      </c>
      <c r="N63" s="346" t="s">
        <v>2593</v>
      </c>
    </row>
    <row r="64" spans="1:17" ht="14.25" customHeight="1">
      <c r="A64" s="346" t="s">
        <v>259</v>
      </c>
      <c r="B64" s="346" t="s">
        <v>2320</v>
      </c>
      <c r="C64" s="346">
        <v>16920</v>
      </c>
      <c r="D64" s="346">
        <v>19190</v>
      </c>
      <c r="E64" s="346">
        <v>22200</v>
      </c>
      <c r="F64" s="346">
        <v>4390</v>
      </c>
      <c r="G64" s="346">
        <v>13030</v>
      </c>
      <c r="N64" s="350" t="s">
        <v>2594</v>
      </c>
    </row>
    <row r="65" spans="1:7" s="335" customFormat="1" ht="14.25" customHeight="1">
      <c r="A65" s="346" t="s">
        <v>259</v>
      </c>
      <c r="B65" s="346" t="s">
        <v>2330</v>
      </c>
      <c r="C65" s="346">
        <v>19290</v>
      </c>
      <c r="D65" s="346">
        <v>17020</v>
      </c>
      <c r="E65" s="346">
        <v>19880</v>
      </c>
      <c r="F65" s="346">
        <v>4070</v>
      </c>
      <c r="G65" s="346">
        <v>11550</v>
      </c>
    </row>
    <row r="66" spans="1:7" s="335" customFormat="1" ht="14.25" customHeight="1">
      <c r="A66" s="346" t="s">
        <v>259</v>
      </c>
      <c r="B66" s="346" t="s">
        <v>2340</v>
      </c>
      <c r="C66" s="346">
        <v>17090</v>
      </c>
      <c r="D66" s="346">
        <v>18340</v>
      </c>
      <c r="E66" s="346">
        <v>21830</v>
      </c>
      <c r="F66" s="346">
        <v>4690</v>
      </c>
      <c r="G66" s="346">
        <v>12450</v>
      </c>
    </row>
    <row r="67" spans="1:7" s="335" customFormat="1" ht="14.25" customHeight="1">
      <c r="A67" s="346" t="s">
        <v>259</v>
      </c>
      <c r="B67" s="346" t="s">
        <v>2349</v>
      </c>
      <c r="C67" s="346">
        <v>18420</v>
      </c>
      <c r="D67" s="346">
        <v>16360</v>
      </c>
      <c r="E67" s="346">
        <v>20020</v>
      </c>
      <c r="F67" s="346">
        <v>5150</v>
      </c>
      <c r="G67" s="346">
        <v>11110</v>
      </c>
    </row>
    <row r="68" spans="1:7" s="335" customFormat="1" ht="14.25" customHeight="1">
      <c r="A68" s="346" t="s">
        <v>259</v>
      </c>
      <c r="B68" s="346" t="s">
        <v>2359</v>
      </c>
      <c r="C68" s="346">
        <v>16450</v>
      </c>
      <c r="D68" s="346">
        <v>18430</v>
      </c>
      <c r="E68" s="346">
        <v>21010</v>
      </c>
      <c r="F68" s="346">
        <v>4720</v>
      </c>
      <c r="G68" s="346">
        <v>12510</v>
      </c>
    </row>
    <row r="69" spans="1:7" s="335" customFormat="1" ht="14.25" customHeight="1">
      <c r="A69" s="346" t="s">
        <v>259</v>
      </c>
      <c r="B69" s="346" t="s">
        <v>2369</v>
      </c>
      <c r="C69" s="346">
        <v>18510</v>
      </c>
      <c r="D69" s="346">
        <v>16300</v>
      </c>
      <c r="E69" s="346">
        <v>18830</v>
      </c>
      <c r="F69" s="346">
        <v>5400</v>
      </c>
      <c r="G69" s="346">
        <v>11070</v>
      </c>
    </row>
    <row r="70" spans="1:7" s="335" customFormat="1" ht="14.25" customHeight="1">
      <c r="A70" s="346" t="s">
        <v>259</v>
      </c>
      <c r="B70" s="346" t="s">
        <v>2379</v>
      </c>
      <c r="C70" s="346">
        <v>16370</v>
      </c>
      <c r="D70" s="346">
        <v>18620</v>
      </c>
      <c r="E70" s="346">
        <v>21100</v>
      </c>
      <c r="F70" s="346">
        <v>5700</v>
      </c>
      <c r="G70" s="346">
        <v>12640</v>
      </c>
    </row>
    <row r="71" spans="1:7" s="335" customFormat="1" ht="14.25" customHeight="1">
      <c r="A71" s="346" t="s">
        <v>259</v>
      </c>
      <c r="B71" s="346" t="s">
        <v>2389</v>
      </c>
      <c r="C71" s="346">
        <v>18700</v>
      </c>
      <c r="D71" s="346">
        <v>16290</v>
      </c>
      <c r="E71" s="346">
        <v>18760</v>
      </c>
      <c r="F71" s="346">
        <v>4780</v>
      </c>
      <c r="G71" s="346">
        <v>11050</v>
      </c>
    </row>
    <row r="72" spans="1:7" s="335" customFormat="1" ht="14.25" customHeight="1">
      <c r="A72" s="346" t="s">
        <v>259</v>
      </c>
      <c r="B72" s="346" t="s">
        <v>2399</v>
      </c>
      <c r="C72" s="346">
        <v>16340</v>
      </c>
      <c r="D72" s="346">
        <v>17520</v>
      </c>
      <c r="E72" s="346">
        <v>21170</v>
      </c>
      <c r="F72" s="346"/>
      <c r="G72" s="346">
        <v>11900</v>
      </c>
    </row>
    <row r="73" spans="1:7" s="335" customFormat="1" ht="14.25" customHeight="1">
      <c r="A73" s="346" t="s">
        <v>259</v>
      </c>
      <c r="B73" s="346" t="s">
        <v>2409</v>
      </c>
      <c r="C73" s="346">
        <v>17610</v>
      </c>
      <c r="D73" s="346">
        <v>18520</v>
      </c>
      <c r="E73" s="346">
        <v>18720</v>
      </c>
      <c r="F73" s="346"/>
      <c r="G73" s="346">
        <v>12570</v>
      </c>
    </row>
    <row r="74" spans="1:7" s="335" customFormat="1" ht="14.25" customHeight="1">
      <c r="A74" s="346" t="s">
        <v>259</v>
      </c>
      <c r="B74" s="346" t="s">
        <v>2419</v>
      </c>
      <c r="C74" s="346">
        <v>18600</v>
      </c>
      <c r="D74" s="346">
        <v>16480</v>
      </c>
      <c r="E74" s="346">
        <v>20100</v>
      </c>
      <c r="F74" s="346"/>
      <c r="G74" s="346">
        <v>11190</v>
      </c>
    </row>
    <row r="75" spans="1:7" s="335" customFormat="1" ht="14.25" customHeight="1">
      <c r="A75" s="346" t="s">
        <v>259</v>
      </c>
      <c r="B75" s="346" t="s">
        <v>2428</v>
      </c>
      <c r="C75" s="346">
        <v>16570</v>
      </c>
      <c r="D75" s="346">
        <v>17530</v>
      </c>
      <c r="E75" s="346">
        <v>21030</v>
      </c>
      <c r="F75" s="346"/>
      <c r="G75" s="346">
        <v>11900</v>
      </c>
    </row>
    <row r="76" spans="1:7" s="335" customFormat="1" ht="14.25" customHeight="1">
      <c r="A76" s="346" t="s">
        <v>259</v>
      </c>
      <c r="B76" s="346" t="s">
        <v>2436</v>
      </c>
      <c r="C76" s="346">
        <v>17610</v>
      </c>
      <c r="D76" s="346">
        <v>20800</v>
      </c>
      <c r="E76" s="346">
        <v>18920</v>
      </c>
      <c r="F76" s="346"/>
      <c r="G76" s="346">
        <v>14120</v>
      </c>
    </row>
    <row r="77" spans="1:7" s="335" customFormat="1" ht="14.25" customHeight="1">
      <c r="A77" s="346" t="s">
        <v>259</v>
      </c>
      <c r="B77" s="346" t="s">
        <v>2444</v>
      </c>
      <c r="C77" s="346">
        <v>20890</v>
      </c>
      <c r="D77" s="346">
        <v>19740</v>
      </c>
      <c r="E77" s="346">
        <v>20110</v>
      </c>
      <c r="F77" s="346"/>
      <c r="G77" s="346">
        <v>13400</v>
      </c>
    </row>
    <row r="78" spans="1:7" s="335" customFormat="1" ht="14.25" customHeight="1">
      <c r="A78" s="346" t="s">
        <v>259</v>
      </c>
      <c r="B78" s="346" t="s">
        <v>2452</v>
      </c>
      <c r="C78" s="346">
        <v>19820</v>
      </c>
      <c r="D78" s="346">
        <v>19780</v>
      </c>
      <c r="E78" s="346">
        <v>18560</v>
      </c>
      <c r="F78" s="346"/>
      <c r="G78" s="346">
        <v>13430</v>
      </c>
    </row>
    <row r="79" spans="1:7" s="335" customFormat="1" ht="14.25" customHeight="1">
      <c r="A79" s="346" t="s">
        <v>259</v>
      </c>
      <c r="B79" s="346" t="s">
        <v>2460</v>
      </c>
      <c r="C79" s="346">
        <v>21660</v>
      </c>
      <c r="D79" s="346">
        <v>18000</v>
      </c>
      <c r="E79" s="346">
        <v>22570</v>
      </c>
      <c r="F79" s="346"/>
      <c r="G79" s="346">
        <v>12220</v>
      </c>
    </row>
    <row r="80" spans="1:7" s="335" customFormat="1" ht="14.25" customHeight="1">
      <c r="A80" s="346" t="s">
        <v>259</v>
      </c>
      <c r="B80" s="346" t="s">
        <v>2467</v>
      </c>
      <c r="C80" s="346">
        <v>19850</v>
      </c>
      <c r="D80" s="346"/>
      <c r="E80" s="346">
        <v>21700</v>
      </c>
      <c r="F80" s="346"/>
      <c r="G80" s="346"/>
    </row>
    <row r="81" spans="1:7" s="335" customFormat="1" ht="14.25" customHeight="1">
      <c r="A81" s="346" t="s">
        <v>259</v>
      </c>
      <c r="B81" s="346" t="s">
        <v>2474</v>
      </c>
      <c r="C81" s="346">
        <v>18080</v>
      </c>
      <c r="D81" s="346"/>
      <c r="E81" s="346">
        <v>20900</v>
      </c>
      <c r="F81" s="346"/>
      <c r="G81" s="346"/>
    </row>
    <row r="82" spans="1:7" s="335" customFormat="1" ht="14.25" customHeight="1">
      <c r="A82" s="346" t="s">
        <v>259</v>
      </c>
      <c r="B82" s="346" t="s">
        <v>2481</v>
      </c>
      <c r="C82" s="346"/>
      <c r="D82" s="346"/>
      <c r="E82" s="346">
        <v>20840</v>
      </c>
      <c r="F82" s="346"/>
      <c r="G82" s="346"/>
    </row>
    <row r="83" spans="1:7" s="335" customFormat="1" ht="14.25" customHeight="1">
      <c r="A83" s="346" t="s">
        <v>259</v>
      </c>
      <c r="B83" s="346" t="s">
        <v>2488</v>
      </c>
      <c r="C83" s="346"/>
      <c r="D83" s="346"/>
      <c r="E83" s="346"/>
      <c r="F83" s="346">
        <v>4770</v>
      </c>
      <c r="G83" s="346"/>
    </row>
    <row r="84" spans="1:7" s="335" customFormat="1" ht="14.25" customHeight="1">
      <c r="A84" s="346" t="s">
        <v>259</v>
      </c>
      <c r="B84" s="346" t="s">
        <v>2495</v>
      </c>
      <c r="C84" s="346"/>
      <c r="D84" s="346"/>
      <c r="E84" s="346"/>
      <c r="F84" s="346">
        <v>4600</v>
      </c>
      <c r="G84" s="346"/>
    </row>
    <row r="85" spans="1:7" s="335" customFormat="1" ht="14.25" customHeight="1">
      <c r="A85" s="346" t="s">
        <v>259</v>
      </c>
      <c r="B85" s="346" t="s">
        <v>2502</v>
      </c>
      <c r="C85" s="346"/>
      <c r="D85" s="346"/>
      <c r="E85" s="346"/>
      <c r="F85" s="346">
        <v>4680</v>
      </c>
      <c r="G85" s="346"/>
    </row>
    <row r="86" spans="1:7" s="335" customFormat="1" ht="14.25" customHeight="1">
      <c r="A86" s="348" t="s">
        <v>259</v>
      </c>
      <c r="B86" s="351" t="s">
        <v>2509</v>
      </c>
      <c r="C86" s="352">
        <v>16610</v>
      </c>
      <c r="D86" s="352">
        <v>16540</v>
      </c>
      <c r="E86" s="352">
        <v>18850</v>
      </c>
      <c r="F86" s="352"/>
      <c r="G86" s="352">
        <v>11220</v>
      </c>
    </row>
    <row r="87" spans="1:7" s="335" customFormat="1" ht="14.25" customHeight="1">
      <c r="A87" s="344" t="s">
        <v>267</v>
      </c>
      <c r="B87" s="345" t="s">
        <v>2217</v>
      </c>
      <c r="C87" s="345">
        <v>15240</v>
      </c>
      <c r="D87" s="345">
        <v>15170</v>
      </c>
      <c r="E87" s="345">
        <v>18260</v>
      </c>
      <c r="F87" s="345">
        <v>3830</v>
      </c>
      <c r="G87" s="353">
        <v>10020</v>
      </c>
    </row>
    <row r="88" spans="1:7" s="335" customFormat="1" ht="14.25" customHeight="1">
      <c r="A88" s="346" t="s">
        <v>267</v>
      </c>
      <c r="B88" s="346" t="s">
        <v>2230</v>
      </c>
      <c r="C88" s="346">
        <v>17310</v>
      </c>
      <c r="D88" s="346">
        <v>17220</v>
      </c>
      <c r="E88" s="346">
        <v>18610</v>
      </c>
      <c r="F88" s="346">
        <v>3990</v>
      </c>
      <c r="G88" s="354">
        <v>11380</v>
      </c>
    </row>
    <row r="89" spans="1:7" s="335" customFormat="1" ht="14.25" customHeight="1">
      <c r="A89" s="346" t="s">
        <v>267</v>
      </c>
      <c r="B89" s="346" t="s">
        <v>2244</v>
      </c>
      <c r="C89" s="346">
        <v>15600</v>
      </c>
      <c r="D89" s="346">
        <v>15550</v>
      </c>
      <c r="E89" s="346">
        <v>19200</v>
      </c>
      <c r="F89" s="346">
        <v>4110</v>
      </c>
      <c r="G89" s="354">
        <v>10270</v>
      </c>
    </row>
    <row r="90" spans="1:7" s="335" customFormat="1" ht="14.25" customHeight="1">
      <c r="A90" s="346" t="s">
        <v>267</v>
      </c>
      <c r="B90" s="346" t="s">
        <v>2256</v>
      </c>
      <c r="C90" s="346">
        <v>17330</v>
      </c>
      <c r="D90" s="346">
        <v>17240</v>
      </c>
      <c r="E90" s="346">
        <v>18570</v>
      </c>
      <c r="F90" s="346">
        <v>4070</v>
      </c>
      <c r="G90" s="354">
        <v>11390</v>
      </c>
    </row>
    <row r="91" spans="1:7" s="335" customFormat="1" ht="14.25" customHeight="1">
      <c r="A91" s="346" t="s">
        <v>267</v>
      </c>
      <c r="B91" s="346" t="s">
        <v>2268</v>
      </c>
      <c r="C91" s="346">
        <v>16330</v>
      </c>
      <c r="D91" s="346">
        <v>16260</v>
      </c>
      <c r="E91" s="346">
        <v>16800</v>
      </c>
      <c r="F91" s="346">
        <v>3410</v>
      </c>
      <c r="G91" s="354">
        <v>10740</v>
      </c>
    </row>
    <row r="92" spans="1:7" s="335" customFormat="1" ht="14.25" customHeight="1">
      <c r="A92" s="346" t="s">
        <v>267</v>
      </c>
      <c r="B92" s="346" t="s">
        <v>2279</v>
      </c>
      <c r="C92" s="346">
        <v>15570</v>
      </c>
      <c r="D92" s="346">
        <v>15500</v>
      </c>
      <c r="E92" s="346">
        <v>17360</v>
      </c>
      <c r="F92" s="346">
        <v>3510</v>
      </c>
      <c r="G92" s="354">
        <v>10240</v>
      </c>
    </row>
    <row r="93" spans="1:7" s="335" customFormat="1" ht="14.25" customHeight="1">
      <c r="A93" s="346" t="s">
        <v>267</v>
      </c>
      <c r="B93" s="346" t="s">
        <v>2290</v>
      </c>
      <c r="C93" s="346">
        <v>14000</v>
      </c>
      <c r="D93" s="346">
        <v>13930</v>
      </c>
      <c r="E93" s="346">
        <v>18200</v>
      </c>
      <c r="F93" s="346">
        <v>3640</v>
      </c>
      <c r="G93" s="354">
        <v>9210</v>
      </c>
    </row>
    <row r="94" spans="1:7" s="335" customFormat="1" ht="14.25" customHeight="1">
      <c r="A94" s="346" t="s">
        <v>267</v>
      </c>
      <c r="B94" s="346" t="s">
        <v>2301</v>
      </c>
      <c r="C94" s="346">
        <v>14530</v>
      </c>
      <c r="D94" s="346">
        <v>14470</v>
      </c>
      <c r="E94" s="346">
        <v>18240</v>
      </c>
      <c r="F94" s="346">
        <v>3180</v>
      </c>
      <c r="G94" s="354">
        <v>9560</v>
      </c>
    </row>
    <row r="95" spans="1:7" s="335" customFormat="1" ht="14.25" customHeight="1">
      <c r="A95" s="346" t="s">
        <v>267</v>
      </c>
      <c r="B95" s="346" t="s">
        <v>2311</v>
      </c>
      <c r="C95" s="346">
        <v>17330</v>
      </c>
      <c r="D95" s="346">
        <v>17260</v>
      </c>
      <c r="E95" s="346">
        <v>18420</v>
      </c>
      <c r="F95" s="346">
        <v>3060</v>
      </c>
      <c r="G95" s="354">
        <v>11410</v>
      </c>
    </row>
    <row r="96" spans="1:7" s="335" customFormat="1" ht="14.25" customHeight="1">
      <c r="A96" s="346" t="s">
        <v>267</v>
      </c>
      <c r="B96" s="346" t="s">
        <v>2321</v>
      </c>
      <c r="C96" s="346">
        <v>15030</v>
      </c>
      <c r="D96" s="346">
        <v>14970</v>
      </c>
      <c r="E96" s="346">
        <v>17580</v>
      </c>
      <c r="F96" s="346">
        <v>2970</v>
      </c>
      <c r="G96" s="354">
        <v>9890</v>
      </c>
    </row>
    <row r="97" spans="1:7" s="335" customFormat="1" ht="14.25" customHeight="1">
      <c r="A97" s="346" t="s">
        <v>267</v>
      </c>
      <c r="B97" s="346" t="s">
        <v>2331</v>
      </c>
      <c r="C97" s="346">
        <v>17400</v>
      </c>
      <c r="D97" s="346">
        <v>17330</v>
      </c>
      <c r="E97" s="346">
        <v>16430</v>
      </c>
      <c r="F97" s="346">
        <v>2950</v>
      </c>
      <c r="G97" s="354">
        <v>11450</v>
      </c>
    </row>
    <row r="98" spans="1:7" s="335" customFormat="1" ht="14.25" customHeight="1">
      <c r="A98" s="346" t="s">
        <v>267</v>
      </c>
      <c r="B98" s="346" t="s">
        <v>2341</v>
      </c>
      <c r="C98" s="346">
        <v>15200</v>
      </c>
      <c r="D98" s="346">
        <v>15120</v>
      </c>
      <c r="E98" s="346">
        <v>17550</v>
      </c>
      <c r="F98" s="346">
        <v>3080</v>
      </c>
      <c r="G98" s="354">
        <v>9990</v>
      </c>
    </row>
    <row r="99" spans="1:7" s="335" customFormat="1" ht="14.25" customHeight="1">
      <c r="A99" s="346" t="s">
        <v>267</v>
      </c>
      <c r="B99" s="346" t="s">
        <v>2350</v>
      </c>
      <c r="C99" s="346">
        <v>17520</v>
      </c>
      <c r="D99" s="346">
        <v>17430</v>
      </c>
      <c r="E99" s="346">
        <v>16350</v>
      </c>
      <c r="F99" s="346">
        <v>3260</v>
      </c>
      <c r="G99" s="354">
        <v>11510</v>
      </c>
    </row>
    <row r="100" spans="1:7" s="335" customFormat="1" ht="14.25" customHeight="1">
      <c r="A100" s="346" t="s">
        <v>267</v>
      </c>
      <c r="B100" s="346" t="s">
        <v>2360</v>
      </c>
      <c r="C100" s="346">
        <v>15340</v>
      </c>
      <c r="D100" s="346">
        <v>15260</v>
      </c>
      <c r="E100" s="346">
        <v>15930</v>
      </c>
      <c r="F100" s="346">
        <v>2740</v>
      </c>
      <c r="G100" s="354">
        <v>10080</v>
      </c>
    </row>
    <row r="101" spans="1:7" s="335" customFormat="1" ht="14.25" customHeight="1">
      <c r="A101" s="346" t="s">
        <v>267</v>
      </c>
      <c r="B101" s="346" t="s">
        <v>2370</v>
      </c>
      <c r="C101" s="346">
        <v>14620</v>
      </c>
      <c r="D101" s="346">
        <v>14560</v>
      </c>
      <c r="E101" s="346">
        <v>15570</v>
      </c>
      <c r="F101" s="346">
        <v>3500</v>
      </c>
      <c r="G101" s="354">
        <v>9630</v>
      </c>
    </row>
    <row r="102" spans="1:7" s="335" customFormat="1" ht="14.25" customHeight="1">
      <c r="A102" s="346" t="s">
        <v>267</v>
      </c>
      <c r="B102" s="346" t="s">
        <v>2380</v>
      </c>
      <c r="C102" s="346">
        <v>13680</v>
      </c>
      <c r="D102" s="346">
        <v>13610</v>
      </c>
      <c r="E102" s="346">
        <v>15690</v>
      </c>
      <c r="F102" s="346">
        <v>2870</v>
      </c>
      <c r="G102" s="354">
        <v>8990</v>
      </c>
    </row>
    <row r="103" spans="1:7" s="335" customFormat="1" ht="14.25" customHeight="1">
      <c r="A103" s="346" t="s">
        <v>267</v>
      </c>
      <c r="B103" s="346" t="s">
        <v>2390</v>
      </c>
      <c r="C103" s="346">
        <v>14620</v>
      </c>
      <c r="D103" s="346">
        <v>14540</v>
      </c>
      <c r="E103" s="346">
        <v>15240</v>
      </c>
      <c r="F103" s="346">
        <v>2840</v>
      </c>
      <c r="G103" s="354">
        <v>9610</v>
      </c>
    </row>
    <row r="104" spans="1:7" s="335" customFormat="1" ht="14.25" customHeight="1">
      <c r="A104" s="346" t="s">
        <v>267</v>
      </c>
      <c r="B104" s="346" t="s">
        <v>2400</v>
      </c>
      <c r="C104" s="346">
        <v>13610</v>
      </c>
      <c r="D104" s="346">
        <v>13540</v>
      </c>
      <c r="E104" s="346">
        <v>15750</v>
      </c>
      <c r="F104" s="346">
        <v>2770</v>
      </c>
      <c r="G104" s="354">
        <v>8940</v>
      </c>
    </row>
    <row r="105" spans="1:7" s="335" customFormat="1" ht="14.25" customHeight="1">
      <c r="A105" s="346" t="s">
        <v>267</v>
      </c>
      <c r="B105" s="346" t="s">
        <v>2410</v>
      </c>
      <c r="C105" s="346">
        <v>13310</v>
      </c>
      <c r="D105" s="346">
        <v>13240</v>
      </c>
      <c r="E105" s="346">
        <v>16280</v>
      </c>
      <c r="F105" s="346">
        <v>3210</v>
      </c>
      <c r="G105" s="354">
        <v>8750</v>
      </c>
    </row>
    <row r="106" spans="1:7" s="335" customFormat="1" ht="14.25" customHeight="1">
      <c r="A106" s="346" t="s">
        <v>267</v>
      </c>
      <c r="B106" s="346" t="s">
        <v>2420</v>
      </c>
      <c r="C106" s="346">
        <v>13010</v>
      </c>
      <c r="D106" s="346">
        <v>12930</v>
      </c>
      <c r="E106" s="346">
        <v>14960</v>
      </c>
      <c r="F106" s="346">
        <v>3530</v>
      </c>
      <c r="G106" s="354">
        <v>8550</v>
      </c>
    </row>
    <row r="107" spans="1:7" s="335" customFormat="1" ht="14.25" customHeight="1">
      <c r="A107" s="346" t="s">
        <v>267</v>
      </c>
      <c r="B107" s="346" t="s">
        <v>2429</v>
      </c>
      <c r="C107" s="346">
        <v>13070</v>
      </c>
      <c r="D107" s="346">
        <v>13000</v>
      </c>
      <c r="E107" s="346">
        <v>15910</v>
      </c>
      <c r="F107" s="346">
        <v>3990</v>
      </c>
      <c r="G107" s="354">
        <v>8580</v>
      </c>
    </row>
    <row r="108" spans="1:7" s="335" customFormat="1" ht="14.25" customHeight="1">
      <c r="A108" s="346" t="s">
        <v>267</v>
      </c>
      <c r="B108" s="346" t="s">
        <v>2437</v>
      </c>
      <c r="C108" s="346">
        <v>12640</v>
      </c>
      <c r="D108" s="346">
        <v>12580</v>
      </c>
      <c r="E108" s="346">
        <v>15730</v>
      </c>
      <c r="F108" s="346"/>
      <c r="G108" s="354">
        <v>8310</v>
      </c>
    </row>
    <row r="109" spans="1:7" s="335" customFormat="1" ht="14.25" customHeight="1">
      <c r="A109" s="346" t="s">
        <v>267</v>
      </c>
      <c r="B109" s="346" t="s">
        <v>2445</v>
      </c>
      <c r="C109" s="346">
        <v>13130</v>
      </c>
      <c r="D109" s="346">
        <v>13070</v>
      </c>
      <c r="E109" s="346">
        <v>15000</v>
      </c>
      <c r="F109" s="346"/>
      <c r="G109" s="354">
        <v>8630</v>
      </c>
    </row>
    <row r="110" spans="1:7" s="335" customFormat="1" ht="14.25" customHeight="1">
      <c r="A110" s="346" t="s">
        <v>267</v>
      </c>
      <c r="B110" s="346" t="s">
        <v>2453</v>
      </c>
      <c r="C110" s="346">
        <v>13560</v>
      </c>
      <c r="D110" s="346">
        <v>13490</v>
      </c>
      <c r="E110" s="346">
        <v>16300</v>
      </c>
      <c r="F110" s="346"/>
      <c r="G110" s="354">
        <v>8920</v>
      </c>
    </row>
    <row r="111" spans="1:7" s="335" customFormat="1" ht="14.25" customHeight="1">
      <c r="A111" s="346" t="s">
        <v>267</v>
      </c>
      <c r="B111" s="346" t="s">
        <v>2461</v>
      </c>
      <c r="C111" s="346">
        <v>12440</v>
      </c>
      <c r="D111" s="346">
        <v>12380</v>
      </c>
      <c r="E111" s="346">
        <v>17850</v>
      </c>
      <c r="F111" s="346"/>
      <c r="G111" s="354">
        <v>8180</v>
      </c>
    </row>
    <row r="112" spans="1:7" s="335" customFormat="1" ht="14.25" customHeight="1">
      <c r="A112" s="346" t="s">
        <v>267</v>
      </c>
      <c r="B112" s="346" t="s">
        <v>2468</v>
      </c>
      <c r="C112" s="346">
        <v>13260</v>
      </c>
      <c r="D112" s="346">
        <v>13180</v>
      </c>
      <c r="E112" s="346">
        <v>19740</v>
      </c>
      <c r="F112" s="346"/>
      <c r="G112" s="354">
        <v>8710</v>
      </c>
    </row>
    <row r="113" spans="1:7" s="335" customFormat="1" ht="14.25" customHeight="1">
      <c r="A113" s="346" t="s">
        <v>267</v>
      </c>
      <c r="B113" s="346" t="s">
        <v>2475</v>
      </c>
      <c r="C113" s="346">
        <v>15520</v>
      </c>
      <c r="D113" s="346">
        <v>15450</v>
      </c>
      <c r="E113" s="346"/>
      <c r="F113" s="346"/>
      <c r="G113" s="354">
        <v>10210</v>
      </c>
    </row>
    <row r="114" spans="1:7" s="335" customFormat="1" ht="14.25" customHeight="1">
      <c r="A114" s="346" t="s">
        <v>267</v>
      </c>
      <c r="B114" s="346" t="s">
        <v>2482</v>
      </c>
      <c r="C114" s="346">
        <v>13110</v>
      </c>
      <c r="D114" s="346">
        <v>13050</v>
      </c>
      <c r="E114" s="346"/>
      <c r="F114" s="346"/>
      <c r="G114" s="354">
        <v>8620</v>
      </c>
    </row>
    <row r="115" spans="1:7" s="335" customFormat="1" ht="14.25" customHeight="1">
      <c r="A115" s="346" t="s">
        <v>267</v>
      </c>
      <c r="B115" s="346" t="s">
        <v>2489</v>
      </c>
      <c r="C115" s="346">
        <v>12460</v>
      </c>
      <c r="D115" s="346">
        <v>12390</v>
      </c>
      <c r="E115" s="346"/>
      <c r="F115" s="346"/>
      <c r="G115" s="354">
        <v>8190</v>
      </c>
    </row>
    <row r="116" spans="1:7" s="335" customFormat="1" ht="14.25" customHeight="1">
      <c r="A116" s="346" t="s">
        <v>267</v>
      </c>
      <c r="B116" s="346" t="s">
        <v>2496</v>
      </c>
      <c r="C116" s="346">
        <v>13580</v>
      </c>
      <c r="D116" s="346">
        <v>13520</v>
      </c>
      <c r="E116" s="346"/>
      <c r="F116" s="346"/>
      <c r="G116" s="354">
        <v>8930</v>
      </c>
    </row>
    <row r="117" spans="1:7" s="335" customFormat="1" ht="14.25" customHeight="1">
      <c r="A117" s="346" t="s">
        <v>267</v>
      </c>
      <c r="B117" s="346" t="s">
        <v>2503</v>
      </c>
      <c r="C117" s="346">
        <v>17120</v>
      </c>
      <c r="D117" s="346">
        <v>17040</v>
      </c>
      <c r="E117" s="346"/>
      <c r="F117" s="346"/>
      <c r="G117" s="354">
        <v>11260</v>
      </c>
    </row>
    <row r="118" spans="1:7" s="335" customFormat="1" ht="14.25" customHeight="1">
      <c r="A118" s="346" t="s">
        <v>267</v>
      </c>
      <c r="B118" s="346" t="s">
        <v>2510</v>
      </c>
      <c r="C118" s="346">
        <v>14860</v>
      </c>
      <c r="D118" s="346">
        <v>14790</v>
      </c>
      <c r="E118" s="346"/>
      <c r="F118" s="346"/>
      <c r="G118" s="354">
        <v>9780</v>
      </c>
    </row>
    <row r="119" spans="1:7" s="335" customFormat="1" ht="14.25" customHeight="1">
      <c r="A119" s="346" t="s">
        <v>267</v>
      </c>
      <c r="B119" s="346" t="s">
        <v>2515</v>
      </c>
      <c r="C119" s="346">
        <v>16470</v>
      </c>
      <c r="D119" s="346">
        <v>16400</v>
      </c>
      <c r="E119" s="346"/>
      <c r="F119" s="346"/>
      <c r="G119" s="354">
        <v>10840</v>
      </c>
    </row>
    <row r="120" spans="1:7" s="335" customFormat="1" ht="14.25" customHeight="1">
      <c r="A120" s="346" t="s">
        <v>267</v>
      </c>
      <c r="B120" s="346" t="s">
        <v>2520</v>
      </c>
      <c r="C120" s="346"/>
      <c r="D120" s="346"/>
      <c r="E120" s="346"/>
      <c r="F120" s="346">
        <v>4160</v>
      </c>
      <c r="G120" s="354"/>
    </row>
    <row r="121" spans="1:7" s="335" customFormat="1" ht="14.25" customHeight="1">
      <c r="A121" s="346" t="s">
        <v>267</v>
      </c>
      <c r="B121" s="346" t="s">
        <v>2525</v>
      </c>
      <c r="C121" s="346"/>
      <c r="D121" s="346"/>
      <c r="E121" s="346"/>
      <c r="F121" s="346">
        <v>3880</v>
      </c>
      <c r="G121" s="354"/>
    </row>
    <row r="122" spans="1:7" s="335" customFormat="1" ht="14.25" customHeight="1">
      <c r="A122" s="346" t="s">
        <v>267</v>
      </c>
      <c r="B122" s="346" t="s">
        <v>2530</v>
      </c>
      <c r="C122" s="346">
        <v>13750</v>
      </c>
      <c r="D122" s="346">
        <v>13680</v>
      </c>
      <c r="E122" s="346">
        <v>16460</v>
      </c>
      <c r="F122" s="346">
        <v>2880</v>
      </c>
      <c r="G122" s="354">
        <v>9040</v>
      </c>
    </row>
    <row r="123" spans="1:7" s="335" customFormat="1" ht="14.25" customHeight="1">
      <c r="A123" s="346" t="s">
        <v>267</v>
      </c>
      <c r="B123" s="346" t="s">
        <v>2535</v>
      </c>
      <c r="C123" s="346">
        <v>13590</v>
      </c>
      <c r="D123" s="346">
        <v>13520</v>
      </c>
      <c r="E123" s="346">
        <v>16290</v>
      </c>
      <c r="F123" s="346">
        <v>2790</v>
      </c>
      <c r="G123" s="354">
        <v>8930</v>
      </c>
    </row>
    <row r="124" spans="1:7" s="335" customFormat="1" ht="14.25" customHeight="1">
      <c r="A124" s="346" t="s">
        <v>267</v>
      </c>
      <c r="B124" s="346" t="s">
        <v>2540</v>
      </c>
      <c r="C124" s="346">
        <v>13400</v>
      </c>
      <c r="D124" s="346">
        <v>13320</v>
      </c>
      <c r="E124" s="346">
        <v>16100</v>
      </c>
      <c r="F124" s="346">
        <v>2320</v>
      </c>
      <c r="G124" s="354">
        <v>8800</v>
      </c>
    </row>
    <row r="125" spans="1:7" s="335" customFormat="1" ht="14.25" customHeight="1">
      <c r="A125" s="346" t="s">
        <v>267</v>
      </c>
      <c r="B125" s="346" t="s">
        <v>2545</v>
      </c>
      <c r="C125" s="346">
        <v>12860</v>
      </c>
      <c r="D125" s="346">
        <v>12790</v>
      </c>
      <c r="E125" s="346">
        <v>15370</v>
      </c>
      <c r="F125" s="346">
        <v>2280</v>
      </c>
      <c r="G125" s="354">
        <v>8450</v>
      </c>
    </row>
    <row r="126" spans="1:7" s="335" customFormat="1" ht="14.25" customHeight="1">
      <c r="A126" s="355" t="s">
        <v>267</v>
      </c>
      <c r="B126" s="350" t="s">
        <v>2550</v>
      </c>
      <c r="C126" s="350">
        <v>12960</v>
      </c>
      <c r="D126" s="350">
        <v>12890</v>
      </c>
      <c r="E126" s="350">
        <v>15530</v>
      </c>
      <c r="F126" s="350">
        <v>2910</v>
      </c>
      <c r="G126" s="356">
        <v>8520</v>
      </c>
    </row>
    <row r="127" spans="1:7" s="335" customFormat="1" ht="14.25" customHeight="1">
      <c r="A127" s="344" t="s">
        <v>273</v>
      </c>
      <c r="B127" s="345" t="s">
        <v>2218</v>
      </c>
      <c r="C127" s="346">
        <v>12280</v>
      </c>
      <c r="D127" s="346">
        <v>12250</v>
      </c>
      <c r="E127" s="346">
        <v>15130</v>
      </c>
      <c r="F127" s="346">
        <v>2710</v>
      </c>
      <c r="G127" s="346">
        <v>7870</v>
      </c>
    </row>
    <row r="128" spans="1:7" s="335" customFormat="1" ht="14.25" customHeight="1">
      <c r="A128" s="346" t="s">
        <v>273</v>
      </c>
      <c r="B128" s="346" t="s">
        <v>2231</v>
      </c>
      <c r="C128" s="346">
        <v>13180</v>
      </c>
      <c r="D128" s="346">
        <v>13150</v>
      </c>
      <c r="E128" s="346">
        <v>16190</v>
      </c>
      <c r="F128" s="346">
        <v>2820</v>
      </c>
      <c r="G128" s="346">
        <v>8460</v>
      </c>
    </row>
    <row r="129" spans="1:7" s="335" customFormat="1" ht="14.25" customHeight="1">
      <c r="A129" s="346" t="s">
        <v>273</v>
      </c>
      <c r="B129" s="346" t="s">
        <v>2245</v>
      </c>
      <c r="C129" s="346">
        <v>10950</v>
      </c>
      <c r="D129" s="346">
        <v>10920</v>
      </c>
      <c r="E129" s="346">
        <v>13820</v>
      </c>
      <c r="F129" s="346">
        <v>2500</v>
      </c>
      <c r="G129" s="346">
        <v>7020</v>
      </c>
    </row>
    <row r="130" spans="1:7" s="335" customFormat="1" ht="14.25" customHeight="1">
      <c r="A130" s="346" t="s">
        <v>273</v>
      </c>
      <c r="B130" s="346" t="s">
        <v>2257</v>
      </c>
      <c r="C130" s="346">
        <v>10910</v>
      </c>
      <c r="D130" s="346">
        <v>10860</v>
      </c>
      <c r="E130" s="346">
        <v>13730</v>
      </c>
      <c r="F130" s="346">
        <v>2760</v>
      </c>
      <c r="G130" s="346">
        <v>6990</v>
      </c>
    </row>
    <row r="131" spans="1:7" s="335" customFormat="1" ht="14.25" customHeight="1">
      <c r="A131" s="346" t="s">
        <v>273</v>
      </c>
      <c r="B131" s="346" t="s">
        <v>2269</v>
      </c>
      <c r="C131" s="346">
        <v>12910</v>
      </c>
      <c r="D131" s="346">
        <v>12870</v>
      </c>
      <c r="E131" s="346">
        <v>15720</v>
      </c>
      <c r="F131" s="346">
        <v>2750</v>
      </c>
      <c r="G131" s="346">
        <v>8280</v>
      </c>
    </row>
    <row r="132" spans="1:7" s="335" customFormat="1" ht="14.25" customHeight="1">
      <c r="A132" s="346" t="s">
        <v>273</v>
      </c>
      <c r="B132" s="346" t="s">
        <v>2280</v>
      </c>
      <c r="C132" s="346">
        <v>11910</v>
      </c>
      <c r="D132" s="346">
        <v>11860</v>
      </c>
      <c r="E132" s="346">
        <v>14730</v>
      </c>
      <c r="F132" s="346">
        <v>2360</v>
      </c>
      <c r="G132" s="346">
        <v>7630</v>
      </c>
    </row>
    <row r="133" spans="1:7" s="335" customFormat="1" ht="14.25" customHeight="1">
      <c r="A133" s="346" t="s">
        <v>273</v>
      </c>
      <c r="B133" s="346" t="s">
        <v>2291</v>
      </c>
      <c r="C133" s="346">
        <v>12270</v>
      </c>
      <c r="D133" s="346">
        <v>12210</v>
      </c>
      <c r="E133" s="346">
        <v>15010</v>
      </c>
      <c r="F133" s="346">
        <v>2580</v>
      </c>
      <c r="G133" s="346">
        <v>7860</v>
      </c>
    </row>
    <row r="134" spans="1:7" s="335" customFormat="1" ht="14.25" customHeight="1">
      <c r="A134" s="346" t="s">
        <v>273</v>
      </c>
      <c r="B134" s="346" t="s">
        <v>2302</v>
      </c>
      <c r="C134" s="346">
        <v>10800</v>
      </c>
      <c r="D134" s="346">
        <v>10780</v>
      </c>
      <c r="E134" s="346">
        <v>13640</v>
      </c>
      <c r="F134" s="346">
        <v>2110</v>
      </c>
      <c r="G134" s="346">
        <v>6930</v>
      </c>
    </row>
    <row r="135" spans="1:7" s="335" customFormat="1" ht="14.25" customHeight="1">
      <c r="A135" s="346" t="s">
        <v>273</v>
      </c>
      <c r="B135" s="346" t="s">
        <v>2312</v>
      </c>
      <c r="C135" s="346">
        <v>10430</v>
      </c>
      <c r="D135" s="346">
        <v>10390</v>
      </c>
      <c r="E135" s="346">
        <v>13140</v>
      </c>
      <c r="F135" s="346">
        <v>2240</v>
      </c>
      <c r="G135" s="346">
        <v>6680</v>
      </c>
    </row>
    <row r="136" spans="1:7" s="335" customFormat="1" ht="14.25" customHeight="1">
      <c r="A136" s="346" t="s">
        <v>273</v>
      </c>
      <c r="B136" s="346" t="s">
        <v>2322</v>
      </c>
      <c r="C136" s="346">
        <v>11930</v>
      </c>
      <c r="D136" s="346">
        <v>11880</v>
      </c>
      <c r="E136" s="346">
        <v>14770</v>
      </c>
      <c r="F136" s="346">
        <v>1970</v>
      </c>
      <c r="G136" s="346">
        <v>7640</v>
      </c>
    </row>
    <row r="137" spans="1:7" s="335" customFormat="1" ht="14.25" customHeight="1">
      <c r="A137" s="346" t="s">
        <v>273</v>
      </c>
      <c r="B137" s="346" t="s">
        <v>2332</v>
      </c>
      <c r="C137" s="346">
        <v>10470</v>
      </c>
      <c r="D137" s="346">
        <v>10430</v>
      </c>
      <c r="E137" s="346">
        <v>13190</v>
      </c>
      <c r="F137" s="346">
        <v>1990</v>
      </c>
      <c r="G137" s="346">
        <v>6710</v>
      </c>
    </row>
    <row r="138" spans="1:7" s="335" customFormat="1" ht="14.25" customHeight="1">
      <c r="A138" s="346" t="s">
        <v>273</v>
      </c>
      <c r="B138" s="346" t="s">
        <v>2342</v>
      </c>
      <c r="C138" s="346">
        <v>10410</v>
      </c>
      <c r="D138" s="346">
        <v>10380</v>
      </c>
      <c r="E138" s="346">
        <v>13130</v>
      </c>
      <c r="F138" s="346">
        <v>2030</v>
      </c>
      <c r="G138" s="346">
        <v>6680</v>
      </c>
    </row>
    <row r="139" spans="1:7" s="335" customFormat="1" ht="14.25" customHeight="1">
      <c r="A139" s="346" t="s">
        <v>273</v>
      </c>
      <c r="B139" s="346" t="s">
        <v>2351</v>
      </c>
      <c r="C139" s="346">
        <v>9460</v>
      </c>
      <c r="D139" s="346">
        <v>9410</v>
      </c>
      <c r="E139" s="346">
        <v>12050</v>
      </c>
      <c r="F139" s="346">
        <v>2140</v>
      </c>
      <c r="G139" s="346">
        <v>6050</v>
      </c>
    </row>
    <row r="140" spans="1:7" s="335" customFormat="1" ht="14.25" customHeight="1">
      <c r="A140" s="346" t="s">
        <v>273</v>
      </c>
      <c r="B140" s="346" t="s">
        <v>2361</v>
      </c>
      <c r="C140" s="346">
        <v>11030</v>
      </c>
      <c r="D140" s="346">
        <v>10980</v>
      </c>
      <c r="E140" s="346">
        <v>13880</v>
      </c>
      <c r="F140" s="346">
        <v>2210</v>
      </c>
      <c r="G140" s="346">
        <v>7060</v>
      </c>
    </row>
    <row r="141" spans="1:7" s="335" customFormat="1" ht="14.25" customHeight="1">
      <c r="A141" s="346" t="s">
        <v>273</v>
      </c>
      <c r="B141" s="346" t="s">
        <v>2371</v>
      </c>
      <c r="C141" s="346">
        <v>11200</v>
      </c>
      <c r="D141" s="346">
        <v>11150</v>
      </c>
      <c r="E141" s="346">
        <v>14100</v>
      </c>
      <c r="F141" s="346">
        <v>2470</v>
      </c>
      <c r="G141" s="346">
        <v>7170</v>
      </c>
    </row>
    <row r="142" spans="1:7" s="335" customFormat="1" ht="14.25" customHeight="1">
      <c r="A142" s="346" t="s">
        <v>273</v>
      </c>
      <c r="B142" s="346" t="s">
        <v>2381</v>
      </c>
      <c r="C142" s="346">
        <v>10780</v>
      </c>
      <c r="D142" s="346">
        <v>10730</v>
      </c>
      <c r="E142" s="346">
        <v>13540</v>
      </c>
      <c r="F142" s="346">
        <v>2280</v>
      </c>
      <c r="G142" s="346">
        <v>6900</v>
      </c>
    </row>
    <row r="143" spans="1:7" s="335" customFormat="1" ht="14.25" customHeight="1">
      <c r="A143" s="346" t="s">
        <v>273</v>
      </c>
      <c r="B143" s="346" t="s">
        <v>2391</v>
      </c>
      <c r="C143" s="346">
        <v>11550</v>
      </c>
      <c r="D143" s="346">
        <v>11490</v>
      </c>
      <c r="E143" s="346">
        <v>14480</v>
      </c>
      <c r="F143" s="346">
        <v>2070</v>
      </c>
      <c r="G143" s="346">
        <v>7390</v>
      </c>
    </row>
    <row r="144" spans="1:7" s="335" customFormat="1" ht="14.25" customHeight="1">
      <c r="A144" s="346" t="s">
        <v>273</v>
      </c>
      <c r="B144" s="346" t="s">
        <v>2401</v>
      </c>
      <c r="C144" s="346">
        <v>10720</v>
      </c>
      <c r="D144" s="346">
        <v>10680</v>
      </c>
      <c r="E144" s="346">
        <v>13480</v>
      </c>
      <c r="F144" s="346">
        <v>2440</v>
      </c>
      <c r="G144" s="346">
        <v>6870</v>
      </c>
    </row>
    <row r="145" spans="1:7" s="335" customFormat="1" ht="14.25" customHeight="1">
      <c r="A145" s="346" t="s">
        <v>273</v>
      </c>
      <c r="B145" s="346" t="s">
        <v>2411</v>
      </c>
      <c r="C145" s="346">
        <v>10340</v>
      </c>
      <c r="D145" s="346">
        <v>10290</v>
      </c>
      <c r="E145" s="346">
        <v>12880</v>
      </c>
      <c r="F145" s="346">
        <v>2650</v>
      </c>
      <c r="G145" s="346">
        <v>6620</v>
      </c>
    </row>
    <row r="146" spans="1:7" s="335" customFormat="1" ht="14.25" customHeight="1">
      <c r="A146" s="346" t="s">
        <v>273</v>
      </c>
      <c r="B146" s="346" t="s">
        <v>2421</v>
      </c>
      <c r="C146" s="346">
        <v>11890</v>
      </c>
      <c r="D146" s="346">
        <v>11830</v>
      </c>
      <c r="E146" s="346">
        <v>14670</v>
      </c>
      <c r="F146" s="346"/>
      <c r="G146" s="346">
        <v>7610</v>
      </c>
    </row>
    <row r="147" spans="1:7" s="335" customFormat="1" ht="14.25" customHeight="1">
      <c r="A147" s="346" t="s">
        <v>273</v>
      </c>
      <c r="B147" s="346" t="s">
        <v>2430</v>
      </c>
      <c r="C147" s="346">
        <v>12650</v>
      </c>
      <c r="D147" s="346">
        <v>12600</v>
      </c>
      <c r="E147" s="346">
        <v>15440</v>
      </c>
      <c r="F147" s="346"/>
      <c r="G147" s="346">
        <v>8110</v>
      </c>
    </row>
    <row r="148" spans="1:7" s="335" customFormat="1" ht="14.25" customHeight="1">
      <c r="A148" s="346" t="s">
        <v>273</v>
      </c>
      <c r="B148" s="346" t="s">
        <v>2438</v>
      </c>
      <c r="C148" s="346">
        <v>10370</v>
      </c>
      <c r="D148" s="346">
        <v>10310</v>
      </c>
      <c r="E148" s="346">
        <v>12970</v>
      </c>
      <c r="F148" s="346"/>
      <c r="G148" s="346">
        <v>6630</v>
      </c>
    </row>
    <row r="149" spans="1:7" s="335" customFormat="1" ht="14.25" customHeight="1">
      <c r="A149" s="346" t="s">
        <v>273</v>
      </c>
      <c r="B149" s="346" t="s">
        <v>2446</v>
      </c>
      <c r="C149" s="346">
        <v>11600</v>
      </c>
      <c r="D149" s="346">
        <v>11560</v>
      </c>
      <c r="E149" s="346">
        <v>14540</v>
      </c>
      <c r="F149" s="346">
        <v>2390</v>
      </c>
      <c r="G149" s="346">
        <v>7430</v>
      </c>
    </row>
    <row r="150" spans="1:7" s="335" customFormat="1" ht="14.25" customHeight="1">
      <c r="A150" s="346" t="s">
        <v>273</v>
      </c>
      <c r="B150" s="346" t="s">
        <v>2454</v>
      </c>
      <c r="C150" s="346">
        <v>9950</v>
      </c>
      <c r="D150" s="346">
        <v>9890</v>
      </c>
      <c r="E150" s="346">
        <v>12590</v>
      </c>
      <c r="F150" s="346">
        <v>1970</v>
      </c>
      <c r="G150" s="346">
        <v>6360</v>
      </c>
    </row>
    <row r="151" spans="1:7" s="335" customFormat="1" ht="14.25" customHeight="1">
      <c r="A151" s="346" t="s">
        <v>273</v>
      </c>
      <c r="B151" s="346" t="s">
        <v>2462</v>
      </c>
      <c r="C151" s="346">
        <v>10700</v>
      </c>
      <c r="D151" s="346">
        <v>10650</v>
      </c>
      <c r="E151" s="346">
        <v>13420</v>
      </c>
      <c r="F151" s="346">
        <v>2020</v>
      </c>
      <c r="G151" s="346">
        <v>6850</v>
      </c>
    </row>
    <row r="152" spans="1:7" s="335" customFormat="1" ht="14.25" customHeight="1">
      <c r="A152" s="346" t="s">
        <v>273</v>
      </c>
      <c r="B152" s="346" t="s">
        <v>2469</v>
      </c>
      <c r="C152" s="346">
        <v>10310</v>
      </c>
      <c r="D152" s="346">
        <v>10260</v>
      </c>
      <c r="E152" s="346">
        <v>12820</v>
      </c>
      <c r="F152" s="346">
        <v>1980</v>
      </c>
      <c r="G152" s="346">
        <v>6600</v>
      </c>
    </row>
    <row r="153" spans="1:7" s="335" customFormat="1" ht="14.25" customHeight="1">
      <c r="A153" s="346" t="s">
        <v>273</v>
      </c>
      <c r="B153" s="346" t="s">
        <v>2476</v>
      </c>
      <c r="C153" s="346">
        <v>10880</v>
      </c>
      <c r="D153" s="346">
        <v>10820</v>
      </c>
      <c r="E153" s="346">
        <v>13660</v>
      </c>
      <c r="F153" s="346">
        <v>2260</v>
      </c>
      <c r="G153" s="346">
        <v>6970</v>
      </c>
    </row>
    <row r="154" spans="1:7" s="335" customFormat="1" ht="14.25" customHeight="1">
      <c r="A154" s="346" t="s">
        <v>273</v>
      </c>
      <c r="B154" s="346" t="s">
        <v>2483</v>
      </c>
      <c r="C154" s="346">
        <v>11220</v>
      </c>
      <c r="D154" s="346">
        <v>11160</v>
      </c>
      <c r="E154" s="346">
        <v>14130</v>
      </c>
      <c r="F154" s="346">
        <v>2230</v>
      </c>
      <c r="G154" s="346">
        <v>7180</v>
      </c>
    </row>
    <row r="155" spans="1:7" s="335" customFormat="1" ht="14.25" customHeight="1">
      <c r="A155" s="346" t="s">
        <v>273</v>
      </c>
      <c r="B155" s="346" t="s">
        <v>2490</v>
      </c>
      <c r="C155" s="346">
        <v>10430</v>
      </c>
      <c r="D155" s="346">
        <v>10380</v>
      </c>
      <c r="E155" s="346">
        <v>13140</v>
      </c>
      <c r="F155" s="346">
        <v>2080</v>
      </c>
      <c r="G155" s="346">
        <v>6650</v>
      </c>
    </row>
    <row r="156" spans="1:7" s="335" customFormat="1" ht="14.25" customHeight="1">
      <c r="A156" s="346" t="s">
        <v>273</v>
      </c>
      <c r="B156" s="346" t="s">
        <v>2497</v>
      </c>
      <c r="C156" s="346">
        <v>10440</v>
      </c>
      <c r="D156" s="346">
        <v>10400</v>
      </c>
      <c r="E156" s="346">
        <v>13150</v>
      </c>
      <c r="F156" s="346">
        <v>2490</v>
      </c>
      <c r="G156" s="346">
        <v>6690</v>
      </c>
    </row>
    <row r="157" spans="1:7" s="335" customFormat="1" ht="14.25" customHeight="1">
      <c r="A157" s="346" t="s">
        <v>273</v>
      </c>
      <c r="B157" s="346" t="s">
        <v>2504</v>
      </c>
      <c r="C157" s="346">
        <v>10970</v>
      </c>
      <c r="D157" s="346">
        <v>10920</v>
      </c>
      <c r="E157" s="346">
        <v>13840</v>
      </c>
      <c r="F157" s="346">
        <v>2420</v>
      </c>
      <c r="G157" s="346">
        <v>7020</v>
      </c>
    </row>
    <row r="158" spans="1:7" s="335" customFormat="1" ht="14.25" customHeight="1">
      <c r="A158" s="346" t="s">
        <v>273</v>
      </c>
      <c r="B158" s="346" t="s">
        <v>2511</v>
      </c>
      <c r="C158" s="346">
        <v>9590</v>
      </c>
      <c r="D158" s="346">
        <v>9540</v>
      </c>
      <c r="E158" s="346">
        <v>12210</v>
      </c>
      <c r="F158" s="346">
        <v>2100</v>
      </c>
      <c r="G158" s="346">
        <v>6130</v>
      </c>
    </row>
    <row r="159" spans="1:7" s="335" customFormat="1" ht="14.25" customHeight="1">
      <c r="A159" s="346" t="s">
        <v>273</v>
      </c>
      <c r="B159" s="346" t="s">
        <v>2516</v>
      </c>
      <c r="C159" s="346">
        <v>11190</v>
      </c>
      <c r="D159" s="346">
        <v>11140</v>
      </c>
      <c r="E159" s="346">
        <v>14090</v>
      </c>
      <c r="F159" s="346">
        <v>2470</v>
      </c>
      <c r="G159" s="346">
        <v>7170</v>
      </c>
    </row>
    <row r="160" spans="1:7" s="335" customFormat="1" ht="14.25" customHeight="1">
      <c r="A160" s="346" t="s">
        <v>273</v>
      </c>
      <c r="B160" s="346" t="s">
        <v>2521</v>
      </c>
      <c r="C160" s="346">
        <v>11180</v>
      </c>
      <c r="D160" s="346">
        <v>11140</v>
      </c>
      <c r="E160" s="346">
        <v>14050</v>
      </c>
      <c r="F160" s="346">
        <v>2270</v>
      </c>
      <c r="G160" s="346">
        <v>7170</v>
      </c>
    </row>
    <row r="161" spans="1:7" s="335" customFormat="1" ht="14.25" customHeight="1">
      <c r="A161" s="346" t="s">
        <v>273</v>
      </c>
      <c r="B161" s="346" t="s">
        <v>2526</v>
      </c>
      <c r="C161" s="346">
        <v>11160</v>
      </c>
      <c r="D161" s="346">
        <v>11120</v>
      </c>
      <c r="E161" s="346">
        <v>14020</v>
      </c>
      <c r="F161" s="346">
        <v>2150</v>
      </c>
      <c r="G161" s="346">
        <v>7160</v>
      </c>
    </row>
    <row r="162" spans="1:7" s="335" customFormat="1" ht="14.25" customHeight="1">
      <c r="A162" s="346" t="s">
        <v>273</v>
      </c>
      <c r="B162" s="346" t="s">
        <v>2531</v>
      </c>
      <c r="C162" s="346">
        <v>9620</v>
      </c>
      <c r="D162" s="346">
        <v>9570</v>
      </c>
      <c r="E162" s="346">
        <v>12320</v>
      </c>
      <c r="F162" s="346">
        <v>2010</v>
      </c>
      <c r="G162" s="346">
        <v>6160</v>
      </c>
    </row>
    <row r="163" spans="1:7" s="335" customFormat="1" ht="14.25" customHeight="1">
      <c r="A163" s="346" t="s">
        <v>273</v>
      </c>
      <c r="B163" s="346" t="s">
        <v>2536</v>
      </c>
      <c r="C163" s="346">
        <v>9320</v>
      </c>
      <c r="D163" s="346">
        <v>9270</v>
      </c>
      <c r="E163" s="346">
        <v>11790</v>
      </c>
      <c r="F163" s="346">
        <v>1920</v>
      </c>
      <c r="G163" s="346">
        <v>5960</v>
      </c>
    </row>
    <row r="164" spans="1:7" s="335" customFormat="1" ht="14.25" customHeight="1">
      <c r="A164" s="346" t="s">
        <v>273</v>
      </c>
      <c r="B164" s="346" t="s">
        <v>2541</v>
      </c>
      <c r="C164" s="346"/>
      <c r="D164" s="346"/>
      <c r="E164" s="346"/>
      <c r="F164" s="346">
        <v>1980</v>
      </c>
      <c r="G164" s="346"/>
    </row>
    <row r="165" spans="1:7" s="335" customFormat="1" ht="14.25" customHeight="1">
      <c r="A165" s="346" t="s">
        <v>273</v>
      </c>
      <c r="B165" s="346" t="s">
        <v>2546</v>
      </c>
      <c r="C165" s="346">
        <v>11060</v>
      </c>
      <c r="D165" s="346">
        <v>11030</v>
      </c>
      <c r="E165" s="346">
        <v>13850</v>
      </c>
      <c r="F165" s="346">
        <v>2170</v>
      </c>
      <c r="G165" s="346">
        <v>7090</v>
      </c>
    </row>
    <row r="166" spans="1:7" s="335" customFormat="1" ht="14.25" customHeight="1">
      <c r="A166" s="346" t="s">
        <v>273</v>
      </c>
      <c r="B166" s="346" t="s">
        <v>2551</v>
      </c>
      <c r="C166" s="346">
        <v>11050</v>
      </c>
      <c r="D166" s="346">
        <v>11010</v>
      </c>
      <c r="E166" s="346">
        <v>13920</v>
      </c>
      <c r="F166" s="346">
        <v>2140</v>
      </c>
      <c r="G166" s="346">
        <v>7080</v>
      </c>
    </row>
    <row r="167" spans="1:7" s="335" customFormat="1" ht="14.25" customHeight="1">
      <c r="A167" s="346" t="s">
        <v>273</v>
      </c>
      <c r="B167" s="346" t="s">
        <v>2555</v>
      </c>
      <c r="C167" s="346">
        <v>10930</v>
      </c>
      <c r="D167" s="346">
        <v>10890</v>
      </c>
      <c r="E167" s="346">
        <v>13790</v>
      </c>
      <c r="F167" s="346">
        <v>2010</v>
      </c>
      <c r="G167" s="346">
        <v>7000</v>
      </c>
    </row>
    <row r="168" spans="1:7" s="335" customFormat="1" ht="14.25" customHeight="1">
      <c r="A168" s="346" t="s">
        <v>273</v>
      </c>
      <c r="B168" s="346" t="s">
        <v>2559</v>
      </c>
      <c r="C168" s="346">
        <v>9420</v>
      </c>
      <c r="D168" s="346">
        <v>9380</v>
      </c>
      <c r="E168" s="346">
        <v>11970</v>
      </c>
      <c r="F168" s="346"/>
      <c r="G168" s="346">
        <v>6040</v>
      </c>
    </row>
    <row r="169" spans="1:7" s="335" customFormat="1" ht="14.25" customHeight="1">
      <c r="A169" s="346" t="s">
        <v>273</v>
      </c>
      <c r="B169" s="346" t="s">
        <v>2563</v>
      </c>
      <c r="C169" s="346"/>
      <c r="D169" s="346"/>
      <c r="E169" s="346"/>
      <c r="F169" s="346">
        <v>2880</v>
      </c>
      <c r="G169" s="346"/>
    </row>
    <row r="170" spans="1:7" s="335" customFormat="1" ht="14.25" customHeight="1">
      <c r="A170" s="346" t="s">
        <v>273</v>
      </c>
      <c r="B170" s="346" t="s">
        <v>2567</v>
      </c>
      <c r="C170" s="346"/>
      <c r="D170" s="346"/>
      <c r="E170" s="346"/>
      <c r="F170" s="346">
        <v>2880</v>
      </c>
      <c r="G170" s="346"/>
    </row>
    <row r="171" spans="1:7" s="335" customFormat="1" ht="14.25" customHeight="1">
      <c r="A171" s="346" t="s">
        <v>273</v>
      </c>
      <c r="B171" s="346" t="s">
        <v>2570</v>
      </c>
      <c r="C171" s="346"/>
      <c r="D171" s="346"/>
      <c r="E171" s="346"/>
      <c r="F171" s="346">
        <v>2880</v>
      </c>
      <c r="G171" s="346"/>
    </row>
    <row r="172" spans="1:7" s="335" customFormat="1" ht="14.25" customHeight="1">
      <c r="A172" s="346" t="s">
        <v>273</v>
      </c>
      <c r="B172" s="346" t="s">
        <v>2572</v>
      </c>
      <c r="C172" s="346"/>
      <c r="D172" s="346"/>
      <c r="E172" s="346"/>
      <c r="F172" s="346">
        <v>2880</v>
      </c>
      <c r="G172" s="346"/>
    </row>
    <row r="173" spans="1:7" s="335" customFormat="1" ht="14.25" customHeight="1">
      <c r="A173" s="346" t="s">
        <v>273</v>
      </c>
      <c r="B173" s="346" t="s">
        <v>2574</v>
      </c>
      <c r="C173" s="346"/>
      <c r="D173" s="346"/>
      <c r="E173" s="346"/>
      <c r="F173" s="346">
        <v>2150</v>
      </c>
      <c r="G173" s="346"/>
    </row>
    <row r="174" spans="1:7" s="335" customFormat="1" ht="14.25" customHeight="1">
      <c r="A174" s="346" t="s">
        <v>273</v>
      </c>
      <c r="B174" s="346" t="s">
        <v>2576</v>
      </c>
      <c r="C174" s="346"/>
      <c r="D174" s="346"/>
      <c r="E174" s="346"/>
      <c r="F174" s="346">
        <v>2030</v>
      </c>
      <c r="G174" s="346"/>
    </row>
    <row r="175" spans="1:7" s="335" customFormat="1" ht="14.25" customHeight="1">
      <c r="A175" s="346" t="s">
        <v>273</v>
      </c>
      <c r="B175" s="346" t="s">
        <v>2578</v>
      </c>
      <c r="C175" s="346"/>
      <c r="D175" s="346"/>
      <c r="E175" s="346"/>
      <c r="F175" s="346">
        <v>2780</v>
      </c>
      <c r="G175" s="346"/>
    </row>
    <row r="176" spans="1:7" s="335" customFormat="1" ht="14.25" customHeight="1">
      <c r="A176" s="346" t="s">
        <v>273</v>
      </c>
      <c r="B176" s="346" t="s">
        <v>2580</v>
      </c>
      <c r="C176" s="346"/>
      <c r="D176" s="346"/>
      <c r="E176" s="346"/>
      <c r="F176" s="346">
        <v>2780</v>
      </c>
      <c r="G176" s="346"/>
    </row>
    <row r="177" spans="1:7" s="335" customFormat="1" ht="14.25" customHeight="1">
      <c r="A177" s="346" t="s">
        <v>273</v>
      </c>
      <c r="B177" s="346" t="s">
        <v>2582</v>
      </c>
      <c r="C177" s="346"/>
      <c r="D177" s="346"/>
      <c r="E177" s="346"/>
      <c r="F177" s="346">
        <v>2780</v>
      </c>
      <c r="G177" s="346"/>
    </row>
    <row r="178" spans="1:7" s="335" customFormat="1" ht="14.25" customHeight="1">
      <c r="A178" s="346" t="s">
        <v>273</v>
      </c>
      <c r="B178" s="346" t="s">
        <v>2583</v>
      </c>
      <c r="C178" s="346"/>
      <c r="D178" s="346"/>
      <c r="E178" s="346"/>
      <c r="F178" s="346">
        <v>2060</v>
      </c>
      <c r="G178" s="346"/>
    </row>
    <row r="179" spans="1:7" s="335" customFormat="1" ht="14.25" customHeight="1">
      <c r="A179" s="346" t="s">
        <v>273</v>
      </c>
      <c r="B179" s="346" t="s">
        <v>2584</v>
      </c>
      <c r="C179" s="346"/>
      <c r="D179" s="346"/>
      <c r="E179" s="346"/>
      <c r="F179" s="346">
        <v>2120</v>
      </c>
      <c r="G179" s="346"/>
    </row>
    <row r="180" spans="1:7" s="335" customFormat="1" ht="14.25" customHeight="1">
      <c r="A180" s="346" t="s">
        <v>273</v>
      </c>
      <c r="B180" s="346" t="s">
        <v>2585</v>
      </c>
      <c r="C180" s="346"/>
      <c r="D180" s="346"/>
      <c r="E180" s="346"/>
      <c r="F180" s="346">
        <v>2340</v>
      </c>
      <c r="G180" s="346"/>
    </row>
    <row r="181" spans="1:7" s="335" customFormat="1" ht="14.25" customHeight="1">
      <c r="A181" s="346" t="s">
        <v>273</v>
      </c>
      <c r="B181" s="346" t="s">
        <v>2586</v>
      </c>
      <c r="C181" s="346"/>
      <c r="D181" s="346"/>
      <c r="E181" s="346"/>
      <c r="F181" s="346">
        <v>2340</v>
      </c>
      <c r="G181" s="346"/>
    </row>
    <row r="182" spans="1:7" s="335" customFormat="1" ht="14.25" customHeight="1">
      <c r="A182" s="346" t="s">
        <v>273</v>
      </c>
      <c r="B182" s="346" t="s">
        <v>2587</v>
      </c>
      <c r="C182" s="346"/>
      <c r="D182" s="346"/>
      <c r="E182" s="346"/>
      <c r="F182" s="346">
        <v>2340</v>
      </c>
      <c r="G182" s="346"/>
    </row>
    <row r="183" spans="1:7" s="335" customFormat="1" ht="14.25" customHeight="1">
      <c r="A183" s="346" t="s">
        <v>273</v>
      </c>
      <c r="B183" s="346" t="s">
        <v>2588</v>
      </c>
      <c r="C183" s="346"/>
      <c r="D183" s="346"/>
      <c r="E183" s="346"/>
      <c r="F183" s="346">
        <v>2340</v>
      </c>
      <c r="G183" s="346"/>
    </row>
    <row r="184" spans="1:7" s="335" customFormat="1" ht="14.25" customHeight="1">
      <c r="A184" s="346" t="s">
        <v>273</v>
      </c>
      <c r="B184" s="346" t="s">
        <v>2589</v>
      </c>
      <c r="C184" s="346"/>
      <c r="D184" s="346"/>
      <c r="E184" s="346"/>
      <c r="F184" s="346">
        <v>2340</v>
      </c>
      <c r="G184" s="346"/>
    </row>
    <row r="185" spans="1:7" s="335" customFormat="1" ht="14.25" customHeight="1">
      <c r="A185" s="346" t="s">
        <v>273</v>
      </c>
      <c r="B185" s="346" t="s">
        <v>2590</v>
      </c>
      <c r="C185" s="346"/>
      <c r="D185" s="346"/>
      <c r="E185" s="346"/>
      <c r="F185" s="346">
        <v>2530</v>
      </c>
      <c r="G185" s="346"/>
    </row>
    <row r="186" spans="1:7" s="335" customFormat="1" ht="14.25" customHeight="1">
      <c r="A186" s="346" t="s">
        <v>273</v>
      </c>
      <c r="B186" s="346" t="s">
        <v>2591</v>
      </c>
      <c r="C186" s="346"/>
      <c r="D186" s="346"/>
      <c r="E186" s="346"/>
      <c r="F186" s="346">
        <v>2550</v>
      </c>
      <c r="G186" s="346"/>
    </row>
    <row r="187" spans="1:7" s="335" customFormat="1" ht="14.25" customHeight="1">
      <c r="A187" s="346" t="s">
        <v>273</v>
      </c>
      <c r="B187" s="346" t="s">
        <v>2592</v>
      </c>
      <c r="C187" s="346"/>
      <c r="D187" s="346"/>
      <c r="E187" s="346"/>
      <c r="F187" s="346">
        <v>2070</v>
      </c>
      <c r="G187" s="346"/>
    </row>
    <row r="188" spans="1:7" s="335" customFormat="1" ht="14.25" customHeight="1">
      <c r="A188" s="346" t="s">
        <v>273</v>
      </c>
      <c r="B188" s="346" t="s">
        <v>2593</v>
      </c>
      <c r="C188" s="346"/>
      <c r="D188" s="346"/>
      <c r="E188" s="346"/>
      <c r="F188" s="346">
        <v>2340</v>
      </c>
      <c r="G188" s="346"/>
    </row>
    <row r="189" spans="1:7" s="335" customFormat="1" ht="14.25" customHeight="1">
      <c r="A189" s="348" t="s">
        <v>273</v>
      </c>
      <c r="B189" s="352" t="s">
        <v>2594</v>
      </c>
      <c r="C189" s="352"/>
      <c r="D189" s="352"/>
      <c r="E189" s="352"/>
      <c r="F189" s="352">
        <v>2050</v>
      </c>
      <c r="G189" s="352"/>
    </row>
    <row r="190" spans="1:7" s="335" customFormat="1" ht="14.25" customHeight="1">
      <c r="A190" s="344" t="s">
        <v>278</v>
      </c>
      <c r="B190" s="345" t="s">
        <v>2219</v>
      </c>
      <c r="C190" s="345">
        <v>8830</v>
      </c>
      <c r="D190" s="345">
        <v>8790</v>
      </c>
      <c r="E190" s="345">
        <v>11630</v>
      </c>
      <c r="F190" s="345">
        <v>1790</v>
      </c>
      <c r="G190" s="353">
        <v>5550</v>
      </c>
    </row>
    <row r="191" spans="1:7" s="335" customFormat="1" ht="14.25" customHeight="1">
      <c r="A191" s="346" t="s">
        <v>278</v>
      </c>
      <c r="B191" s="346" t="s">
        <v>2232</v>
      </c>
      <c r="C191" s="346">
        <v>9780</v>
      </c>
      <c r="D191" s="346">
        <v>9710</v>
      </c>
      <c r="E191" s="346">
        <v>12550</v>
      </c>
      <c r="F191" s="346">
        <v>1980</v>
      </c>
      <c r="G191" s="354">
        <v>6130</v>
      </c>
    </row>
    <row r="192" spans="1:7" s="335" customFormat="1" ht="14.25" customHeight="1">
      <c r="A192" s="346" t="s">
        <v>278</v>
      </c>
      <c r="B192" s="346" t="s">
        <v>2246</v>
      </c>
      <c r="C192" s="346">
        <v>8180</v>
      </c>
      <c r="D192" s="346">
        <v>8140</v>
      </c>
      <c r="E192" s="346">
        <v>10870</v>
      </c>
      <c r="F192" s="346">
        <v>1690</v>
      </c>
      <c r="G192" s="354">
        <v>5140</v>
      </c>
    </row>
    <row r="193" spans="1:7" s="335" customFormat="1" ht="14.25" customHeight="1">
      <c r="A193" s="346" t="s">
        <v>278</v>
      </c>
      <c r="B193" s="346" t="s">
        <v>2258</v>
      </c>
      <c r="C193" s="346">
        <v>8440</v>
      </c>
      <c r="D193" s="346">
        <v>8390</v>
      </c>
      <c r="E193" s="346">
        <v>11210</v>
      </c>
      <c r="F193" s="346">
        <v>1600</v>
      </c>
      <c r="G193" s="354">
        <v>5300</v>
      </c>
    </row>
    <row r="194" spans="1:7" s="335" customFormat="1" ht="14.25" customHeight="1">
      <c r="A194" s="346" t="s">
        <v>278</v>
      </c>
      <c r="B194" s="346" t="s">
        <v>2270</v>
      </c>
      <c r="C194" s="346">
        <v>8780</v>
      </c>
      <c r="D194" s="346">
        <v>8730</v>
      </c>
      <c r="E194" s="346">
        <v>11550</v>
      </c>
      <c r="F194" s="346">
        <v>1660</v>
      </c>
      <c r="G194" s="354">
        <v>5520</v>
      </c>
    </row>
    <row r="195" spans="1:7" s="335" customFormat="1" ht="14.25" customHeight="1">
      <c r="A195" s="346" t="s">
        <v>278</v>
      </c>
      <c r="B195" s="346" t="s">
        <v>2281</v>
      </c>
      <c r="C195" s="346">
        <v>8720</v>
      </c>
      <c r="D195" s="346">
        <v>8670</v>
      </c>
      <c r="E195" s="346">
        <v>11450</v>
      </c>
      <c r="F195" s="346">
        <v>1720</v>
      </c>
      <c r="G195" s="354">
        <v>5480</v>
      </c>
    </row>
    <row r="196" spans="1:7" s="335" customFormat="1" ht="14.25" customHeight="1">
      <c r="A196" s="346" t="s">
        <v>278</v>
      </c>
      <c r="B196" s="346" t="s">
        <v>2292</v>
      </c>
      <c r="C196" s="346">
        <v>8460</v>
      </c>
      <c r="D196" s="346">
        <v>8410</v>
      </c>
      <c r="E196" s="346">
        <v>11230</v>
      </c>
      <c r="F196" s="346">
        <v>1730</v>
      </c>
      <c r="G196" s="354">
        <v>5310</v>
      </c>
    </row>
    <row r="197" spans="1:7" s="335" customFormat="1" ht="14.25" customHeight="1">
      <c r="A197" s="346" t="s">
        <v>278</v>
      </c>
      <c r="B197" s="346" t="s">
        <v>2303</v>
      </c>
      <c r="C197" s="346">
        <v>8790</v>
      </c>
      <c r="D197" s="346">
        <v>8730</v>
      </c>
      <c r="E197" s="346">
        <v>11560</v>
      </c>
      <c r="F197" s="346">
        <v>1750</v>
      </c>
      <c r="G197" s="354">
        <v>5520</v>
      </c>
    </row>
    <row r="198" spans="1:7" s="335" customFormat="1" ht="14.25" customHeight="1">
      <c r="A198" s="346" t="s">
        <v>278</v>
      </c>
      <c r="B198" s="346" t="s">
        <v>2313</v>
      </c>
      <c r="C198" s="346">
        <v>8720</v>
      </c>
      <c r="D198" s="346">
        <v>8680</v>
      </c>
      <c r="E198" s="346">
        <v>11470</v>
      </c>
      <c r="F198" s="346"/>
      <c r="G198" s="354">
        <v>5480</v>
      </c>
    </row>
    <row r="199" spans="1:7" s="335" customFormat="1" ht="14.25" customHeight="1">
      <c r="A199" s="346" t="s">
        <v>278</v>
      </c>
      <c r="B199" s="346" t="s">
        <v>2323</v>
      </c>
      <c r="C199" s="346">
        <v>8690</v>
      </c>
      <c r="D199" s="346">
        <v>8630</v>
      </c>
      <c r="E199" s="346">
        <v>11350</v>
      </c>
      <c r="F199" s="346">
        <v>1600</v>
      </c>
      <c r="G199" s="354">
        <v>5450</v>
      </c>
    </row>
    <row r="200" spans="1:7" s="335" customFormat="1" ht="14.25" customHeight="1">
      <c r="A200" s="346" t="s">
        <v>278</v>
      </c>
      <c r="B200" s="346" t="s">
        <v>2333</v>
      </c>
      <c r="C200" s="346"/>
      <c r="D200" s="346"/>
      <c r="E200" s="346"/>
      <c r="F200" s="346">
        <v>1510</v>
      </c>
      <c r="G200" s="354"/>
    </row>
    <row r="201" spans="1:7" s="335" customFormat="1" ht="14.25" customHeight="1">
      <c r="A201" s="346" t="s">
        <v>278</v>
      </c>
      <c r="B201" s="346" t="s">
        <v>497</v>
      </c>
      <c r="C201" s="346">
        <v>8440</v>
      </c>
      <c r="D201" s="346">
        <v>8390</v>
      </c>
      <c r="E201" s="346">
        <v>10930</v>
      </c>
      <c r="F201" s="346">
        <v>1500</v>
      </c>
      <c r="G201" s="354">
        <v>5300</v>
      </c>
    </row>
    <row r="202" spans="1:7" s="335" customFormat="1" ht="14.25" customHeight="1">
      <c r="A202" s="346" t="s">
        <v>278</v>
      </c>
      <c r="B202" s="346" t="s">
        <v>2352</v>
      </c>
      <c r="C202" s="346">
        <v>8530</v>
      </c>
      <c r="D202" s="346">
        <v>8490</v>
      </c>
      <c r="E202" s="346">
        <v>11160</v>
      </c>
      <c r="F202" s="346">
        <v>1580</v>
      </c>
      <c r="G202" s="354">
        <v>5360</v>
      </c>
    </row>
    <row r="203" spans="1:7" s="335" customFormat="1" ht="14.25" customHeight="1">
      <c r="A203" s="346" t="s">
        <v>278</v>
      </c>
      <c r="B203" s="346" t="s">
        <v>2362</v>
      </c>
      <c r="C203" s="346">
        <v>8130</v>
      </c>
      <c r="D203" s="346">
        <v>8070</v>
      </c>
      <c r="E203" s="346">
        <v>10820</v>
      </c>
      <c r="F203" s="346">
        <v>1690</v>
      </c>
      <c r="G203" s="354">
        <v>5100</v>
      </c>
    </row>
    <row r="204" spans="1:7" s="335" customFormat="1" ht="14.25" customHeight="1">
      <c r="A204" s="346" t="s">
        <v>278</v>
      </c>
      <c r="B204" s="346" t="s">
        <v>2372</v>
      </c>
      <c r="C204" s="346">
        <v>8350</v>
      </c>
      <c r="D204" s="346">
        <v>8290</v>
      </c>
      <c r="E204" s="346">
        <v>11080</v>
      </c>
      <c r="F204" s="346">
        <v>1450</v>
      </c>
      <c r="G204" s="354">
        <v>5240</v>
      </c>
    </row>
    <row r="205" spans="1:7" s="335" customFormat="1" ht="14.25" customHeight="1">
      <c r="A205" s="346" t="s">
        <v>278</v>
      </c>
      <c r="B205" s="346" t="s">
        <v>2382</v>
      </c>
      <c r="C205" s="346">
        <v>7190</v>
      </c>
      <c r="D205" s="346">
        <v>7130</v>
      </c>
      <c r="E205" s="346">
        <v>9490</v>
      </c>
      <c r="F205" s="346">
        <v>1470</v>
      </c>
      <c r="G205" s="354">
        <v>4510</v>
      </c>
    </row>
    <row r="206" spans="1:7" s="335" customFormat="1" ht="14.25" customHeight="1">
      <c r="A206" s="346" t="s">
        <v>278</v>
      </c>
      <c r="B206" s="346" t="s">
        <v>2392</v>
      </c>
      <c r="C206" s="346">
        <v>7000</v>
      </c>
      <c r="D206" s="346">
        <v>6950</v>
      </c>
      <c r="E206" s="346">
        <v>9170</v>
      </c>
      <c r="F206" s="346">
        <v>1400</v>
      </c>
      <c r="G206" s="354">
        <v>4380</v>
      </c>
    </row>
    <row r="207" spans="1:7" s="335" customFormat="1" ht="14.25" customHeight="1">
      <c r="A207" s="346" t="s">
        <v>278</v>
      </c>
      <c r="B207" s="346" t="s">
        <v>2402</v>
      </c>
      <c r="C207" s="346">
        <v>6950</v>
      </c>
      <c r="D207" s="346">
        <v>6900</v>
      </c>
      <c r="E207" s="346">
        <v>9110</v>
      </c>
      <c r="F207" s="346">
        <v>1790</v>
      </c>
      <c r="G207" s="354">
        <v>4360</v>
      </c>
    </row>
    <row r="208" spans="1:7" s="335" customFormat="1" ht="14.25" customHeight="1">
      <c r="A208" s="346" t="s">
        <v>278</v>
      </c>
      <c r="B208" s="346" t="s">
        <v>2412</v>
      </c>
      <c r="C208" s="346">
        <v>9470</v>
      </c>
      <c r="D208" s="346">
        <v>9410</v>
      </c>
      <c r="E208" s="346">
        <v>12330</v>
      </c>
      <c r="F208" s="346">
        <v>1770</v>
      </c>
      <c r="G208" s="354">
        <v>5940</v>
      </c>
    </row>
    <row r="209" spans="1:7" s="335" customFormat="1" ht="14.25" customHeight="1">
      <c r="A209" s="346" t="s">
        <v>278</v>
      </c>
      <c r="B209" s="346" t="s">
        <v>2422</v>
      </c>
      <c r="C209" s="346">
        <v>8740</v>
      </c>
      <c r="D209" s="346">
        <v>8700</v>
      </c>
      <c r="E209" s="346">
        <v>11500</v>
      </c>
      <c r="F209" s="346">
        <v>1730</v>
      </c>
      <c r="G209" s="354">
        <v>5490</v>
      </c>
    </row>
    <row r="210" spans="1:7" s="335" customFormat="1" ht="14.25" customHeight="1">
      <c r="A210" s="346" t="s">
        <v>278</v>
      </c>
      <c r="B210" s="346" t="s">
        <v>2431</v>
      </c>
      <c r="C210" s="346">
        <v>8710</v>
      </c>
      <c r="D210" s="346">
        <v>8660</v>
      </c>
      <c r="E210" s="346">
        <v>11440</v>
      </c>
      <c r="F210" s="346">
        <v>1740</v>
      </c>
      <c r="G210" s="354">
        <v>5470</v>
      </c>
    </row>
    <row r="211" spans="1:7" s="335" customFormat="1" ht="14.25" customHeight="1">
      <c r="A211" s="346" t="s">
        <v>278</v>
      </c>
      <c r="B211" s="346" t="s">
        <v>2439</v>
      </c>
      <c r="C211" s="346">
        <v>9480</v>
      </c>
      <c r="D211" s="346">
        <v>9430</v>
      </c>
      <c r="E211" s="346">
        <v>12360</v>
      </c>
      <c r="F211" s="346">
        <v>1820</v>
      </c>
      <c r="G211" s="354">
        <v>5950</v>
      </c>
    </row>
    <row r="212" spans="1:7" s="335" customFormat="1" ht="14.25" customHeight="1">
      <c r="A212" s="346" t="s">
        <v>278</v>
      </c>
      <c r="B212" s="346" t="s">
        <v>2447</v>
      </c>
      <c r="C212" s="346">
        <v>9070</v>
      </c>
      <c r="D212" s="346">
        <v>9020</v>
      </c>
      <c r="E212" s="346">
        <v>11720</v>
      </c>
      <c r="F212" s="346">
        <v>1850</v>
      </c>
      <c r="G212" s="354">
        <v>5700</v>
      </c>
    </row>
    <row r="213" spans="1:7" s="335" customFormat="1" ht="14.25" customHeight="1">
      <c r="A213" s="346" t="s">
        <v>278</v>
      </c>
      <c r="B213" s="346" t="s">
        <v>2455</v>
      </c>
      <c r="C213" s="346">
        <v>9030</v>
      </c>
      <c r="D213" s="346">
        <v>8980</v>
      </c>
      <c r="E213" s="346">
        <v>11670</v>
      </c>
      <c r="F213" s="346">
        <v>1690</v>
      </c>
      <c r="G213" s="354">
        <v>5670</v>
      </c>
    </row>
    <row r="214" spans="1:7" s="335" customFormat="1" ht="14.25" customHeight="1">
      <c r="A214" s="346" t="s">
        <v>278</v>
      </c>
      <c r="B214" s="346" t="s">
        <v>2463</v>
      </c>
      <c r="C214" s="346">
        <v>8090</v>
      </c>
      <c r="D214" s="346">
        <v>8030</v>
      </c>
      <c r="E214" s="346">
        <v>10780</v>
      </c>
      <c r="F214" s="346">
        <v>1570</v>
      </c>
      <c r="G214" s="354">
        <v>5070</v>
      </c>
    </row>
    <row r="215" spans="1:7" s="335" customFormat="1" ht="14.25" customHeight="1">
      <c r="A215" s="346" t="s">
        <v>278</v>
      </c>
      <c r="B215" s="346" t="s">
        <v>2470</v>
      </c>
      <c r="C215" s="346">
        <v>7950</v>
      </c>
      <c r="D215" s="346">
        <v>7900</v>
      </c>
      <c r="E215" s="346">
        <v>10560</v>
      </c>
      <c r="F215" s="346">
        <v>1630</v>
      </c>
      <c r="G215" s="354">
        <v>4990</v>
      </c>
    </row>
    <row r="216" spans="1:7" s="335" customFormat="1" ht="14.25" customHeight="1">
      <c r="A216" s="346" t="s">
        <v>278</v>
      </c>
      <c r="B216" s="346" t="s">
        <v>2477</v>
      </c>
      <c r="C216" s="346">
        <v>8490</v>
      </c>
      <c r="D216" s="346">
        <v>8440</v>
      </c>
      <c r="E216" s="346">
        <v>11260</v>
      </c>
      <c r="F216" s="346">
        <v>1690</v>
      </c>
      <c r="G216" s="354">
        <v>5330</v>
      </c>
    </row>
    <row r="217" spans="1:7" s="335" customFormat="1" ht="14.25" customHeight="1">
      <c r="A217" s="346" t="s">
        <v>278</v>
      </c>
      <c r="B217" s="346" t="s">
        <v>2484</v>
      </c>
      <c r="C217" s="346">
        <v>8200</v>
      </c>
      <c r="D217" s="346">
        <v>8150</v>
      </c>
      <c r="E217" s="346">
        <v>10910</v>
      </c>
      <c r="F217" s="346">
        <v>1670</v>
      </c>
      <c r="G217" s="354">
        <v>5150</v>
      </c>
    </row>
    <row r="218" spans="1:7" s="335" customFormat="1" ht="14.25" customHeight="1">
      <c r="A218" s="346" t="s">
        <v>278</v>
      </c>
      <c r="B218" s="346" t="s">
        <v>2491</v>
      </c>
      <c r="C218" s="346"/>
      <c r="D218" s="346"/>
      <c r="E218" s="346"/>
      <c r="F218" s="346">
        <v>2040</v>
      </c>
      <c r="G218" s="354"/>
    </row>
    <row r="219" spans="1:7" s="335" customFormat="1" ht="14.25" customHeight="1">
      <c r="A219" s="346" t="s">
        <v>278</v>
      </c>
      <c r="B219" s="346" t="s">
        <v>2498</v>
      </c>
      <c r="C219" s="346"/>
      <c r="D219" s="346"/>
      <c r="E219" s="346"/>
      <c r="F219" s="346">
        <v>2040</v>
      </c>
      <c r="G219" s="354"/>
    </row>
    <row r="220" spans="1:7" s="335" customFormat="1" ht="14.25" customHeight="1">
      <c r="A220" s="346" t="s">
        <v>278</v>
      </c>
      <c r="B220" s="346" t="s">
        <v>2505</v>
      </c>
      <c r="C220" s="346"/>
      <c r="D220" s="346"/>
      <c r="E220" s="346"/>
      <c r="F220" s="346">
        <v>2040</v>
      </c>
      <c r="G220" s="354"/>
    </row>
    <row r="221" spans="1:7" s="335" customFormat="1" ht="14.25" customHeight="1">
      <c r="A221" s="346" t="s">
        <v>278</v>
      </c>
      <c r="B221" s="346" t="s">
        <v>2512</v>
      </c>
      <c r="C221" s="346"/>
      <c r="D221" s="346"/>
      <c r="E221" s="346"/>
      <c r="F221" s="346">
        <v>2040</v>
      </c>
      <c r="G221" s="354"/>
    </row>
    <row r="222" spans="1:7" s="335" customFormat="1" ht="14.25" customHeight="1">
      <c r="A222" s="346" t="s">
        <v>278</v>
      </c>
      <c r="B222" s="346" t="s">
        <v>2517</v>
      </c>
      <c r="C222" s="346"/>
      <c r="D222" s="346"/>
      <c r="E222" s="346"/>
      <c r="F222" s="346">
        <v>2040</v>
      </c>
      <c r="G222" s="354"/>
    </row>
    <row r="223" spans="1:7" s="335" customFormat="1" ht="14.25" customHeight="1">
      <c r="A223" s="346" t="s">
        <v>278</v>
      </c>
      <c r="B223" s="346" t="s">
        <v>2522</v>
      </c>
      <c r="C223" s="346"/>
      <c r="D223" s="346"/>
      <c r="E223" s="346"/>
      <c r="F223" s="346">
        <v>1930</v>
      </c>
      <c r="G223" s="354"/>
    </row>
    <row r="224" spans="1:7" s="335" customFormat="1" ht="14.25" customHeight="1">
      <c r="A224" s="346" t="s">
        <v>278</v>
      </c>
      <c r="B224" s="346" t="s">
        <v>2527</v>
      </c>
      <c r="C224" s="346"/>
      <c r="D224" s="346"/>
      <c r="E224" s="346"/>
      <c r="F224" s="346">
        <v>1930</v>
      </c>
      <c r="G224" s="354"/>
    </row>
    <row r="225" spans="1:7" s="335" customFormat="1" ht="14.25" customHeight="1">
      <c r="A225" s="346" t="s">
        <v>278</v>
      </c>
      <c r="B225" s="346" t="s">
        <v>2532</v>
      </c>
      <c r="C225" s="346"/>
      <c r="D225" s="346"/>
      <c r="E225" s="346"/>
      <c r="F225" s="346">
        <v>1930</v>
      </c>
      <c r="G225" s="354"/>
    </row>
    <row r="226" spans="1:7" s="335" customFormat="1" ht="14.25" customHeight="1">
      <c r="A226" s="346" t="s">
        <v>278</v>
      </c>
      <c r="B226" s="346" t="s">
        <v>2537</v>
      </c>
      <c r="C226" s="346"/>
      <c r="D226" s="346"/>
      <c r="E226" s="346"/>
      <c r="F226" s="346">
        <v>1700</v>
      </c>
      <c r="G226" s="354"/>
    </row>
    <row r="227" spans="1:7" s="335" customFormat="1" ht="14.25" customHeight="1">
      <c r="A227" s="346" t="s">
        <v>278</v>
      </c>
      <c r="B227" s="346" t="s">
        <v>2542</v>
      </c>
      <c r="C227" s="346"/>
      <c r="D227" s="346"/>
      <c r="E227" s="346"/>
      <c r="F227" s="346">
        <v>1520</v>
      </c>
      <c r="G227" s="354"/>
    </row>
    <row r="228" spans="1:7" s="335" customFormat="1" ht="14.25" customHeight="1">
      <c r="A228" s="346" t="s">
        <v>278</v>
      </c>
      <c r="B228" s="346" t="s">
        <v>2547</v>
      </c>
      <c r="C228" s="346"/>
      <c r="D228" s="346"/>
      <c r="E228" s="346"/>
      <c r="F228" s="346">
        <v>1520</v>
      </c>
      <c r="G228" s="354"/>
    </row>
    <row r="229" spans="1:7" s="335" customFormat="1" ht="14.25" customHeight="1">
      <c r="A229" s="346" t="s">
        <v>278</v>
      </c>
      <c r="B229" s="346" t="s">
        <v>2552</v>
      </c>
      <c r="C229" s="346"/>
      <c r="D229" s="346"/>
      <c r="E229" s="346"/>
      <c r="F229" s="346">
        <v>1520</v>
      </c>
      <c r="G229" s="354"/>
    </row>
    <row r="230" spans="1:7" s="335" customFormat="1" ht="14.25" customHeight="1">
      <c r="A230" s="346" t="s">
        <v>278</v>
      </c>
      <c r="B230" s="346" t="s">
        <v>2556</v>
      </c>
      <c r="C230" s="346"/>
      <c r="D230" s="346"/>
      <c r="E230" s="346"/>
      <c r="F230" s="346">
        <v>1820</v>
      </c>
      <c r="G230" s="354"/>
    </row>
    <row r="231" spans="1:7" s="335" customFormat="1" ht="14.25" customHeight="1">
      <c r="A231" s="346" t="s">
        <v>278</v>
      </c>
      <c r="B231" s="346" t="s">
        <v>2560</v>
      </c>
      <c r="C231" s="346"/>
      <c r="D231" s="346"/>
      <c r="E231" s="346"/>
      <c r="F231" s="346">
        <v>1760</v>
      </c>
      <c r="G231" s="354"/>
    </row>
    <row r="232" spans="1:7" s="335" customFormat="1" ht="14.25" customHeight="1">
      <c r="A232" s="346" t="s">
        <v>278</v>
      </c>
      <c r="B232" s="346" t="s">
        <v>2564</v>
      </c>
      <c r="C232" s="346"/>
      <c r="D232" s="346"/>
      <c r="E232" s="346"/>
      <c r="F232" s="346">
        <v>1840</v>
      </c>
      <c r="G232" s="354"/>
    </row>
    <row r="233" spans="1:7" s="335" customFormat="1" ht="14.25" customHeight="1">
      <c r="A233" s="355" t="s">
        <v>278</v>
      </c>
      <c r="B233" s="350" t="s">
        <v>2568</v>
      </c>
      <c r="C233" s="350"/>
      <c r="D233" s="350"/>
      <c r="E233" s="350"/>
      <c r="F233" s="350">
        <v>1770</v>
      </c>
      <c r="G233" s="356"/>
    </row>
    <row r="234" spans="1:7" s="335" customFormat="1" ht="14.25" customHeight="1">
      <c r="A234" s="344" t="s">
        <v>284</v>
      </c>
      <c r="B234" s="345" t="s">
        <v>2220</v>
      </c>
      <c r="C234" s="346">
        <v>6980</v>
      </c>
      <c r="D234" s="346">
        <v>6970</v>
      </c>
      <c r="E234" s="346">
        <v>8720</v>
      </c>
      <c r="F234" s="346">
        <v>1350</v>
      </c>
      <c r="G234" s="346">
        <v>4280</v>
      </c>
    </row>
    <row r="235" spans="1:7" s="335" customFormat="1" ht="14.25" customHeight="1">
      <c r="A235" s="346" t="s">
        <v>284</v>
      </c>
      <c r="B235" s="346" t="s">
        <v>2233</v>
      </c>
      <c r="C235" s="346">
        <v>7620</v>
      </c>
      <c r="D235" s="346">
        <v>7580</v>
      </c>
      <c r="E235" s="346">
        <v>9360</v>
      </c>
      <c r="F235" s="346">
        <v>1490</v>
      </c>
      <c r="G235" s="346">
        <v>4650</v>
      </c>
    </row>
    <row r="236" spans="1:7" s="335" customFormat="1" ht="14.25" customHeight="1">
      <c r="A236" s="346" t="s">
        <v>284</v>
      </c>
      <c r="B236" s="346" t="s">
        <v>2247</v>
      </c>
      <c r="C236" s="346">
        <v>6650</v>
      </c>
      <c r="D236" s="346">
        <v>6630</v>
      </c>
      <c r="E236" s="346">
        <v>8330</v>
      </c>
      <c r="F236" s="346">
        <v>1250</v>
      </c>
      <c r="G236" s="346">
        <v>4070</v>
      </c>
    </row>
    <row r="237" spans="1:7" s="335" customFormat="1" ht="14.25" customHeight="1">
      <c r="A237" s="346" t="s">
        <v>284</v>
      </c>
      <c r="B237" s="346" t="s">
        <v>2259</v>
      </c>
      <c r="C237" s="346">
        <v>5850</v>
      </c>
      <c r="D237" s="346">
        <v>5820</v>
      </c>
      <c r="E237" s="346">
        <v>7260</v>
      </c>
      <c r="F237" s="346">
        <v>1140</v>
      </c>
      <c r="G237" s="346">
        <v>3570</v>
      </c>
    </row>
    <row r="238" spans="1:7" s="335" customFormat="1" ht="14.25" customHeight="1">
      <c r="A238" s="346" t="s">
        <v>284</v>
      </c>
      <c r="B238" s="346" t="s">
        <v>2271</v>
      </c>
      <c r="C238" s="346">
        <v>6920</v>
      </c>
      <c r="D238" s="346">
        <v>6890</v>
      </c>
      <c r="E238" s="346">
        <v>8640</v>
      </c>
      <c r="F238" s="346">
        <v>1310</v>
      </c>
      <c r="G238" s="346">
        <v>4230</v>
      </c>
    </row>
    <row r="239" spans="1:7" s="335" customFormat="1" ht="14.25" customHeight="1">
      <c r="A239" s="346" t="s">
        <v>284</v>
      </c>
      <c r="B239" s="346" t="s">
        <v>2282</v>
      </c>
      <c r="C239" s="346">
        <v>6780</v>
      </c>
      <c r="D239" s="346">
        <v>6750</v>
      </c>
      <c r="E239" s="346">
        <v>8440</v>
      </c>
      <c r="F239" s="346">
        <v>1160</v>
      </c>
      <c r="G239" s="346">
        <v>4140</v>
      </c>
    </row>
    <row r="240" spans="1:7" s="335" customFormat="1" ht="14.25" customHeight="1">
      <c r="A240" s="346" t="s">
        <v>284</v>
      </c>
      <c r="B240" s="346" t="s">
        <v>2293</v>
      </c>
      <c r="C240" s="346">
        <v>5420</v>
      </c>
      <c r="D240" s="346">
        <v>5380</v>
      </c>
      <c r="E240" s="346">
        <v>6640</v>
      </c>
      <c r="F240" s="346">
        <v>1020</v>
      </c>
      <c r="G240" s="346">
        <v>3300</v>
      </c>
    </row>
    <row r="241" spans="1:7" s="335" customFormat="1" ht="14.25" customHeight="1">
      <c r="A241" s="346" t="s">
        <v>284</v>
      </c>
      <c r="B241" s="346" t="s">
        <v>2304</v>
      </c>
      <c r="C241" s="346">
        <v>6660</v>
      </c>
      <c r="D241" s="346">
        <v>6640</v>
      </c>
      <c r="E241" s="346">
        <v>8340</v>
      </c>
      <c r="F241" s="346">
        <v>1130</v>
      </c>
      <c r="G241" s="346">
        <v>4080</v>
      </c>
    </row>
    <row r="242" spans="1:7" s="335" customFormat="1" ht="14.25" customHeight="1">
      <c r="A242" s="346" t="s">
        <v>284</v>
      </c>
      <c r="B242" s="346" t="s">
        <v>2314</v>
      </c>
      <c r="C242" s="346">
        <v>6580</v>
      </c>
      <c r="D242" s="346">
        <v>6550</v>
      </c>
      <c r="E242" s="346">
        <v>8090</v>
      </c>
      <c r="F242" s="346">
        <v>1240</v>
      </c>
      <c r="G242" s="346">
        <v>4020</v>
      </c>
    </row>
    <row r="243" spans="1:7" s="335" customFormat="1" ht="14.25" customHeight="1">
      <c r="A243" s="346" t="s">
        <v>284</v>
      </c>
      <c r="B243" s="346" t="s">
        <v>2324</v>
      </c>
      <c r="C243" s="346">
        <v>6000</v>
      </c>
      <c r="D243" s="346">
        <v>5970</v>
      </c>
      <c r="E243" s="346">
        <v>7370</v>
      </c>
      <c r="F243" s="346">
        <v>1070</v>
      </c>
      <c r="G243" s="346">
        <v>3670</v>
      </c>
    </row>
    <row r="244" spans="1:7" s="335" customFormat="1" ht="14.25" customHeight="1">
      <c r="A244" s="346" t="s">
        <v>284</v>
      </c>
      <c r="B244" s="346" t="s">
        <v>2334</v>
      </c>
      <c r="C244" s="346">
        <v>5840</v>
      </c>
      <c r="D244" s="346">
        <v>5810</v>
      </c>
      <c r="E244" s="346">
        <v>7240</v>
      </c>
      <c r="F244" s="346">
        <v>1100</v>
      </c>
      <c r="G244" s="346">
        <v>3560</v>
      </c>
    </row>
    <row r="245" spans="1:7" s="335" customFormat="1" ht="14.25" customHeight="1">
      <c r="A245" s="346" t="s">
        <v>284</v>
      </c>
      <c r="B245" s="346" t="s">
        <v>2343</v>
      </c>
      <c r="C245" s="346">
        <v>6040</v>
      </c>
      <c r="D245" s="346">
        <v>6000</v>
      </c>
      <c r="E245" s="346">
        <v>7420</v>
      </c>
      <c r="F245" s="346">
        <v>1140</v>
      </c>
      <c r="G245" s="346">
        <v>3690</v>
      </c>
    </row>
    <row r="246" spans="1:7" s="335" customFormat="1" ht="14.25" customHeight="1">
      <c r="A246" s="346" t="s">
        <v>284</v>
      </c>
      <c r="B246" s="346" t="s">
        <v>2353</v>
      </c>
      <c r="C246" s="346">
        <v>5890</v>
      </c>
      <c r="D246" s="346">
        <v>5860</v>
      </c>
      <c r="E246" s="346">
        <v>7300</v>
      </c>
      <c r="F246" s="346">
        <v>1110</v>
      </c>
      <c r="G246" s="346">
        <v>3590</v>
      </c>
    </row>
    <row r="247" spans="1:7" s="335" customFormat="1" ht="14.25" customHeight="1">
      <c r="A247" s="346" t="s">
        <v>284</v>
      </c>
      <c r="B247" s="346" t="s">
        <v>2363</v>
      </c>
      <c r="C247" s="346">
        <v>6480</v>
      </c>
      <c r="D247" s="346">
        <v>6450</v>
      </c>
      <c r="E247" s="346">
        <v>8010</v>
      </c>
      <c r="F247" s="346">
        <v>1170</v>
      </c>
      <c r="G247" s="346">
        <v>3960</v>
      </c>
    </row>
    <row r="248" spans="1:7" s="335" customFormat="1" ht="14.25" customHeight="1">
      <c r="A248" s="346" t="s">
        <v>284</v>
      </c>
      <c r="B248" s="346" t="s">
        <v>2373</v>
      </c>
      <c r="C248" s="346">
        <v>6860</v>
      </c>
      <c r="D248" s="346">
        <v>6840</v>
      </c>
      <c r="E248" s="346">
        <v>8520</v>
      </c>
      <c r="F248" s="346">
        <v>1240</v>
      </c>
      <c r="G248" s="346">
        <v>4200</v>
      </c>
    </row>
    <row r="249" spans="1:7" s="335" customFormat="1" ht="14.25" customHeight="1">
      <c r="A249" s="346" t="s">
        <v>284</v>
      </c>
      <c r="B249" s="346" t="s">
        <v>2383</v>
      </c>
      <c r="C249" s="346">
        <v>7180</v>
      </c>
      <c r="D249" s="346">
        <v>7140</v>
      </c>
      <c r="E249" s="346">
        <v>8900</v>
      </c>
      <c r="F249" s="346">
        <v>1350</v>
      </c>
      <c r="G249" s="346">
        <v>4380</v>
      </c>
    </row>
    <row r="250" spans="1:7" s="335" customFormat="1" ht="14.25" customHeight="1">
      <c r="A250" s="346" t="s">
        <v>284</v>
      </c>
      <c r="B250" s="346" t="s">
        <v>2393</v>
      </c>
      <c r="C250" s="346">
        <v>6880</v>
      </c>
      <c r="D250" s="346">
        <v>6860</v>
      </c>
      <c r="E250" s="346">
        <v>8550</v>
      </c>
      <c r="F250" s="346">
        <v>1220</v>
      </c>
      <c r="G250" s="346">
        <v>4210</v>
      </c>
    </row>
    <row r="251" spans="1:7" s="335" customFormat="1" ht="14.25" customHeight="1">
      <c r="A251" s="346" t="s">
        <v>284</v>
      </c>
      <c r="B251" s="346" t="s">
        <v>2403</v>
      </c>
      <c r="C251" s="346"/>
      <c r="D251" s="346"/>
      <c r="E251" s="346"/>
      <c r="F251" s="346">
        <v>1100</v>
      </c>
      <c r="G251" s="346"/>
    </row>
    <row r="252" spans="1:7" s="335" customFormat="1" ht="14.25" customHeight="1">
      <c r="A252" s="346" t="s">
        <v>284</v>
      </c>
      <c r="B252" s="346" t="s">
        <v>2413</v>
      </c>
      <c r="C252" s="346">
        <v>7240</v>
      </c>
      <c r="D252" s="346">
        <v>7200</v>
      </c>
      <c r="E252" s="346">
        <v>9040</v>
      </c>
      <c r="F252" s="346">
        <v>1380</v>
      </c>
      <c r="G252" s="346">
        <v>4420</v>
      </c>
    </row>
    <row r="253" spans="1:7" s="335" customFormat="1" ht="14.25" customHeight="1">
      <c r="A253" s="346" t="s">
        <v>284</v>
      </c>
      <c r="B253" s="346" t="s">
        <v>2423</v>
      </c>
      <c r="C253" s="346">
        <v>6670</v>
      </c>
      <c r="D253" s="346">
        <v>6650</v>
      </c>
      <c r="E253" s="346">
        <v>8350</v>
      </c>
      <c r="F253" s="346">
        <v>1260</v>
      </c>
      <c r="G253" s="346">
        <v>4080</v>
      </c>
    </row>
    <row r="254" spans="1:7" s="335" customFormat="1" ht="14.25" customHeight="1">
      <c r="A254" s="346" t="s">
        <v>284</v>
      </c>
      <c r="B254" s="346" t="s">
        <v>2432</v>
      </c>
      <c r="C254" s="346">
        <v>7630</v>
      </c>
      <c r="D254" s="346">
        <v>7590</v>
      </c>
      <c r="E254" s="346">
        <v>9380</v>
      </c>
      <c r="F254" s="346">
        <v>1320</v>
      </c>
      <c r="G254" s="346">
        <v>4660</v>
      </c>
    </row>
    <row r="255" spans="1:7" s="335" customFormat="1" ht="14.25" customHeight="1">
      <c r="A255" s="346" t="s">
        <v>284</v>
      </c>
      <c r="B255" s="346" t="s">
        <v>2440</v>
      </c>
      <c r="C255" s="346">
        <v>6940</v>
      </c>
      <c r="D255" s="346">
        <v>6890</v>
      </c>
      <c r="E255" s="346">
        <v>8650</v>
      </c>
      <c r="F255" s="346">
        <v>1210</v>
      </c>
      <c r="G255" s="346">
        <v>4230</v>
      </c>
    </row>
    <row r="256" spans="1:7" s="335" customFormat="1" ht="14.25" customHeight="1">
      <c r="A256" s="346" t="s">
        <v>284</v>
      </c>
      <c r="B256" s="346" t="s">
        <v>2448</v>
      </c>
      <c r="C256" s="346">
        <v>7520</v>
      </c>
      <c r="D256" s="346">
        <v>7490</v>
      </c>
      <c r="E256" s="346">
        <v>9240</v>
      </c>
      <c r="F256" s="346">
        <v>1270</v>
      </c>
      <c r="G256" s="346">
        <v>4590</v>
      </c>
    </row>
    <row r="257" spans="1:7" s="335" customFormat="1" ht="14.25" customHeight="1">
      <c r="A257" s="346" t="s">
        <v>284</v>
      </c>
      <c r="B257" s="346" t="s">
        <v>2456</v>
      </c>
      <c r="C257" s="346">
        <v>6280</v>
      </c>
      <c r="D257" s="346">
        <v>6230</v>
      </c>
      <c r="E257" s="346">
        <v>7740</v>
      </c>
      <c r="F257" s="346">
        <v>1080</v>
      </c>
      <c r="G257" s="346">
        <v>3830</v>
      </c>
    </row>
    <row r="258" spans="1:7" s="335" customFormat="1" ht="14.25" customHeight="1">
      <c r="A258" s="346" t="s">
        <v>284</v>
      </c>
      <c r="B258" s="346" t="s">
        <v>2464</v>
      </c>
      <c r="C258" s="346">
        <v>6190</v>
      </c>
      <c r="D258" s="346">
        <v>6160</v>
      </c>
      <c r="E258" s="346">
        <v>7680</v>
      </c>
      <c r="F258" s="346">
        <v>1170</v>
      </c>
      <c r="G258" s="346">
        <v>3780</v>
      </c>
    </row>
    <row r="259" spans="1:7" s="335" customFormat="1" ht="14.25" customHeight="1">
      <c r="A259" s="346" t="s">
        <v>284</v>
      </c>
      <c r="B259" s="346" t="s">
        <v>2471</v>
      </c>
      <c r="C259" s="346">
        <v>7610</v>
      </c>
      <c r="D259" s="346">
        <v>7570</v>
      </c>
      <c r="E259" s="346">
        <v>9350</v>
      </c>
      <c r="F259" s="346">
        <v>1350</v>
      </c>
      <c r="G259" s="346">
        <v>4650</v>
      </c>
    </row>
    <row r="260" spans="1:7" s="335" customFormat="1" ht="14.25" customHeight="1">
      <c r="A260" s="346" t="s">
        <v>284</v>
      </c>
      <c r="B260" s="346" t="s">
        <v>2478</v>
      </c>
      <c r="C260" s="346">
        <v>6920</v>
      </c>
      <c r="D260" s="346">
        <v>6880</v>
      </c>
      <c r="E260" s="346">
        <v>8380</v>
      </c>
      <c r="F260" s="346">
        <v>1160</v>
      </c>
      <c r="G260" s="346">
        <v>4220</v>
      </c>
    </row>
    <row r="261" spans="1:7" s="335" customFormat="1" ht="14.25" customHeight="1">
      <c r="A261" s="346" t="s">
        <v>284</v>
      </c>
      <c r="B261" s="346" t="s">
        <v>2485</v>
      </c>
      <c r="C261" s="346">
        <v>6850</v>
      </c>
      <c r="D261" s="346">
        <v>6810</v>
      </c>
      <c r="E261" s="346">
        <v>8290</v>
      </c>
      <c r="F261" s="346">
        <v>1130</v>
      </c>
      <c r="G261" s="346">
        <v>4180</v>
      </c>
    </row>
    <row r="262" spans="1:7" s="335" customFormat="1" ht="14.25" customHeight="1">
      <c r="A262" s="346" t="s">
        <v>284</v>
      </c>
      <c r="B262" s="346" t="s">
        <v>2492</v>
      </c>
      <c r="C262" s="346">
        <v>5860</v>
      </c>
      <c r="D262" s="346">
        <v>5820</v>
      </c>
      <c r="E262" s="346">
        <v>7640</v>
      </c>
      <c r="F262" s="346">
        <v>1070</v>
      </c>
      <c r="G262" s="346">
        <v>3570</v>
      </c>
    </row>
    <row r="263" spans="1:7" s="335" customFormat="1" ht="14.25" customHeight="1">
      <c r="A263" s="346" t="s">
        <v>284</v>
      </c>
      <c r="B263" s="346" t="s">
        <v>2499</v>
      </c>
      <c r="C263" s="346">
        <v>5870</v>
      </c>
      <c r="D263" s="346">
        <v>5840</v>
      </c>
      <c r="E263" s="346">
        <v>7270</v>
      </c>
      <c r="F263" s="346">
        <v>1190</v>
      </c>
      <c r="G263" s="346">
        <v>3580</v>
      </c>
    </row>
    <row r="264" spans="1:7" s="335" customFormat="1" ht="14.25" customHeight="1">
      <c r="A264" s="346" t="s">
        <v>284</v>
      </c>
      <c r="B264" s="346" t="s">
        <v>2506</v>
      </c>
      <c r="C264" s="346">
        <v>6190</v>
      </c>
      <c r="D264" s="346">
        <v>6150</v>
      </c>
      <c r="E264" s="346">
        <v>7660</v>
      </c>
      <c r="F264" s="346">
        <v>1160</v>
      </c>
      <c r="G264" s="346">
        <v>3770</v>
      </c>
    </row>
    <row r="265" spans="1:7" s="335" customFormat="1" ht="14.25" customHeight="1">
      <c r="A265" s="346" t="s">
        <v>284</v>
      </c>
      <c r="B265" s="346" t="s">
        <v>2513</v>
      </c>
      <c r="C265" s="346"/>
      <c r="D265" s="346"/>
      <c r="E265" s="346"/>
      <c r="F265" s="346">
        <v>1500</v>
      </c>
      <c r="G265" s="346"/>
    </row>
    <row r="266" spans="1:7" s="335" customFormat="1" ht="14.25" customHeight="1">
      <c r="A266" s="346" t="s">
        <v>284</v>
      </c>
      <c r="B266" s="346" t="s">
        <v>2518</v>
      </c>
      <c r="C266" s="346"/>
      <c r="D266" s="346"/>
      <c r="E266" s="346"/>
      <c r="F266" s="346">
        <v>1500</v>
      </c>
      <c r="G266" s="346"/>
    </row>
    <row r="267" spans="1:7" s="335" customFormat="1" ht="14.25" customHeight="1">
      <c r="A267" s="346" t="s">
        <v>284</v>
      </c>
      <c r="B267" s="346" t="s">
        <v>2523</v>
      </c>
      <c r="C267" s="346"/>
      <c r="D267" s="346"/>
      <c r="E267" s="346"/>
      <c r="F267" s="346">
        <v>1500</v>
      </c>
      <c r="G267" s="346"/>
    </row>
    <row r="268" spans="1:7" s="335" customFormat="1" ht="14.25" customHeight="1">
      <c r="A268" s="346" t="s">
        <v>284</v>
      </c>
      <c r="B268" s="346" t="s">
        <v>2528</v>
      </c>
      <c r="C268" s="346"/>
      <c r="D268" s="346"/>
      <c r="E268" s="346"/>
      <c r="F268" s="346">
        <v>1290</v>
      </c>
      <c r="G268" s="346"/>
    </row>
    <row r="269" spans="1:7" s="335" customFormat="1" ht="14.25" customHeight="1">
      <c r="A269" s="346" t="s">
        <v>284</v>
      </c>
      <c r="B269" s="346" t="s">
        <v>2533</v>
      </c>
      <c r="C269" s="346"/>
      <c r="D269" s="346"/>
      <c r="E269" s="346"/>
      <c r="F269" s="346">
        <v>1150</v>
      </c>
      <c r="G269" s="346"/>
    </row>
    <row r="270" spans="1:7" s="335" customFormat="1" ht="14.25" customHeight="1">
      <c r="A270" s="346" t="s">
        <v>284</v>
      </c>
      <c r="B270" s="346" t="s">
        <v>2538</v>
      </c>
      <c r="C270" s="346"/>
      <c r="D270" s="346"/>
      <c r="E270" s="346"/>
      <c r="F270" s="346">
        <v>1380</v>
      </c>
      <c r="G270" s="346"/>
    </row>
    <row r="271" spans="1:7" s="335" customFormat="1" ht="14.25" customHeight="1">
      <c r="A271" s="346" t="s">
        <v>284</v>
      </c>
      <c r="B271" s="346" t="s">
        <v>2543</v>
      </c>
      <c r="C271" s="346"/>
      <c r="D271" s="346"/>
      <c r="E271" s="346"/>
      <c r="F271" s="346">
        <v>1460</v>
      </c>
      <c r="G271" s="346"/>
    </row>
    <row r="272" spans="1:7" s="335" customFormat="1" ht="14.25" customHeight="1">
      <c r="A272" s="346" t="s">
        <v>284</v>
      </c>
      <c r="B272" s="346" t="s">
        <v>2548</v>
      </c>
      <c r="C272" s="346"/>
      <c r="D272" s="346"/>
      <c r="E272" s="346"/>
      <c r="F272" s="346">
        <v>1460</v>
      </c>
      <c r="G272" s="346"/>
    </row>
    <row r="273" spans="1:7" s="335" customFormat="1" ht="14.25" customHeight="1">
      <c r="A273" s="346" t="s">
        <v>284</v>
      </c>
      <c r="B273" s="346" t="s">
        <v>2553</v>
      </c>
      <c r="C273" s="346"/>
      <c r="D273" s="346"/>
      <c r="E273" s="346"/>
      <c r="F273" s="346">
        <v>1490</v>
      </c>
      <c r="G273" s="346"/>
    </row>
    <row r="274" spans="1:7" s="335" customFormat="1" ht="14.25" customHeight="1">
      <c r="A274" s="346" t="s">
        <v>284</v>
      </c>
      <c r="B274" s="346" t="s">
        <v>2557</v>
      </c>
      <c r="C274" s="346"/>
      <c r="D274" s="346"/>
      <c r="E274" s="346"/>
      <c r="F274" s="346">
        <v>1490</v>
      </c>
      <c r="G274" s="346"/>
    </row>
    <row r="275" spans="1:7" s="335" customFormat="1" ht="14.25" customHeight="1">
      <c r="A275" s="346" t="s">
        <v>284</v>
      </c>
      <c r="B275" s="346" t="s">
        <v>2561</v>
      </c>
      <c r="C275" s="346"/>
      <c r="D275" s="346"/>
      <c r="E275" s="346"/>
      <c r="F275" s="346">
        <v>1220</v>
      </c>
      <c r="G275" s="346"/>
    </row>
    <row r="276" spans="1:7" s="335" customFormat="1" ht="14.25" customHeight="1">
      <c r="A276" s="348" t="s">
        <v>284</v>
      </c>
      <c r="B276" s="351" t="s">
        <v>2565</v>
      </c>
      <c r="C276" s="352"/>
      <c r="D276" s="352"/>
      <c r="E276" s="352"/>
      <c r="F276" s="352">
        <v>1380</v>
      </c>
      <c r="G276" s="352"/>
    </row>
    <row r="277" spans="1:7" s="335" customFormat="1" ht="14.25" customHeight="1">
      <c r="A277" s="344" t="s">
        <v>288</v>
      </c>
      <c r="B277" s="345" t="s">
        <v>2221</v>
      </c>
      <c r="C277" s="345">
        <v>5790</v>
      </c>
      <c r="D277" s="345">
        <v>5740</v>
      </c>
      <c r="E277" s="345">
        <v>6730</v>
      </c>
      <c r="F277" s="345">
        <v>1110</v>
      </c>
      <c r="G277" s="353">
        <v>3460</v>
      </c>
    </row>
    <row r="278" spans="1:7" s="335" customFormat="1" ht="14.25" customHeight="1">
      <c r="A278" s="346" t="s">
        <v>288</v>
      </c>
      <c r="B278" s="346" t="s">
        <v>2234</v>
      </c>
      <c r="C278" s="346">
        <v>5740</v>
      </c>
      <c r="D278" s="346">
        <v>5670</v>
      </c>
      <c r="E278" s="346">
        <v>6680</v>
      </c>
      <c r="F278" s="346">
        <v>1070</v>
      </c>
      <c r="G278" s="354">
        <v>3420</v>
      </c>
    </row>
    <row r="279" spans="1:7" s="335" customFormat="1" ht="14.25" customHeight="1">
      <c r="A279" s="346" t="s">
        <v>288</v>
      </c>
      <c r="B279" s="346" t="s">
        <v>2248</v>
      </c>
      <c r="C279" s="346">
        <v>4760</v>
      </c>
      <c r="D279" s="346">
        <v>4720</v>
      </c>
      <c r="E279" s="346">
        <v>5540</v>
      </c>
      <c r="F279" s="346">
        <v>810</v>
      </c>
      <c r="G279" s="354">
        <v>2850</v>
      </c>
    </row>
    <row r="280" spans="1:7" s="335" customFormat="1" ht="14.25" customHeight="1">
      <c r="A280" s="346" t="s">
        <v>288</v>
      </c>
      <c r="B280" s="346" t="s">
        <v>2260</v>
      </c>
      <c r="C280" s="346">
        <v>4010</v>
      </c>
      <c r="D280" s="346">
        <v>3950</v>
      </c>
      <c r="E280" s="346">
        <v>4710</v>
      </c>
      <c r="F280" s="346">
        <v>800</v>
      </c>
      <c r="G280" s="354">
        <v>2390</v>
      </c>
    </row>
    <row r="281" spans="1:7" s="335" customFormat="1" ht="14.25" customHeight="1">
      <c r="A281" s="346" t="s">
        <v>288</v>
      </c>
      <c r="B281" s="346" t="s">
        <v>2272</v>
      </c>
      <c r="C281" s="346">
        <v>4480</v>
      </c>
      <c r="D281" s="346">
        <v>4420</v>
      </c>
      <c r="E281" s="346">
        <v>5230</v>
      </c>
      <c r="F281" s="346">
        <v>870</v>
      </c>
      <c r="G281" s="354">
        <v>2660</v>
      </c>
    </row>
    <row r="282" spans="1:7" s="335" customFormat="1" ht="14.25" customHeight="1">
      <c r="A282" s="346" t="s">
        <v>288</v>
      </c>
      <c r="B282" s="346" t="s">
        <v>2283</v>
      </c>
      <c r="C282" s="346">
        <v>5360</v>
      </c>
      <c r="D282" s="346">
        <v>5300</v>
      </c>
      <c r="E282" s="346">
        <v>6190</v>
      </c>
      <c r="F282" s="346">
        <v>950</v>
      </c>
      <c r="G282" s="354">
        <v>3190</v>
      </c>
    </row>
    <row r="283" spans="1:7" s="335" customFormat="1" ht="14.25" customHeight="1">
      <c r="A283" s="346" t="s">
        <v>288</v>
      </c>
      <c r="B283" s="346" t="s">
        <v>2294</v>
      </c>
      <c r="C283" s="346">
        <v>4950</v>
      </c>
      <c r="D283" s="346">
        <v>4900</v>
      </c>
      <c r="E283" s="346">
        <v>5720</v>
      </c>
      <c r="F283" s="346">
        <v>920</v>
      </c>
      <c r="G283" s="354">
        <v>2950</v>
      </c>
    </row>
    <row r="284" spans="1:7" s="335" customFormat="1" ht="14.25" customHeight="1">
      <c r="A284" s="346" t="s">
        <v>288</v>
      </c>
      <c r="B284" s="346" t="s">
        <v>2305</v>
      </c>
      <c r="C284" s="346">
        <v>5610</v>
      </c>
      <c r="D284" s="346">
        <v>5560</v>
      </c>
      <c r="E284" s="346">
        <v>6520</v>
      </c>
      <c r="F284" s="346">
        <v>1030</v>
      </c>
      <c r="G284" s="354">
        <v>3360</v>
      </c>
    </row>
    <row r="285" spans="1:7" s="335" customFormat="1" ht="14.25" customHeight="1">
      <c r="A285" s="346" t="s">
        <v>288</v>
      </c>
      <c r="B285" s="346" t="s">
        <v>2315</v>
      </c>
      <c r="C285" s="346">
        <v>5340</v>
      </c>
      <c r="D285" s="346">
        <v>5290</v>
      </c>
      <c r="E285" s="346">
        <v>6170</v>
      </c>
      <c r="F285" s="346">
        <v>1080</v>
      </c>
      <c r="G285" s="354">
        <v>3180</v>
      </c>
    </row>
    <row r="286" spans="1:7" s="335" customFormat="1" ht="14.25" customHeight="1">
      <c r="A286" s="346" t="s">
        <v>288</v>
      </c>
      <c r="B286" s="346" t="s">
        <v>2325</v>
      </c>
      <c r="C286" s="346">
        <v>4890</v>
      </c>
      <c r="D286" s="346">
        <v>4840</v>
      </c>
      <c r="E286" s="346">
        <v>5640</v>
      </c>
      <c r="F286" s="346">
        <v>960</v>
      </c>
      <c r="G286" s="354">
        <v>2910</v>
      </c>
    </row>
    <row r="287" spans="1:7" s="335" customFormat="1" ht="14.25" customHeight="1">
      <c r="A287" s="346" t="s">
        <v>288</v>
      </c>
      <c r="B287" s="346" t="s">
        <v>2335</v>
      </c>
      <c r="C287" s="346">
        <v>4960</v>
      </c>
      <c r="D287" s="346">
        <v>4920</v>
      </c>
      <c r="E287" s="346">
        <v>5730</v>
      </c>
      <c r="F287" s="346">
        <v>930</v>
      </c>
      <c r="G287" s="354">
        <v>2960</v>
      </c>
    </row>
    <row r="288" spans="1:7" s="335" customFormat="1" ht="14.25" customHeight="1">
      <c r="A288" s="346" t="s">
        <v>288</v>
      </c>
      <c r="B288" s="346" t="s">
        <v>2344</v>
      </c>
      <c r="C288" s="346">
        <v>4350</v>
      </c>
      <c r="D288" s="346">
        <v>4300</v>
      </c>
      <c r="E288" s="346">
        <v>4900</v>
      </c>
      <c r="F288" s="346">
        <v>820</v>
      </c>
      <c r="G288" s="354">
        <v>2590</v>
      </c>
    </row>
    <row r="289" spans="1:7" s="335" customFormat="1" ht="14.25" customHeight="1">
      <c r="A289" s="346" t="s">
        <v>288</v>
      </c>
      <c r="B289" s="346" t="s">
        <v>2354</v>
      </c>
      <c r="C289" s="346">
        <v>5230</v>
      </c>
      <c r="D289" s="346">
        <v>5170</v>
      </c>
      <c r="E289" s="346">
        <v>6060</v>
      </c>
      <c r="F289" s="346">
        <v>900</v>
      </c>
      <c r="G289" s="354">
        <v>3120</v>
      </c>
    </row>
    <row r="290" spans="1:7" s="335" customFormat="1" ht="14.25" customHeight="1">
      <c r="A290" s="346" t="s">
        <v>288</v>
      </c>
      <c r="B290" s="346" t="s">
        <v>2364</v>
      </c>
      <c r="C290" s="346">
        <v>5550</v>
      </c>
      <c r="D290" s="346">
        <v>5500</v>
      </c>
      <c r="E290" s="346">
        <v>6440</v>
      </c>
      <c r="F290" s="346">
        <v>960</v>
      </c>
      <c r="G290" s="354">
        <v>3320</v>
      </c>
    </row>
    <row r="291" spans="1:7" s="335" customFormat="1" ht="14.25" customHeight="1">
      <c r="A291" s="346" t="s">
        <v>288</v>
      </c>
      <c r="B291" s="346" t="s">
        <v>2374</v>
      </c>
      <c r="C291" s="346">
        <v>5440</v>
      </c>
      <c r="D291" s="346">
        <v>5400</v>
      </c>
      <c r="E291" s="346">
        <v>6320</v>
      </c>
      <c r="F291" s="346">
        <v>930</v>
      </c>
      <c r="G291" s="354">
        <v>3250</v>
      </c>
    </row>
    <row r="292" spans="1:7" s="335" customFormat="1" ht="14.25" customHeight="1">
      <c r="A292" s="346" t="s">
        <v>288</v>
      </c>
      <c r="B292" s="346" t="s">
        <v>2384</v>
      </c>
      <c r="C292" s="346">
        <v>5400</v>
      </c>
      <c r="D292" s="346">
        <v>5360</v>
      </c>
      <c r="E292" s="346">
        <v>6270</v>
      </c>
      <c r="F292" s="346">
        <v>1040</v>
      </c>
      <c r="G292" s="354">
        <v>3230</v>
      </c>
    </row>
    <row r="293" spans="1:7" s="335" customFormat="1" ht="14.25" customHeight="1">
      <c r="A293" s="346" t="s">
        <v>288</v>
      </c>
      <c r="B293" s="346" t="s">
        <v>2394</v>
      </c>
      <c r="C293" s="346">
        <v>5320</v>
      </c>
      <c r="D293" s="346">
        <v>5270</v>
      </c>
      <c r="E293" s="346">
        <v>6160</v>
      </c>
      <c r="F293" s="346">
        <v>990</v>
      </c>
      <c r="G293" s="354">
        <v>3170</v>
      </c>
    </row>
    <row r="294" spans="1:7" s="335" customFormat="1" ht="14.25" customHeight="1">
      <c r="A294" s="346" t="s">
        <v>288</v>
      </c>
      <c r="B294" s="346" t="s">
        <v>2404</v>
      </c>
      <c r="C294" s="346">
        <v>5260</v>
      </c>
      <c r="D294" s="346">
        <v>5210</v>
      </c>
      <c r="E294" s="346">
        <v>6100</v>
      </c>
      <c r="F294" s="346">
        <v>950</v>
      </c>
      <c r="G294" s="354">
        <v>3150</v>
      </c>
    </row>
    <row r="295" spans="1:7" s="335" customFormat="1" ht="14.25" customHeight="1">
      <c r="A295" s="346" t="s">
        <v>288</v>
      </c>
      <c r="B295" s="346" t="s">
        <v>2414</v>
      </c>
      <c r="C295" s="346">
        <v>5610</v>
      </c>
      <c r="D295" s="346">
        <v>5570</v>
      </c>
      <c r="E295" s="346">
        <v>6530</v>
      </c>
      <c r="F295" s="346">
        <v>960</v>
      </c>
      <c r="G295" s="354">
        <v>3360</v>
      </c>
    </row>
    <row r="296" spans="1:7" s="335" customFormat="1" ht="14.25" customHeight="1">
      <c r="A296" s="346" t="s">
        <v>288</v>
      </c>
      <c r="B296" s="346" t="s">
        <v>2424</v>
      </c>
      <c r="C296" s="346">
        <v>5540</v>
      </c>
      <c r="D296" s="346">
        <v>5490</v>
      </c>
      <c r="E296" s="346">
        <v>6430</v>
      </c>
      <c r="F296" s="346">
        <v>980</v>
      </c>
      <c r="G296" s="354">
        <v>3310</v>
      </c>
    </row>
    <row r="297" spans="1:7" s="335" customFormat="1" ht="14.25" customHeight="1">
      <c r="A297" s="346" t="s">
        <v>288</v>
      </c>
      <c r="B297" s="346" t="s">
        <v>2433</v>
      </c>
      <c r="C297" s="346">
        <v>5480</v>
      </c>
      <c r="D297" s="346">
        <v>5420</v>
      </c>
      <c r="E297" s="346">
        <v>6370</v>
      </c>
      <c r="F297" s="346">
        <v>990</v>
      </c>
      <c r="G297" s="354">
        <v>3270</v>
      </c>
    </row>
    <row r="298" spans="1:7" s="335" customFormat="1" ht="14.25" customHeight="1">
      <c r="A298" s="346" t="s">
        <v>288</v>
      </c>
      <c r="B298" s="346" t="s">
        <v>2441</v>
      </c>
      <c r="C298" s="346">
        <v>5090</v>
      </c>
      <c r="D298" s="346">
        <v>5050</v>
      </c>
      <c r="E298" s="346">
        <v>5910</v>
      </c>
      <c r="F298" s="346">
        <v>900</v>
      </c>
      <c r="G298" s="354">
        <v>3040</v>
      </c>
    </row>
    <row r="299" spans="1:7" s="335" customFormat="1" ht="14.25" customHeight="1">
      <c r="A299" s="346" t="s">
        <v>288</v>
      </c>
      <c r="B299" s="360" t="s">
        <v>2449</v>
      </c>
      <c r="C299" s="346">
        <v>5430</v>
      </c>
      <c r="D299" s="346">
        <v>5380</v>
      </c>
      <c r="E299" s="346">
        <v>6280</v>
      </c>
      <c r="F299" s="346">
        <v>1000</v>
      </c>
      <c r="G299" s="354">
        <v>3240</v>
      </c>
    </row>
    <row r="300" spans="1:7" s="335" customFormat="1" ht="14.25" customHeight="1">
      <c r="A300" s="346" t="s">
        <v>288</v>
      </c>
      <c r="B300" s="360" t="s">
        <v>2457</v>
      </c>
      <c r="C300" s="346">
        <v>4740</v>
      </c>
      <c r="D300" s="346">
        <v>4680</v>
      </c>
      <c r="E300" s="346">
        <v>5450</v>
      </c>
      <c r="F300" s="346">
        <v>900</v>
      </c>
      <c r="G300" s="354">
        <v>2830</v>
      </c>
    </row>
    <row r="301" spans="1:7" s="335" customFormat="1" ht="14.25" customHeight="1">
      <c r="A301" s="346" t="s">
        <v>288</v>
      </c>
      <c r="B301" s="360" t="s">
        <v>2465</v>
      </c>
      <c r="C301" s="346">
        <v>4870</v>
      </c>
      <c r="D301" s="346">
        <v>4810</v>
      </c>
      <c r="E301" s="346">
        <v>5560</v>
      </c>
      <c r="F301" s="346">
        <v>990</v>
      </c>
      <c r="G301" s="354">
        <v>2910</v>
      </c>
    </row>
    <row r="302" spans="1:7" s="335" customFormat="1" ht="14.25" customHeight="1">
      <c r="A302" s="346" t="s">
        <v>288</v>
      </c>
      <c r="B302" s="346" t="s">
        <v>2472</v>
      </c>
      <c r="C302" s="346">
        <v>5520</v>
      </c>
      <c r="D302" s="346">
        <v>5470</v>
      </c>
      <c r="E302" s="346">
        <v>6410</v>
      </c>
      <c r="F302" s="346">
        <v>950</v>
      </c>
      <c r="G302" s="354">
        <v>3300</v>
      </c>
    </row>
    <row r="303" spans="1:7" s="335" customFormat="1" ht="14.25" customHeight="1">
      <c r="A303" s="346" t="s">
        <v>288</v>
      </c>
      <c r="B303" s="346" t="s">
        <v>2479</v>
      </c>
      <c r="C303" s="346">
        <v>5630</v>
      </c>
      <c r="D303" s="346">
        <v>5590</v>
      </c>
      <c r="E303" s="346">
        <v>6550</v>
      </c>
      <c r="F303" s="346">
        <v>1010</v>
      </c>
      <c r="G303" s="354">
        <v>3370</v>
      </c>
    </row>
    <row r="304" spans="1:7" s="335" customFormat="1" ht="14.25" customHeight="1">
      <c r="A304" s="346" t="s">
        <v>288</v>
      </c>
      <c r="B304" s="346" t="s">
        <v>2486</v>
      </c>
      <c r="C304" s="346">
        <v>5680</v>
      </c>
      <c r="D304" s="346">
        <v>5620</v>
      </c>
      <c r="E304" s="346">
        <v>6620</v>
      </c>
      <c r="F304" s="346">
        <v>1050</v>
      </c>
      <c r="G304" s="354">
        <v>3390</v>
      </c>
    </row>
    <row r="305" spans="1:7" s="335" customFormat="1" ht="14.25" customHeight="1">
      <c r="A305" s="346" t="s">
        <v>288</v>
      </c>
      <c r="B305" s="346" t="s">
        <v>2493</v>
      </c>
      <c r="C305" s="346">
        <v>5590</v>
      </c>
      <c r="D305" s="346">
        <v>5530</v>
      </c>
      <c r="E305" s="346">
        <v>6460</v>
      </c>
      <c r="F305" s="346">
        <v>900</v>
      </c>
      <c r="G305" s="354">
        <v>3340</v>
      </c>
    </row>
    <row r="306" spans="1:7" s="335" customFormat="1" ht="14.25" customHeight="1">
      <c r="A306" s="346" t="s">
        <v>288</v>
      </c>
      <c r="B306" s="346" t="s">
        <v>2500</v>
      </c>
      <c r="C306" s="346">
        <v>5560</v>
      </c>
      <c r="D306" s="346">
        <v>5510</v>
      </c>
      <c r="E306" s="346">
        <v>6440</v>
      </c>
      <c r="F306" s="346">
        <v>900</v>
      </c>
      <c r="G306" s="354">
        <v>3320</v>
      </c>
    </row>
    <row r="307" spans="1:7" s="335" customFormat="1" ht="14.25" customHeight="1">
      <c r="A307" s="346" t="s">
        <v>288</v>
      </c>
      <c r="B307" s="346" t="s">
        <v>2507</v>
      </c>
      <c r="C307" s="346">
        <v>5650</v>
      </c>
      <c r="D307" s="346">
        <v>5600</v>
      </c>
      <c r="E307" s="346">
        <v>6590</v>
      </c>
      <c r="F307" s="346">
        <v>930</v>
      </c>
      <c r="G307" s="354">
        <v>3380</v>
      </c>
    </row>
    <row r="308" spans="1:7" s="335" customFormat="1" ht="14.25" customHeight="1">
      <c r="A308" s="346" t="s">
        <v>288</v>
      </c>
      <c r="B308" s="346" t="s">
        <v>2514</v>
      </c>
      <c r="C308" s="346">
        <v>5620</v>
      </c>
      <c r="D308" s="346">
        <v>5580</v>
      </c>
      <c r="E308" s="346">
        <v>6540</v>
      </c>
      <c r="F308" s="346">
        <v>910</v>
      </c>
      <c r="G308" s="354">
        <v>3370</v>
      </c>
    </row>
    <row r="309" spans="1:7" s="335" customFormat="1" ht="14.25" customHeight="1">
      <c r="A309" s="346" t="s">
        <v>288</v>
      </c>
      <c r="B309" s="346" t="s">
        <v>2519</v>
      </c>
      <c r="C309" s="346">
        <v>5060</v>
      </c>
      <c r="D309" s="346">
        <v>5020</v>
      </c>
      <c r="E309" s="346">
        <v>6370</v>
      </c>
      <c r="F309" s="346">
        <v>800</v>
      </c>
      <c r="G309" s="354">
        <v>3020</v>
      </c>
    </row>
    <row r="310" spans="1:7" s="335" customFormat="1" ht="14.25" customHeight="1">
      <c r="A310" s="346" t="s">
        <v>288</v>
      </c>
      <c r="B310" s="346" t="s">
        <v>2524</v>
      </c>
      <c r="C310" s="346">
        <v>5150</v>
      </c>
      <c r="D310" s="346">
        <v>5110</v>
      </c>
      <c r="E310" s="346">
        <v>6500</v>
      </c>
      <c r="F310" s="346">
        <v>880</v>
      </c>
      <c r="G310" s="354">
        <v>3080</v>
      </c>
    </row>
    <row r="311" spans="1:7" s="335" customFormat="1" ht="14.25" customHeight="1">
      <c r="A311" s="346" t="s">
        <v>288</v>
      </c>
      <c r="B311" s="346" t="s">
        <v>2529</v>
      </c>
      <c r="C311" s="346">
        <v>4750</v>
      </c>
      <c r="D311" s="346">
        <v>4710</v>
      </c>
      <c r="E311" s="346">
        <v>5510</v>
      </c>
      <c r="F311" s="346">
        <v>880</v>
      </c>
      <c r="G311" s="354">
        <v>2840</v>
      </c>
    </row>
    <row r="312" spans="1:7" s="335" customFormat="1" ht="14.25" customHeight="1">
      <c r="A312" s="346" t="s">
        <v>288</v>
      </c>
      <c r="B312" s="346" t="s">
        <v>2534</v>
      </c>
      <c r="C312" s="346">
        <v>4690</v>
      </c>
      <c r="D312" s="346">
        <v>4640</v>
      </c>
      <c r="E312" s="346">
        <v>5420</v>
      </c>
      <c r="F312" s="346">
        <v>800</v>
      </c>
      <c r="G312" s="354">
        <v>2800</v>
      </c>
    </row>
    <row r="313" spans="1:7" s="335" customFormat="1" ht="14.25" customHeight="1">
      <c r="A313" s="346" t="s">
        <v>288</v>
      </c>
      <c r="B313" s="346" t="s">
        <v>2539</v>
      </c>
      <c r="C313" s="346">
        <v>4810</v>
      </c>
      <c r="D313" s="346">
        <v>4760</v>
      </c>
      <c r="E313" s="346">
        <v>5550</v>
      </c>
      <c r="F313" s="346">
        <v>920</v>
      </c>
      <c r="G313" s="354">
        <v>2870</v>
      </c>
    </row>
    <row r="314" spans="1:7" s="335" customFormat="1" ht="14.25" customHeight="1">
      <c r="A314" s="346" t="s">
        <v>288</v>
      </c>
      <c r="B314" s="346" t="s">
        <v>2544</v>
      </c>
      <c r="C314" s="346"/>
      <c r="D314" s="346"/>
      <c r="E314" s="346"/>
      <c r="F314" s="346">
        <v>1020</v>
      </c>
      <c r="G314" s="354"/>
    </row>
    <row r="315" spans="1:7" s="335" customFormat="1" ht="14.25" customHeight="1">
      <c r="A315" s="346" t="s">
        <v>288</v>
      </c>
      <c r="B315" s="346" t="s">
        <v>2549</v>
      </c>
      <c r="C315" s="346"/>
      <c r="D315" s="346"/>
      <c r="E315" s="346"/>
      <c r="F315" s="346">
        <v>1050</v>
      </c>
      <c r="G315" s="354"/>
    </row>
    <row r="316" spans="1:7" s="335" customFormat="1" ht="14.25" customHeight="1">
      <c r="A316" s="346" t="s">
        <v>288</v>
      </c>
      <c r="B316" s="346" t="s">
        <v>2554</v>
      </c>
      <c r="C316" s="346"/>
      <c r="D316" s="346"/>
      <c r="E316" s="346"/>
      <c r="F316" s="346">
        <v>900</v>
      </c>
      <c r="G316" s="354"/>
    </row>
    <row r="317" spans="1:7" s="335" customFormat="1" ht="14.25" customHeight="1">
      <c r="A317" s="346" t="s">
        <v>288</v>
      </c>
      <c r="B317" s="346" t="s">
        <v>2558</v>
      </c>
      <c r="C317" s="346"/>
      <c r="D317" s="346"/>
      <c r="E317" s="346"/>
      <c r="F317" s="346">
        <v>920</v>
      </c>
      <c r="G317" s="354"/>
    </row>
    <row r="318" spans="1:7" s="335" customFormat="1" ht="14.25" customHeight="1">
      <c r="A318" s="346" t="s">
        <v>288</v>
      </c>
      <c r="B318" s="346" t="s">
        <v>2562</v>
      </c>
      <c r="C318" s="346"/>
      <c r="D318" s="346"/>
      <c r="E318" s="346"/>
      <c r="F318" s="346">
        <v>1080</v>
      </c>
      <c r="G318" s="354"/>
    </row>
    <row r="319" spans="1:7" s="335" customFormat="1" ht="14.25" customHeight="1">
      <c r="A319" s="346" t="s">
        <v>288</v>
      </c>
      <c r="B319" s="346" t="s">
        <v>2566</v>
      </c>
      <c r="C319" s="346"/>
      <c r="D319" s="346"/>
      <c r="E319" s="346"/>
      <c r="F319" s="346">
        <v>1020</v>
      </c>
      <c r="G319" s="354"/>
    </row>
    <row r="320" spans="1:7" s="335" customFormat="1" ht="14.25" customHeight="1">
      <c r="A320" s="346" t="s">
        <v>288</v>
      </c>
      <c r="B320" s="346" t="s">
        <v>2569</v>
      </c>
      <c r="C320" s="346"/>
      <c r="D320" s="346"/>
      <c r="E320" s="346"/>
      <c r="F320" s="346">
        <v>1050</v>
      </c>
      <c r="G320" s="354"/>
    </row>
    <row r="321" spans="1:7" s="335" customFormat="1" ht="14.25" customHeight="1">
      <c r="A321" s="346" t="s">
        <v>288</v>
      </c>
      <c r="B321" s="346" t="s">
        <v>2571</v>
      </c>
      <c r="C321" s="346"/>
      <c r="D321" s="346"/>
      <c r="E321" s="346"/>
      <c r="F321" s="346">
        <v>960</v>
      </c>
      <c r="G321" s="354"/>
    </row>
    <row r="322" spans="1:7" s="335" customFormat="1" ht="14.25" customHeight="1">
      <c r="A322" s="346" t="s">
        <v>288</v>
      </c>
      <c r="B322" s="346" t="s">
        <v>2573</v>
      </c>
      <c r="C322" s="346"/>
      <c r="D322" s="346"/>
      <c r="E322" s="346"/>
      <c r="F322" s="346">
        <v>960</v>
      </c>
      <c r="G322" s="354"/>
    </row>
    <row r="323" spans="1:7" s="335" customFormat="1" ht="14.25" customHeight="1">
      <c r="A323" s="346" t="s">
        <v>288</v>
      </c>
      <c r="B323" s="346" t="s">
        <v>2575</v>
      </c>
      <c r="C323" s="346"/>
      <c r="D323" s="346"/>
      <c r="E323" s="346"/>
      <c r="F323" s="346">
        <v>880</v>
      </c>
      <c r="G323" s="354"/>
    </row>
    <row r="324" spans="1:7" s="335" customFormat="1" ht="14.25" customHeight="1">
      <c r="A324" s="346" t="s">
        <v>288</v>
      </c>
      <c r="B324" s="346" t="s">
        <v>2577</v>
      </c>
      <c r="C324" s="346"/>
      <c r="D324" s="346"/>
      <c r="E324" s="346"/>
      <c r="F324" s="346">
        <v>930</v>
      </c>
      <c r="G324" s="354"/>
    </row>
    <row r="325" spans="1:7" s="335" customFormat="1" ht="14.25" customHeight="1">
      <c r="A325" s="346" t="s">
        <v>288</v>
      </c>
      <c r="B325" s="347" t="s">
        <v>2579</v>
      </c>
      <c r="C325" s="346"/>
      <c r="D325" s="346"/>
      <c r="E325" s="346"/>
      <c r="F325" s="346">
        <v>900</v>
      </c>
      <c r="G325" s="354"/>
    </row>
    <row r="326" spans="1:7" s="335" customFormat="1" ht="14.25" customHeight="1">
      <c r="A326" s="355" t="s">
        <v>288</v>
      </c>
      <c r="B326" s="350" t="s">
        <v>2581</v>
      </c>
      <c r="C326" s="350"/>
      <c r="D326" s="350"/>
      <c r="E326" s="350"/>
      <c r="F326" s="350">
        <v>790</v>
      </c>
      <c r="G326" s="356"/>
    </row>
    <row r="327" spans="1:7" s="335" customFormat="1" ht="14.25" customHeight="1">
      <c r="A327" s="344" t="s">
        <v>292</v>
      </c>
      <c r="B327" s="345" t="s">
        <v>2222</v>
      </c>
      <c r="C327" s="346">
        <v>3750</v>
      </c>
      <c r="D327" s="346">
        <v>3710</v>
      </c>
      <c r="E327" s="346">
        <v>4080</v>
      </c>
      <c r="F327" s="346">
        <v>860</v>
      </c>
      <c r="G327" s="346">
        <v>2210</v>
      </c>
    </row>
    <row r="328" spans="1:7" s="335" customFormat="1" ht="14.25" customHeight="1">
      <c r="A328" s="346" t="s">
        <v>292</v>
      </c>
      <c r="B328" s="346" t="s">
        <v>2235</v>
      </c>
      <c r="C328" s="346">
        <v>3330</v>
      </c>
      <c r="D328" s="346">
        <v>3290</v>
      </c>
      <c r="E328" s="346">
        <v>3610</v>
      </c>
      <c r="F328" s="346">
        <v>850</v>
      </c>
      <c r="G328" s="346">
        <v>1960</v>
      </c>
    </row>
    <row r="329" spans="1:7" s="335" customFormat="1" ht="14.25" customHeight="1">
      <c r="A329" s="346" t="s">
        <v>292</v>
      </c>
      <c r="B329" s="346" t="s">
        <v>2249</v>
      </c>
      <c r="C329" s="346">
        <v>2730</v>
      </c>
      <c r="D329" s="346">
        <v>2690</v>
      </c>
      <c r="E329" s="346">
        <v>3100</v>
      </c>
      <c r="F329" s="346">
        <v>660</v>
      </c>
      <c r="G329" s="346">
        <v>1610</v>
      </c>
    </row>
    <row r="330" spans="1:7" s="335" customFormat="1" ht="14.25" customHeight="1">
      <c r="A330" s="346" t="s">
        <v>292</v>
      </c>
      <c r="B330" s="346" t="s">
        <v>2261</v>
      </c>
      <c r="C330" s="346">
        <v>3270</v>
      </c>
      <c r="D330" s="346">
        <v>3240</v>
      </c>
      <c r="E330" s="346">
        <v>3560</v>
      </c>
      <c r="F330" s="346">
        <v>680</v>
      </c>
      <c r="G330" s="346">
        <v>1940</v>
      </c>
    </row>
    <row r="331" spans="1:7" s="335" customFormat="1" ht="14.25" customHeight="1">
      <c r="A331" s="346" t="s">
        <v>292</v>
      </c>
      <c r="B331" s="346" t="s">
        <v>2273</v>
      </c>
      <c r="C331" s="346">
        <v>3770</v>
      </c>
      <c r="D331" s="346">
        <v>3740</v>
      </c>
      <c r="E331" s="346">
        <v>4110</v>
      </c>
      <c r="F331" s="346">
        <v>730</v>
      </c>
      <c r="G331" s="346">
        <v>2230</v>
      </c>
    </row>
    <row r="332" spans="1:7" s="335" customFormat="1" ht="14.25" customHeight="1">
      <c r="A332" s="346" t="s">
        <v>292</v>
      </c>
      <c r="B332" s="346" t="s">
        <v>2284</v>
      </c>
      <c r="C332" s="346">
        <v>3520</v>
      </c>
      <c r="D332" s="346">
        <v>3480</v>
      </c>
      <c r="E332" s="346">
        <v>3830</v>
      </c>
      <c r="F332" s="346">
        <v>720</v>
      </c>
      <c r="G332" s="346">
        <v>2090</v>
      </c>
    </row>
    <row r="333" spans="1:7" s="335" customFormat="1" ht="14.25" customHeight="1">
      <c r="A333" s="346" t="s">
        <v>292</v>
      </c>
      <c r="B333" s="346" t="s">
        <v>2295</v>
      </c>
      <c r="C333" s="346">
        <v>3840</v>
      </c>
      <c r="D333" s="346">
        <v>3800</v>
      </c>
      <c r="E333" s="346">
        <v>4200</v>
      </c>
      <c r="F333" s="346">
        <v>760</v>
      </c>
      <c r="G333" s="346">
        <v>2270</v>
      </c>
    </row>
    <row r="334" spans="1:7" s="335" customFormat="1" ht="14.25" customHeight="1">
      <c r="A334" s="346" t="s">
        <v>292</v>
      </c>
      <c r="B334" s="346" t="s">
        <v>2306</v>
      </c>
      <c r="C334" s="346">
        <v>3960</v>
      </c>
      <c r="D334" s="346">
        <v>3910</v>
      </c>
      <c r="E334" s="346">
        <v>4340</v>
      </c>
      <c r="F334" s="346">
        <v>780</v>
      </c>
      <c r="G334" s="346">
        <v>2340</v>
      </c>
    </row>
    <row r="335" spans="1:7" s="335" customFormat="1" ht="14.25" customHeight="1">
      <c r="A335" s="346" t="s">
        <v>292</v>
      </c>
      <c r="B335" s="346" t="s">
        <v>2316</v>
      </c>
      <c r="C335" s="346">
        <v>3710</v>
      </c>
      <c r="D335" s="346">
        <v>3670</v>
      </c>
      <c r="E335" s="346">
        <v>4030</v>
      </c>
      <c r="F335" s="346">
        <v>750</v>
      </c>
      <c r="G335" s="346">
        <v>2200</v>
      </c>
    </row>
    <row r="336" spans="1:7" s="335" customFormat="1" ht="14.25" customHeight="1">
      <c r="A336" s="346" t="s">
        <v>292</v>
      </c>
      <c r="B336" s="346" t="s">
        <v>2326</v>
      </c>
      <c r="C336" s="346">
        <v>3570</v>
      </c>
      <c r="D336" s="346">
        <v>3530</v>
      </c>
      <c r="E336" s="346">
        <v>3880</v>
      </c>
      <c r="F336" s="346">
        <v>770</v>
      </c>
      <c r="G336" s="346">
        <v>2110</v>
      </c>
    </row>
    <row r="337" spans="1:10" s="335" customFormat="1" ht="14.25" customHeight="1">
      <c r="A337" s="346" t="s">
        <v>292</v>
      </c>
      <c r="B337" s="346" t="s">
        <v>2336</v>
      </c>
      <c r="C337" s="346">
        <v>3780</v>
      </c>
      <c r="D337" s="346">
        <v>3750</v>
      </c>
      <c r="E337" s="346">
        <v>4130</v>
      </c>
      <c r="F337" s="346">
        <v>750</v>
      </c>
      <c r="G337" s="346">
        <v>2240</v>
      </c>
    </row>
    <row r="338" spans="1:10" s="335" customFormat="1" ht="14.25" customHeight="1">
      <c r="A338" s="346" t="s">
        <v>292</v>
      </c>
      <c r="B338" s="346" t="s">
        <v>2345</v>
      </c>
      <c r="C338" s="346">
        <v>3600</v>
      </c>
      <c r="D338" s="346">
        <v>3570</v>
      </c>
      <c r="E338" s="346">
        <v>3920</v>
      </c>
      <c r="F338" s="346">
        <v>790</v>
      </c>
      <c r="G338" s="346">
        <v>2140</v>
      </c>
    </row>
    <row r="339" spans="1:10" s="335" customFormat="1" ht="14.25" customHeight="1">
      <c r="A339" s="346" t="s">
        <v>292</v>
      </c>
      <c r="B339" s="346" t="s">
        <v>2355</v>
      </c>
      <c r="C339" s="346">
        <v>3540</v>
      </c>
      <c r="D339" s="346">
        <v>3500</v>
      </c>
      <c r="E339" s="346">
        <v>3850</v>
      </c>
      <c r="F339" s="346">
        <v>780</v>
      </c>
      <c r="G339" s="346">
        <v>2100</v>
      </c>
    </row>
    <row r="340" spans="1:10" s="335" customFormat="1" ht="14.25" customHeight="1">
      <c r="A340" s="346" t="s">
        <v>292</v>
      </c>
      <c r="B340" s="346" t="s">
        <v>2365</v>
      </c>
      <c r="C340" s="346">
        <v>3850</v>
      </c>
      <c r="D340" s="346">
        <v>3810</v>
      </c>
      <c r="E340" s="346">
        <v>4210</v>
      </c>
      <c r="F340" s="346">
        <v>750</v>
      </c>
      <c r="G340" s="346">
        <v>2280</v>
      </c>
    </row>
    <row r="341" spans="1:10" s="335" customFormat="1" ht="14.25" customHeight="1">
      <c r="A341" s="346" t="s">
        <v>292</v>
      </c>
      <c r="B341" s="346" t="s">
        <v>2375</v>
      </c>
      <c r="C341" s="346">
        <v>3780</v>
      </c>
      <c r="D341" s="346">
        <v>3750</v>
      </c>
      <c r="E341" s="346">
        <v>4140</v>
      </c>
      <c r="F341" s="346">
        <v>720</v>
      </c>
      <c r="G341" s="346">
        <v>2240</v>
      </c>
    </row>
    <row r="342" spans="1:10" s="335" customFormat="1" ht="14.25" customHeight="1">
      <c r="A342" s="346" t="s">
        <v>292</v>
      </c>
      <c r="B342" s="346" t="s">
        <v>2385</v>
      </c>
      <c r="C342" s="346">
        <v>3670</v>
      </c>
      <c r="D342" s="346">
        <v>3620</v>
      </c>
      <c r="E342" s="346">
        <v>3990</v>
      </c>
      <c r="F342" s="346">
        <v>760</v>
      </c>
      <c r="G342" s="346">
        <v>2170</v>
      </c>
    </row>
    <row r="343" spans="1:10" s="335" customFormat="1" ht="14.25" customHeight="1">
      <c r="A343" s="346" t="s">
        <v>292</v>
      </c>
      <c r="B343" s="346" t="s">
        <v>2395</v>
      </c>
      <c r="C343" s="346">
        <v>3760</v>
      </c>
      <c r="D343" s="346">
        <v>3720</v>
      </c>
      <c r="E343" s="346">
        <v>4090</v>
      </c>
      <c r="F343" s="346">
        <v>780</v>
      </c>
      <c r="G343" s="346">
        <v>2220</v>
      </c>
    </row>
    <row r="344" spans="1:10" s="335" customFormat="1" ht="14.25" customHeight="1">
      <c r="A344" s="346" t="s">
        <v>292</v>
      </c>
      <c r="B344" s="346" t="s">
        <v>2405</v>
      </c>
      <c r="C344" s="346">
        <v>3680</v>
      </c>
      <c r="D344" s="346">
        <v>3640</v>
      </c>
      <c r="E344" s="346">
        <v>4010</v>
      </c>
      <c r="F344" s="346">
        <v>750</v>
      </c>
      <c r="G344" s="346">
        <v>2180</v>
      </c>
    </row>
    <row r="345" spans="1:10">
      <c r="A345" s="346" t="s">
        <v>292</v>
      </c>
      <c r="B345" s="346" t="s">
        <v>2415</v>
      </c>
      <c r="C345" s="346">
        <v>3190</v>
      </c>
      <c r="D345" s="346">
        <v>3140</v>
      </c>
      <c r="E345" s="346">
        <v>3450</v>
      </c>
      <c r="F345" s="346">
        <v>720</v>
      </c>
      <c r="G345" s="346">
        <v>1880</v>
      </c>
      <c r="J345" s="335"/>
    </row>
    <row r="346" spans="1:10">
      <c r="A346" s="346" t="s">
        <v>292</v>
      </c>
      <c r="B346" s="346" t="s">
        <v>2425</v>
      </c>
      <c r="C346" s="346">
        <v>3630</v>
      </c>
      <c r="D346" s="346">
        <v>3590</v>
      </c>
      <c r="E346" s="346">
        <v>3940</v>
      </c>
      <c r="F346" s="346">
        <v>730</v>
      </c>
      <c r="G346" s="346">
        <v>2150</v>
      </c>
      <c r="J346" s="335"/>
    </row>
    <row r="347" spans="1:10">
      <c r="A347" s="346" t="s">
        <v>292</v>
      </c>
      <c r="B347" s="346" t="s">
        <v>2434</v>
      </c>
      <c r="C347" s="346">
        <v>3860</v>
      </c>
      <c r="D347" s="346">
        <v>3820</v>
      </c>
      <c r="E347" s="346">
        <v>4220</v>
      </c>
      <c r="F347" s="346">
        <v>750</v>
      </c>
      <c r="G347" s="346">
        <v>2280</v>
      </c>
      <c r="J347" s="335"/>
    </row>
    <row r="348" spans="1:10">
      <c r="A348" s="346" t="s">
        <v>292</v>
      </c>
      <c r="B348" s="346" t="s">
        <v>2442</v>
      </c>
      <c r="C348" s="346">
        <v>4000</v>
      </c>
      <c r="D348" s="346">
        <v>3950</v>
      </c>
      <c r="E348" s="346">
        <v>4430</v>
      </c>
      <c r="F348" s="346">
        <v>760</v>
      </c>
      <c r="G348" s="346">
        <v>2360</v>
      </c>
      <c r="J348" s="335"/>
    </row>
    <row r="349" spans="1:10">
      <c r="A349" s="346" t="s">
        <v>292</v>
      </c>
      <c r="B349" s="346" t="s">
        <v>2450</v>
      </c>
      <c r="C349" s="346">
        <v>3820</v>
      </c>
      <c r="D349" s="346">
        <v>3780</v>
      </c>
      <c r="E349" s="346">
        <v>4170</v>
      </c>
      <c r="F349" s="346">
        <v>710</v>
      </c>
      <c r="G349" s="346">
        <v>2260</v>
      </c>
      <c r="J349" s="335"/>
    </row>
    <row r="350" spans="1:10">
      <c r="A350" s="346" t="s">
        <v>292</v>
      </c>
      <c r="B350" s="346" t="s">
        <v>2458</v>
      </c>
      <c r="C350" s="346">
        <v>3760</v>
      </c>
      <c r="D350" s="346">
        <v>3730</v>
      </c>
      <c r="E350" s="346">
        <v>4100</v>
      </c>
      <c r="F350" s="346">
        <v>800</v>
      </c>
      <c r="G350" s="346">
        <v>2230</v>
      </c>
      <c r="J350" s="335"/>
    </row>
    <row r="351" spans="1:10">
      <c r="A351" s="346" t="s">
        <v>292</v>
      </c>
      <c r="B351" s="346" t="s">
        <v>2466</v>
      </c>
      <c r="C351" s="346">
        <v>3610</v>
      </c>
      <c r="D351" s="346">
        <v>3580</v>
      </c>
      <c r="E351" s="346">
        <v>3930</v>
      </c>
      <c r="F351" s="346">
        <v>700</v>
      </c>
      <c r="G351" s="346">
        <v>2140</v>
      </c>
      <c r="J351" s="335"/>
    </row>
    <row r="352" spans="1:10">
      <c r="A352" s="346" t="s">
        <v>292</v>
      </c>
      <c r="B352" s="346" t="s">
        <v>2473</v>
      </c>
      <c r="C352" s="346">
        <v>3670</v>
      </c>
      <c r="D352" s="346">
        <v>3630</v>
      </c>
      <c r="E352" s="346">
        <v>4000</v>
      </c>
      <c r="F352" s="346">
        <v>750</v>
      </c>
      <c r="G352" s="346">
        <v>2180</v>
      </c>
    </row>
    <row r="353" spans="1:7" s="336" customFormat="1">
      <c r="A353" s="346" t="s">
        <v>292</v>
      </c>
      <c r="B353" s="346" t="s">
        <v>2480</v>
      </c>
      <c r="C353" s="346">
        <v>3190</v>
      </c>
      <c r="D353" s="346">
        <v>3150</v>
      </c>
      <c r="E353" s="346">
        <v>3640</v>
      </c>
      <c r="F353" s="346">
        <v>630</v>
      </c>
      <c r="G353" s="346">
        <v>1890</v>
      </c>
    </row>
    <row r="354" spans="1:7" s="336" customFormat="1">
      <c r="A354" s="346" t="s">
        <v>292</v>
      </c>
      <c r="B354" s="346" t="s">
        <v>2487</v>
      </c>
      <c r="C354" s="346">
        <v>3450</v>
      </c>
      <c r="D354" s="346">
        <v>3420</v>
      </c>
      <c r="E354" s="346">
        <v>3960</v>
      </c>
      <c r="F354" s="346">
        <v>660</v>
      </c>
      <c r="G354" s="346">
        <v>2050</v>
      </c>
    </row>
    <row r="355" spans="1:7" s="336" customFormat="1">
      <c r="A355" s="346" t="s">
        <v>292</v>
      </c>
      <c r="B355" s="346" t="s">
        <v>2494</v>
      </c>
      <c r="C355" s="346">
        <v>3650</v>
      </c>
      <c r="D355" s="346">
        <v>3610</v>
      </c>
      <c r="E355" s="346">
        <v>4200</v>
      </c>
      <c r="F355" s="346">
        <v>640</v>
      </c>
      <c r="G355" s="346">
        <v>2160</v>
      </c>
    </row>
    <row r="356" spans="1:7" s="336" customFormat="1">
      <c r="A356" s="346" t="s">
        <v>292</v>
      </c>
      <c r="B356" s="346" t="s">
        <v>2501</v>
      </c>
      <c r="C356" s="346">
        <v>3260</v>
      </c>
      <c r="D356" s="346">
        <v>3230</v>
      </c>
      <c r="E356" s="346">
        <v>3740</v>
      </c>
      <c r="F356" s="346">
        <v>600</v>
      </c>
      <c r="G356" s="346">
        <v>1930</v>
      </c>
    </row>
    <row r="357" spans="1:7" s="336" customFormat="1">
      <c r="A357" s="348" t="s">
        <v>292</v>
      </c>
      <c r="B357" s="352" t="s">
        <v>2508</v>
      </c>
      <c r="C357" s="352">
        <v>3690</v>
      </c>
      <c r="D357" s="352">
        <v>3650</v>
      </c>
      <c r="E357" s="352">
        <v>4020</v>
      </c>
      <c r="F357" s="352">
        <v>700</v>
      </c>
      <c r="G357" s="352">
        <v>2190</v>
      </c>
    </row>
    <row r="358" spans="1:7" s="336" customFormat="1">
      <c r="A358" s="344" t="s">
        <v>296</v>
      </c>
      <c r="B358" s="345" t="s">
        <v>2223</v>
      </c>
      <c r="C358" s="345">
        <v>2080</v>
      </c>
      <c r="D358" s="345">
        <v>2040</v>
      </c>
      <c r="E358" s="345">
        <v>2010</v>
      </c>
      <c r="F358" s="345">
        <v>530</v>
      </c>
      <c r="G358" s="353">
        <v>1230</v>
      </c>
    </row>
    <row r="359" spans="1:7" s="336" customFormat="1">
      <c r="A359" s="346" t="s">
        <v>296</v>
      </c>
      <c r="B359" s="346" t="s">
        <v>2236</v>
      </c>
      <c r="C359" s="346">
        <v>1850</v>
      </c>
      <c r="D359" s="346">
        <v>1820</v>
      </c>
      <c r="E359" s="346">
        <v>1780</v>
      </c>
      <c r="F359" s="346">
        <v>520</v>
      </c>
      <c r="G359" s="354">
        <v>1100</v>
      </c>
    </row>
    <row r="360" spans="1:7" s="336" customFormat="1">
      <c r="A360" s="346" t="s">
        <v>296</v>
      </c>
      <c r="B360" s="346" t="s">
        <v>2250</v>
      </c>
      <c r="C360" s="346">
        <v>2020</v>
      </c>
      <c r="D360" s="346">
        <v>1990</v>
      </c>
      <c r="E360" s="346">
        <v>1950</v>
      </c>
      <c r="F360" s="346">
        <v>500</v>
      </c>
      <c r="G360" s="354">
        <v>1200</v>
      </c>
    </row>
    <row r="361" spans="1:7" s="336" customFormat="1">
      <c r="A361" s="346" t="s">
        <v>296</v>
      </c>
      <c r="B361" s="346" t="s">
        <v>2262</v>
      </c>
      <c r="C361" s="346">
        <v>2260</v>
      </c>
      <c r="D361" s="346">
        <v>2220</v>
      </c>
      <c r="E361" s="346">
        <v>2180</v>
      </c>
      <c r="F361" s="346">
        <v>580</v>
      </c>
      <c r="G361" s="354">
        <v>1340</v>
      </c>
    </row>
    <row r="362" spans="1:7" s="336" customFormat="1">
      <c r="A362" s="346" t="s">
        <v>296</v>
      </c>
      <c r="B362" s="346" t="s">
        <v>2274</v>
      </c>
      <c r="C362" s="346">
        <v>2650</v>
      </c>
      <c r="D362" s="346">
        <v>2610</v>
      </c>
      <c r="E362" s="346">
        <v>2570</v>
      </c>
      <c r="F362" s="346">
        <v>630</v>
      </c>
      <c r="G362" s="354">
        <v>1570</v>
      </c>
    </row>
    <row r="363" spans="1:7" s="336" customFormat="1">
      <c r="A363" s="346" t="s">
        <v>296</v>
      </c>
      <c r="B363" s="346" t="s">
        <v>2285</v>
      </c>
      <c r="C363" s="346">
        <v>2390</v>
      </c>
      <c r="D363" s="346">
        <v>2360</v>
      </c>
      <c r="E363" s="346">
        <v>2320</v>
      </c>
      <c r="F363" s="346">
        <v>600</v>
      </c>
      <c r="G363" s="354">
        <v>1420</v>
      </c>
    </row>
    <row r="364" spans="1:7" s="336" customFormat="1">
      <c r="A364" s="346" t="s">
        <v>296</v>
      </c>
      <c r="B364" s="346" t="s">
        <v>2296</v>
      </c>
      <c r="C364" s="346">
        <v>2050</v>
      </c>
      <c r="D364" s="346">
        <v>2030</v>
      </c>
      <c r="E364" s="346">
        <v>1990</v>
      </c>
      <c r="F364" s="346">
        <v>550</v>
      </c>
      <c r="G364" s="354">
        <v>1220</v>
      </c>
    </row>
    <row r="365" spans="1:7" s="336" customFormat="1">
      <c r="A365" s="346" t="s">
        <v>296</v>
      </c>
      <c r="B365" s="346" t="s">
        <v>2307</v>
      </c>
      <c r="C365" s="346">
        <v>2140</v>
      </c>
      <c r="D365" s="346">
        <v>2100</v>
      </c>
      <c r="E365" s="346">
        <v>2060</v>
      </c>
      <c r="F365" s="346">
        <v>540</v>
      </c>
      <c r="G365" s="354">
        <v>1270</v>
      </c>
    </row>
    <row r="366" spans="1:7" s="336" customFormat="1">
      <c r="A366" s="346" t="s">
        <v>296</v>
      </c>
      <c r="B366" s="346" t="s">
        <v>2317</v>
      </c>
      <c r="C366" s="346">
        <v>2410</v>
      </c>
      <c r="D366" s="346">
        <v>2370</v>
      </c>
      <c r="E366" s="346">
        <v>2330</v>
      </c>
      <c r="F366" s="346">
        <v>570</v>
      </c>
      <c r="G366" s="354">
        <v>1440</v>
      </c>
    </row>
    <row r="367" spans="1:7" s="336" customFormat="1">
      <c r="A367" s="346" t="s">
        <v>296</v>
      </c>
      <c r="B367" s="346" t="s">
        <v>2327</v>
      </c>
      <c r="C367" s="346">
        <v>2300</v>
      </c>
      <c r="D367" s="346">
        <v>2260</v>
      </c>
      <c r="E367" s="346">
        <v>2220</v>
      </c>
      <c r="F367" s="346">
        <v>560</v>
      </c>
      <c r="G367" s="354">
        <v>1370</v>
      </c>
    </row>
    <row r="368" spans="1:7" s="336" customFormat="1">
      <c r="A368" s="346" t="s">
        <v>296</v>
      </c>
      <c r="B368" s="346" t="s">
        <v>2337</v>
      </c>
      <c r="C368" s="346">
        <v>2430</v>
      </c>
      <c r="D368" s="346">
        <v>2390</v>
      </c>
      <c r="E368" s="346">
        <v>2350</v>
      </c>
      <c r="F368" s="346">
        <v>570</v>
      </c>
      <c r="G368" s="354">
        <v>1450</v>
      </c>
    </row>
    <row r="369" spans="1:7" s="336" customFormat="1">
      <c r="A369" s="346" t="s">
        <v>296</v>
      </c>
      <c r="B369" s="346" t="s">
        <v>2346</v>
      </c>
      <c r="C369" s="346">
        <v>2320</v>
      </c>
      <c r="D369" s="346">
        <v>2290</v>
      </c>
      <c r="E369" s="346">
        <v>2250</v>
      </c>
      <c r="F369" s="346">
        <v>550</v>
      </c>
      <c r="G369" s="354">
        <v>1380</v>
      </c>
    </row>
    <row r="370" spans="1:7" s="336" customFormat="1">
      <c r="A370" s="346" t="s">
        <v>296</v>
      </c>
      <c r="B370" s="346" t="s">
        <v>2356</v>
      </c>
      <c r="C370" s="346">
        <v>2190</v>
      </c>
      <c r="D370" s="346">
        <v>2170</v>
      </c>
      <c r="E370" s="346">
        <v>2130</v>
      </c>
      <c r="F370" s="346">
        <v>530</v>
      </c>
      <c r="G370" s="354">
        <v>1310</v>
      </c>
    </row>
    <row r="371" spans="1:7" s="336" customFormat="1">
      <c r="A371" s="346" t="s">
        <v>296</v>
      </c>
      <c r="B371" s="346" t="s">
        <v>2366</v>
      </c>
      <c r="C371" s="346">
        <v>2460</v>
      </c>
      <c r="D371" s="346">
        <v>2420</v>
      </c>
      <c r="E371" s="346">
        <v>2370</v>
      </c>
      <c r="F371" s="346">
        <v>560</v>
      </c>
      <c r="G371" s="354">
        <v>1470</v>
      </c>
    </row>
    <row r="372" spans="1:7" s="336" customFormat="1">
      <c r="A372" s="346" t="s">
        <v>296</v>
      </c>
      <c r="B372" s="346" t="s">
        <v>2376</v>
      </c>
      <c r="C372" s="346">
        <v>2250</v>
      </c>
      <c r="D372" s="346">
        <v>2210</v>
      </c>
      <c r="E372" s="346">
        <v>2180</v>
      </c>
      <c r="F372" s="346">
        <v>550</v>
      </c>
      <c r="G372" s="354">
        <v>1340</v>
      </c>
    </row>
    <row r="373" spans="1:7" s="336" customFormat="1">
      <c r="A373" s="346" t="s">
        <v>296</v>
      </c>
      <c r="B373" s="346" t="s">
        <v>2386</v>
      </c>
      <c r="C373" s="346">
        <v>2210</v>
      </c>
      <c r="D373" s="346">
        <v>2190</v>
      </c>
      <c r="E373" s="346">
        <v>2150</v>
      </c>
      <c r="F373" s="346">
        <v>530</v>
      </c>
      <c r="G373" s="354">
        <v>1320</v>
      </c>
    </row>
    <row r="374" spans="1:7" s="336" customFormat="1">
      <c r="A374" s="346" t="s">
        <v>296</v>
      </c>
      <c r="B374" s="346" t="s">
        <v>2396</v>
      </c>
      <c r="C374" s="346">
        <v>2320</v>
      </c>
      <c r="D374" s="346">
        <v>2280</v>
      </c>
      <c r="E374" s="346">
        <v>2230</v>
      </c>
      <c r="F374" s="346">
        <v>580</v>
      </c>
      <c r="G374" s="354">
        <v>1380</v>
      </c>
    </row>
    <row r="375" spans="1:7" s="336" customFormat="1">
      <c r="A375" s="346" t="s">
        <v>296</v>
      </c>
      <c r="B375" s="346" t="s">
        <v>2406</v>
      </c>
      <c r="C375" s="346">
        <v>2090</v>
      </c>
      <c r="D375" s="346">
        <v>2050</v>
      </c>
      <c r="E375" s="346">
        <v>2020</v>
      </c>
      <c r="F375" s="346">
        <v>520</v>
      </c>
      <c r="G375" s="354">
        <v>1240</v>
      </c>
    </row>
    <row r="376" spans="1:7" s="336" customFormat="1">
      <c r="A376" s="346" t="s">
        <v>296</v>
      </c>
      <c r="B376" s="346" t="s">
        <v>2416</v>
      </c>
      <c r="C376" s="346">
        <v>2010</v>
      </c>
      <c r="D376" s="346">
        <v>1980</v>
      </c>
      <c r="E376" s="346">
        <v>1940</v>
      </c>
      <c r="F376" s="346">
        <v>540</v>
      </c>
      <c r="G376" s="354">
        <v>1190</v>
      </c>
    </row>
    <row r="377" spans="1:7" s="336" customFormat="1">
      <c r="A377" s="348" t="s">
        <v>296</v>
      </c>
      <c r="B377" s="352" t="s">
        <v>2426</v>
      </c>
      <c r="C377" s="352">
        <v>1930</v>
      </c>
      <c r="D377" s="352">
        <v>1890</v>
      </c>
      <c r="E377" s="352">
        <v>1860</v>
      </c>
      <c r="F377" s="352">
        <v>530</v>
      </c>
      <c r="G377" s="361">
        <v>1150</v>
      </c>
    </row>
    <row r="378" spans="1:7" s="336" customFormat="1">
      <c r="A378" s="362" t="s">
        <v>300</v>
      </c>
      <c r="B378" s="345" t="s">
        <v>2224</v>
      </c>
      <c r="C378" s="345">
        <v>1520</v>
      </c>
      <c r="D378" s="345">
        <v>1490</v>
      </c>
      <c r="E378" s="345">
        <v>1460</v>
      </c>
      <c r="F378" s="345">
        <v>460</v>
      </c>
      <c r="G378" s="353">
        <v>940</v>
      </c>
    </row>
    <row r="379" spans="1:7" s="336" customFormat="1">
      <c r="A379" s="363" t="s">
        <v>300</v>
      </c>
      <c r="B379" s="346" t="s">
        <v>2237</v>
      </c>
      <c r="C379" s="346">
        <v>1500</v>
      </c>
      <c r="D379" s="346">
        <v>1470</v>
      </c>
      <c r="E379" s="346">
        <v>1430</v>
      </c>
      <c r="F379" s="346">
        <v>460</v>
      </c>
      <c r="G379" s="354">
        <v>920</v>
      </c>
    </row>
    <row r="380" spans="1:7" s="336" customFormat="1">
      <c r="A380" s="363" t="s">
        <v>300</v>
      </c>
      <c r="B380" s="346" t="s">
        <v>2251</v>
      </c>
      <c r="C380" s="346">
        <v>1620</v>
      </c>
      <c r="D380" s="346">
        <v>1590</v>
      </c>
      <c r="E380" s="346">
        <v>1560</v>
      </c>
      <c r="F380" s="346">
        <v>480</v>
      </c>
      <c r="G380" s="354">
        <v>1000</v>
      </c>
    </row>
    <row r="381" spans="1:7" s="336" customFormat="1">
      <c r="A381" s="363" t="s">
        <v>300</v>
      </c>
      <c r="B381" s="346" t="s">
        <v>2263</v>
      </c>
      <c r="C381" s="346">
        <v>1460</v>
      </c>
      <c r="D381" s="346">
        <v>1430</v>
      </c>
      <c r="E381" s="346">
        <v>1390</v>
      </c>
      <c r="F381" s="346">
        <v>450</v>
      </c>
      <c r="G381" s="354">
        <v>900</v>
      </c>
    </row>
    <row r="382" spans="1:7" s="336" customFormat="1">
      <c r="A382" s="363" t="s">
        <v>300</v>
      </c>
      <c r="B382" s="346" t="s">
        <v>2275</v>
      </c>
      <c r="C382" s="346">
        <v>1310</v>
      </c>
      <c r="D382" s="346">
        <v>1280</v>
      </c>
      <c r="E382" s="346">
        <v>1250</v>
      </c>
      <c r="F382" s="346">
        <v>440</v>
      </c>
      <c r="G382" s="354">
        <v>800</v>
      </c>
    </row>
    <row r="383" spans="1:7" s="336" customFormat="1">
      <c r="A383" s="363" t="s">
        <v>300</v>
      </c>
      <c r="B383" s="346" t="s">
        <v>2286</v>
      </c>
      <c r="C383" s="346">
        <v>1260</v>
      </c>
      <c r="D383" s="346">
        <v>1230</v>
      </c>
      <c r="E383" s="346">
        <v>1200</v>
      </c>
      <c r="F383" s="346">
        <v>420</v>
      </c>
      <c r="G383" s="354">
        <v>770</v>
      </c>
    </row>
    <row r="384" spans="1:7" s="336" customFormat="1">
      <c r="A384" s="364" t="s">
        <v>300</v>
      </c>
      <c r="B384" s="350" t="s">
        <v>2297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2595</v>
      </c>
      <c r="B1" s="3756"/>
    </row>
    <row r="2" spans="1:7">
      <c r="A2" s="300"/>
      <c r="B2" s="300"/>
    </row>
    <row r="3" spans="1:7">
      <c r="A3" s="300"/>
      <c r="B3" s="300"/>
      <c r="C3" s="301" t="s">
        <v>1888</v>
      </c>
      <c r="D3" s="301" t="s">
        <v>1889</v>
      </c>
      <c r="E3" s="301" t="s">
        <v>412</v>
      </c>
      <c r="F3" s="301" t="s">
        <v>408</v>
      </c>
      <c r="G3" s="301" t="s">
        <v>280</v>
      </c>
    </row>
    <row r="4" spans="1:7">
      <c r="A4" s="302" t="s">
        <v>2225</v>
      </c>
      <c r="B4" s="303" t="s">
        <v>2238</v>
      </c>
      <c r="C4" s="301"/>
      <c r="D4" s="301"/>
      <c r="E4" s="301"/>
      <c r="F4" s="301"/>
      <c r="G4" s="301"/>
    </row>
    <row r="5" spans="1:7">
      <c r="A5" s="304" t="s">
        <v>230</v>
      </c>
      <c r="B5" s="305" t="s">
        <v>2213</v>
      </c>
      <c r="C5" s="306">
        <v>9.8000000000000004E-2</v>
      </c>
      <c r="D5" s="306">
        <v>8.6999999999999994E-2</v>
      </c>
      <c r="E5" s="306">
        <v>8.6999999999999994E-2</v>
      </c>
      <c r="F5" s="306">
        <v>9.8000000000000004E-2</v>
      </c>
      <c r="G5" s="307">
        <v>9.5000000000000001E-2</v>
      </c>
    </row>
    <row r="6" spans="1:7">
      <c r="A6" s="308" t="s">
        <v>230</v>
      </c>
      <c r="B6" s="309" t="s">
        <v>2226</v>
      </c>
      <c r="C6" s="310">
        <v>9.8000000000000004E-2</v>
      </c>
      <c r="D6" s="310">
        <v>9.8000000000000004E-2</v>
      </c>
      <c r="E6" s="310">
        <v>9.8000000000000004E-2</v>
      </c>
      <c r="F6" s="310">
        <v>0.1</v>
      </c>
      <c r="G6" s="311">
        <v>9.9000000000000005E-2</v>
      </c>
    </row>
    <row r="7" spans="1:7">
      <c r="A7" s="308" t="s">
        <v>230</v>
      </c>
      <c r="B7" s="309" t="s">
        <v>2240</v>
      </c>
      <c r="C7" s="310">
        <v>9.7000000000000003E-2</v>
      </c>
      <c r="D7" s="310">
        <v>9.7000000000000003E-2</v>
      </c>
      <c r="E7" s="310">
        <v>9.6000000000000002E-2</v>
      </c>
      <c r="F7" s="310">
        <v>0.1</v>
      </c>
      <c r="G7" s="311">
        <v>9.8000000000000004E-2</v>
      </c>
    </row>
    <row r="8" spans="1:7">
      <c r="A8" s="308" t="s">
        <v>230</v>
      </c>
      <c r="B8" s="309" t="s">
        <v>2252</v>
      </c>
      <c r="C8" s="310">
        <v>8.1000000000000003E-2</v>
      </c>
      <c r="D8" s="310">
        <v>8.2000000000000003E-2</v>
      </c>
      <c r="E8" s="310">
        <v>7.0000000000000007E-2</v>
      </c>
      <c r="F8" s="310">
        <v>9.6000000000000002E-2</v>
      </c>
      <c r="G8" s="311">
        <v>8.8999999999999996E-2</v>
      </c>
    </row>
    <row r="9" spans="1:7">
      <c r="A9" s="312" t="s">
        <v>230</v>
      </c>
      <c r="B9" s="313" t="s">
        <v>2264</v>
      </c>
      <c r="C9" s="314">
        <v>0.1</v>
      </c>
      <c r="D9" s="314">
        <v>0.1</v>
      </c>
      <c r="E9" s="314">
        <v>0.1</v>
      </c>
      <c r="F9" s="315"/>
      <c r="G9" s="316">
        <v>0.1</v>
      </c>
    </row>
    <row r="10" spans="1:7">
      <c r="A10" s="304" t="s">
        <v>241</v>
      </c>
      <c r="B10" s="305" t="s">
        <v>2214</v>
      </c>
      <c r="C10" s="306">
        <v>6.7000000000000004E-2</v>
      </c>
      <c r="D10" s="306">
        <v>7.9000000000000001E-2</v>
      </c>
      <c r="E10" s="306">
        <v>7.9000000000000001E-2</v>
      </c>
      <c r="F10" s="306">
        <v>0.1</v>
      </c>
      <c r="G10" s="307">
        <v>9.0999999999999998E-2</v>
      </c>
    </row>
    <row r="11" spans="1:7">
      <c r="A11" s="308" t="s">
        <v>241</v>
      </c>
      <c r="B11" s="309" t="s">
        <v>2227</v>
      </c>
      <c r="C11" s="310">
        <v>0.05</v>
      </c>
      <c r="D11" s="310">
        <v>5.2999999999999999E-2</v>
      </c>
      <c r="E11" s="310">
        <v>6.3E-2</v>
      </c>
      <c r="F11" s="310">
        <v>0.1</v>
      </c>
      <c r="G11" s="311">
        <v>7.1999999999999995E-2</v>
      </c>
    </row>
    <row r="12" spans="1:7">
      <c r="A12" s="308" t="s">
        <v>241</v>
      </c>
      <c r="B12" s="309" t="s">
        <v>2241</v>
      </c>
      <c r="C12" s="310">
        <v>5.2999999999999999E-2</v>
      </c>
      <c r="D12" s="310">
        <v>0.09</v>
      </c>
      <c r="E12" s="310">
        <v>7.1999999999999995E-2</v>
      </c>
      <c r="F12" s="310">
        <v>0.1</v>
      </c>
      <c r="G12" s="311">
        <v>9.7000000000000003E-2</v>
      </c>
    </row>
    <row r="13" spans="1:7">
      <c r="A13" s="308" t="s">
        <v>241</v>
      </c>
      <c r="B13" s="309" t="s">
        <v>2253</v>
      </c>
      <c r="C13" s="310">
        <v>9.7000000000000003E-2</v>
      </c>
      <c r="D13" s="310">
        <v>9.1999999999999998E-2</v>
      </c>
      <c r="E13" s="310">
        <v>9.5000000000000001E-2</v>
      </c>
      <c r="F13" s="310">
        <v>0.1</v>
      </c>
      <c r="G13" s="311">
        <v>9.7000000000000003E-2</v>
      </c>
    </row>
    <row r="14" spans="1:7">
      <c r="A14" s="308" t="s">
        <v>241</v>
      </c>
      <c r="B14" s="309" t="s">
        <v>2265</v>
      </c>
      <c r="C14" s="310">
        <v>9.7000000000000003E-2</v>
      </c>
      <c r="D14" s="310">
        <v>9.7000000000000003E-2</v>
      </c>
      <c r="E14" s="310">
        <v>9.7000000000000003E-2</v>
      </c>
      <c r="F14" s="310">
        <v>0.1</v>
      </c>
      <c r="G14" s="311">
        <v>9.8000000000000004E-2</v>
      </c>
    </row>
    <row r="15" spans="1:7">
      <c r="A15" s="308" t="s">
        <v>241</v>
      </c>
      <c r="B15" s="309" t="s">
        <v>2276</v>
      </c>
      <c r="C15" s="310">
        <v>9.8000000000000004E-2</v>
      </c>
      <c r="D15" s="310">
        <v>9.0999999999999998E-2</v>
      </c>
      <c r="E15" s="310">
        <v>0.06</v>
      </c>
      <c r="F15" s="310">
        <v>0.1</v>
      </c>
      <c r="G15" s="311">
        <v>9.7000000000000003E-2</v>
      </c>
    </row>
    <row r="16" spans="1:7">
      <c r="A16" s="308" t="s">
        <v>241</v>
      </c>
      <c r="B16" s="309" t="s">
        <v>2287</v>
      </c>
      <c r="C16" s="310">
        <v>9.8000000000000004E-2</v>
      </c>
      <c r="D16" s="310">
        <v>9.7000000000000003E-2</v>
      </c>
      <c r="E16" s="310">
        <v>9.5000000000000001E-2</v>
      </c>
      <c r="F16" s="310">
        <v>0.1</v>
      </c>
      <c r="G16" s="311">
        <v>9.9000000000000005E-2</v>
      </c>
    </row>
    <row r="17" spans="1:7">
      <c r="A17" s="308" t="s">
        <v>241</v>
      </c>
      <c r="B17" s="309" t="s">
        <v>2298</v>
      </c>
      <c r="C17" s="310">
        <v>8.8999999999999996E-2</v>
      </c>
      <c r="D17" s="310">
        <v>9.1999999999999998E-2</v>
      </c>
      <c r="E17" s="310">
        <v>6.0999999999999999E-2</v>
      </c>
      <c r="F17" s="310">
        <v>0.1</v>
      </c>
      <c r="G17" s="311">
        <v>9.7000000000000003E-2</v>
      </c>
    </row>
    <row r="18" spans="1:7">
      <c r="A18" s="308" t="s">
        <v>241</v>
      </c>
      <c r="B18" s="309" t="s">
        <v>2308</v>
      </c>
      <c r="C18" s="310">
        <v>9.8000000000000004E-2</v>
      </c>
      <c r="D18" s="310">
        <v>9.8000000000000004E-2</v>
      </c>
      <c r="E18" s="310">
        <v>9.8000000000000004E-2</v>
      </c>
      <c r="F18" s="317"/>
      <c r="G18" s="311">
        <v>9.9000000000000005E-2</v>
      </c>
    </row>
    <row r="19" spans="1:7">
      <c r="A19" s="308" t="s">
        <v>241</v>
      </c>
      <c r="B19" s="309" t="s">
        <v>2318</v>
      </c>
      <c r="C19" s="310">
        <v>9.9000000000000005E-2</v>
      </c>
      <c r="D19" s="310">
        <v>7.3999999999999996E-2</v>
      </c>
      <c r="E19" s="310">
        <v>8.1000000000000003E-2</v>
      </c>
      <c r="F19" s="317"/>
      <c r="G19" s="311">
        <v>9.2999999999999999E-2</v>
      </c>
    </row>
    <row r="20" spans="1:7">
      <c r="A20" s="308" t="s">
        <v>241</v>
      </c>
      <c r="B20" s="309" t="s">
        <v>2328</v>
      </c>
      <c r="C20" s="310">
        <v>0.1</v>
      </c>
      <c r="D20" s="310">
        <v>8.8999999999999996E-2</v>
      </c>
      <c r="E20" s="310">
        <v>8.8999999999999996E-2</v>
      </c>
      <c r="F20" s="317"/>
      <c r="G20" s="311">
        <v>9.5000000000000001E-2</v>
      </c>
    </row>
    <row r="21" spans="1:7">
      <c r="A21" s="308" t="s">
        <v>241</v>
      </c>
      <c r="B21" s="309" t="s">
        <v>2338</v>
      </c>
      <c r="C21" s="310">
        <v>0.1</v>
      </c>
      <c r="D21" s="310">
        <v>9.0999999999999998E-2</v>
      </c>
      <c r="E21" s="310">
        <v>8.2000000000000003E-2</v>
      </c>
      <c r="F21" s="317"/>
      <c r="G21" s="311">
        <v>9.7000000000000003E-2</v>
      </c>
    </row>
    <row r="22" spans="1:7">
      <c r="A22" s="308" t="s">
        <v>241</v>
      </c>
      <c r="B22" s="309" t="s">
        <v>2347</v>
      </c>
      <c r="C22" s="310">
        <v>9.5000000000000001E-2</v>
      </c>
      <c r="D22" s="310">
        <v>9.9000000000000005E-2</v>
      </c>
      <c r="E22" s="310">
        <v>9.8000000000000004E-2</v>
      </c>
      <c r="F22" s="317"/>
      <c r="G22" s="311">
        <v>0.1</v>
      </c>
    </row>
    <row r="23" spans="1:7">
      <c r="A23" s="308" t="s">
        <v>241</v>
      </c>
      <c r="B23" s="309" t="s">
        <v>2357</v>
      </c>
      <c r="C23" s="310">
        <v>9.9000000000000005E-2</v>
      </c>
      <c r="D23" s="310">
        <v>0.1</v>
      </c>
      <c r="E23" s="310">
        <v>0.1</v>
      </c>
      <c r="F23" s="317"/>
      <c r="G23" s="311">
        <v>0.1</v>
      </c>
    </row>
    <row r="24" spans="1:7">
      <c r="A24" s="308" t="s">
        <v>241</v>
      </c>
      <c r="B24" s="309" t="s">
        <v>2367</v>
      </c>
      <c r="C24" s="310">
        <v>9.5000000000000001E-2</v>
      </c>
      <c r="D24" s="310">
        <v>0.1</v>
      </c>
      <c r="E24" s="310">
        <v>9.8000000000000004E-2</v>
      </c>
      <c r="F24" s="317"/>
      <c r="G24" s="311">
        <v>0.1</v>
      </c>
    </row>
    <row r="25" spans="1:7">
      <c r="A25" s="308" t="s">
        <v>241</v>
      </c>
      <c r="B25" s="309" t="s">
        <v>2377</v>
      </c>
      <c r="C25" s="310">
        <v>0.05</v>
      </c>
      <c r="D25" s="310">
        <v>9.6000000000000002E-2</v>
      </c>
      <c r="E25" s="310">
        <v>9.6000000000000002E-2</v>
      </c>
      <c r="F25" s="317"/>
      <c r="G25" s="311">
        <v>9.6000000000000002E-2</v>
      </c>
    </row>
    <row r="26" spans="1:7">
      <c r="A26" s="308" t="s">
        <v>241</v>
      </c>
      <c r="B26" s="309" t="s">
        <v>2387</v>
      </c>
      <c r="C26" s="310">
        <v>6.3E-2</v>
      </c>
      <c r="D26" s="310">
        <v>9.9000000000000005E-2</v>
      </c>
      <c r="E26" s="310">
        <v>9.8000000000000004E-2</v>
      </c>
      <c r="F26" s="317"/>
      <c r="G26" s="311">
        <v>0.1</v>
      </c>
    </row>
    <row r="27" spans="1:7">
      <c r="A27" s="308" t="s">
        <v>241</v>
      </c>
      <c r="B27" s="309" t="s">
        <v>2397</v>
      </c>
      <c r="C27" s="310">
        <v>5.1999999999999998E-2</v>
      </c>
      <c r="D27" s="310">
        <v>9.5000000000000001E-2</v>
      </c>
      <c r="E27" s="310">
        <v>6.4000000000000001E-2</v>
      </c>
      <c r="F27" s="317"/>
      <c r="G27" s="311">
        <v>9.7000000000000003E-2</v>
      </c>
    </row>
    <row r="28" spans="1:7">
      <c r="A28" s="308" t="s">
        <v>241</v>
      </c>
      <c r="B28" s="309" t="s">
        <v>2407</v>
      </c>
      <c r="C28" s="317"/>
      <c r="D28" s="310">
        <v>6.3E-2</v>
      </c>
      <c r="E28" s="310">
        <v>5.1999999999999998E-2</v>
      </c>
      <c r="F28" s="317"/>
      <c r="G28" s="311">
        <v>6.3E-2</v>
      </c>
    </row>
    <row r="29" spans="1:7">
      <c r="A29" s="312" t="s">
        <v>241</v>
      </c>
      <c r="B29" s="313" t="s">
        <v>2417</v>
      </c>
      <c r="C29" s="318"/>
      <c r="D29" s="314">
        <v>5.1999999999999998E-2</v>
      </c>
      <c r="E29" s="314">
        <v>7.0000000000000007E-2</v>
      </c>
      <c r="F29" s="318"/>
      <c r="G29" s="316">
        <v>7.0999999999999994E-2</v>
      </c>
    </row>
    <row r="30" spans="1:7">
      <c r="A30" s="319" t="s">
        <v>251</v>
      </c>
      <c r="B30" s="305" t="s">
        <v>2215</v>
      </c>
      <c r="C30" s="306">
        <v>6.6000000000000003E-2</v>
      </c>
      <c r="D30" s="306">
        <v>6.6000000000000003E-2</v>
      </c>
      <c r="E30" s="306">
        <v>5.7000000000000002E-2</v>
      </c>
      <c r="F30" s="306">
        <v>0.1</v>
      </c>
      <c r="G30" s="307">
        <v>6.8000000000000005E-2</v>
      </c>
    </row>
    <row r="31" spans="1:7">
      <c r="A31" s="320" t="s">
        <v>251</v>
      </c>
      <c r="B31" s="309" t="s">
        <v>2228</v>
      </c>
      <c r="C31" s="310">
        <v>5.5E-2</v>
      </c>
      <c r="D31" s="310">
        <v>8.2000000000000003E-2</v>
      </c>
      <c r="E31" s="310">
        <v>6.4000000000000001E-2</v>
      </c>
      <c r="F31" s="310">
        <v>0.1</v>
      </c>
      <c r="G31" s="311">
        <v>9.5000000000000001E-2</v>
      </c>
    </row>
    <row r="32" spans="1:7">
      <c r="A32" s="320" t="s">
        <v>251</v>
      </c>
      <c r="B32" s="309" t="s">
        <v>2242</v>
      </c>
      <c r="C32" s="310">
        <v>8.2000000000000003E-2</v>
      </c>
      <c r="D32" s="310">
        <v>8.6999999999999994E-2</v>
      </c>
      <c r="E32" s="310">
        <v>9.5000000000000001E-2</v>
      </c>
      <c r="F32" s="310">
        <v>0.1</v>
      </c>
      <c r="G32" s="311">
        <v>9.6000000000000002E-2</v>
      </c>
    </row>
    <row r="33" spans="1:7">
      <c r="A33" s="320" t="s">
        <v>251</v>
      </c>
      <c r="B33" s="309" t="s">
        <v>2254</v>
      </c>
      <c r="C33" s="310">
        <v>9.9000000000000005E-2</v>
      </c>
      <c r="D33" s="310">
        <v>9.1999999999999998E-2</v>
      </c>
      <c r="E33" s="310">
        <v>8.6999999999999994E-2</v>
      </c>
      <c r="F33" s="310">
        <v>0.1</v>
      </c>
      <c r="G33" s="311">
        <v>9.7000000000000003E-2</v>
      </c>
    </row>
    <row r="34" spans="1:7">
      <c r="A34" s="320" t="s">
        <v>251</v>
      </c>
      <c r="B34" s="309" t="s">
        <v>2266</v>
      </c>
      <c r="C34" s="310">
        <v>8.4000000000000005E-2</v>
      </c>
      <c r="D34" s="310">
        <v>9.7000000000000003E-2</v>
      </c>
      <c r="E34" s="310">
        <v>7.0999999999999994E-2</v>
      </c>
      <c r="F34" s="310">
        <v>0.1</v>
      </c>
      <c r="G34" s="311">
        <v>9.8000000000000004E-2</v>
      </c>
    </row>
    <row r="35" spans="1:7">
      <c r="A35" s="320" t="s">
        <v>251</v>
      </c>
      <c r="B35" s="309" t="s">
        <v>2277</v>
      </c>
      <c r="C35" s="310">
        <v>8.3000000000000004E-2</v>
      </c>
      <c r="D35" s="310">
        <v>9.7000000000000003E-2</v>
      </c>
      <c r="E35" s="310">
        <v>6.0999999999999999E-2</v>
      </c>
      <c r="F35" s="310">
        <v>0.1</v>
      </c>
      <c r="G35" s="311">
        <v>9.9000000000000005E-2</v>
      </c>
    </row>
    <row r="36" spans="1:7">
      <c r="A36" s="320" t="s">
        <v>251</v>
      </c>
      <c r="B36" s="309" t="s">
        <v>2288</v>
      </c>
      <c r="C36" s="310">
        <v>9.7000000000000003E-2</v>
      </c>
      <c r="D36" s="310">
        <v>9.7000000000000003E-2</v>
      </c>
      <c r="E36" s="310">
        <v>7.8E-2</v>
      </c>
      <c r="F36" s="310">
        <v>0.1</v>
      </c>
      <c r="G36" s="311">
        <v>9.9000000000000005E-2</v>
      </c>
    </row>
    <row r="37" spans="1:7">
      <c r="A37" s="320" t="s">
        <v>251</v>
      </c>
      <c r="B37" s="309" t="s">
        <v>2299</v>
      </c>
      <c r="C37" s="310">
        <v>9.7000000000000003E-2</v>
      </c>
      <c r="D37" s="310">
        <v>9.5000000000000001E-2</v>
      </c>
      <c r="E37" s="310">
        <v>7.8E-2</v>
      </c>
      <c r="F37" s="310">
        <v>0.1</v>
      </c>
      <c r="G37" s="311">
        <v>9.7000000000000003E-2</v>
      </c>
    </row>
    <row r="38" spans="1:7">
      <c r="A38" s="320" t="s">
        <v>251</v>
      </c>
      <c r="B38" s="309" t="s">
        <v>2309</v>
      </c>
      <c r="C38" s="310">
        <v>9.7000000000000003E-2</v>
      </c>
      <c r="D38" s="310">
        <v>7.6999999999999999E-2</v>
      </c>
      <c r="E38" s="310">
        <v>7.0000000000000007E-2</v>
      </c>
      <c r="F38" s="310">
        <v>0.1</v>
      </c>
      <c r="G38" s="311">
        <v>7.6999999999999999E-2</v>
      </c>
    </row>
    <row r="39" spans="1:7">
      <c r="A39" s="320" t="s">
        <v>251</v>
      </c>
      <c r="B39" s="309" t="s">
        <v>2319</v>
      </c>
      <c r="C39" s="310">
        <v>9.5000000000000001E-2</v>
      </c>
      <c r="D39" s="310">
        <v>7.6999999999999999E-2</v>
      </c>
      <c r="E39" s="310">
        <v>6.6000000000000003E-2</v>
      </c>
      <c r="F39" s="310">
        <v>0.1</v>
      </c>
      <c r="G39" s="311">
        <v>8.5999999999999993E-2</v>
      </c>
    </row>
    <row r="40" spans="1:7">
      <c r="A40" s="320" t="s">
        <v>251</v>
      </c>
      <c r="B40" s="309" t="s">
        <v>2329</v>
      </c>
      <c r="C40" s="310">
        <v>7.6999999999999999E-2</v>
      </c>
      <c r="D40" s="310">
        <v>7.8E-2</v>
      </c>
      <c r="E40" s="310">
        <v>8.2000000000000003E-2</v>
      </c>
      <c r="F40" s="321"/>
      <c r="G40" s="311">
        <v>7.8E-2</v>
      </c>
    </row>
    <row r="41" spans="1:7">
      <c r="A41" s="320" t="s">
        <v>251</v>
      </c>
      <c r="B41" s="309" t="s">
        <v>2339</v>
      </c>
      <c r="C41" s="310">
        <v>7.8E-2</v>
      </c>
      <c r="D41" s="310">
        <v>7.8E-2</v>
      </c>
      <c r="E41" s="310">
        <v>8.2000000000000003E-2</v>
      </c>
      <c r="F41" s="321"/>
      <c r="G41" s="311">
        <v>8.5999999999999993E-2</v>
      </c>
    </row>
    <row r="42" spans="1:7">
      <c r="A42" s="320" t="s">
        <v>251</v>
      </c>
      <c r="B42" s="309" t="s">
        <v>2348</v>
      </c>
      <c r="C42" s="310">
        <v>7.8E-2</v>
      </c>
      <c r="D42" s="310">
        <v>9.6000000000000002E-2</v>
      </c>
      <c r="E42" s="310">
        <v>7.1999999999999995E-2</v>
      </c>
      <c r="F42" s="321"/>
      <c r="G42" s="311">
        <v>9.8000000000000004E-2</v>
      </c>
    </row>
    <row r="43" spans="1:7">
      <c r="A43" s="320" t="s">
        <v>251</v>
      </c>
      <c r="B43" s="309" t="s">
        <v>2358</v>
      </c>
      <c r="C43" s="310">
        <v>7.8E-2</v>
      </c>
      <c r="D43" s="310">
        <v>9.9000000000000005E-2</v>
      </c>
      <c r="E43" s="310">
        <v>9.6000000000000002E-2</v>
      </c>
      <c r="F43" s="321"/>
      <c r="G43" s="311">
        <v>0.1</v>
      </c>
    </row>
    <row r="44" spans="1:7">
      <c r="A44" s="320" t="s">
        <v>251</v>
      </c>
      <c r="B44" s="309" t="s">
        <v>2368</v>
      </c>
      <c r="C44" s="310">
        <v>9.6000000000000002E-2</v>
      </c>
      <c r="D44" s="310">
        <v>0.1</v>
      </c>
      <c r="E44" s="310">
        <v>9.8000000000000004E-2</v>
      </c>
      <c r="F44" s="321"/>
      <c r="G44" s="311">
        <v>0.1</v>
      </c>
    </row>
    <row r="45" spans="1:7">
      <c r="A45" s="320" t="s">
        <v>251</v>
      </c>
      <c r="B45" s="309" t="s">
        <v>2378</v>
      </c>
      <c r="C45" s="310">
        <v>9.9000000000000005E-2</v>
      </c>
      <c r="D45" s="310">
        <v>9.8000000000000004E-2</v>
      </c>
      <c r="E45" s="310">
        <v>9.5000000000000001E-2</v>
      </c>
      <c r="F45" s="321"/>
      <c r="G45" s="311">
        <v>9.8000000000000004E-2</v>
      </c>
    </row>
    <row r="46" spans="1:7">
      <c r="A46" s="320" t="s">
        <v>251</v>
      </c>
      <c r="B46" s="309" t="s">
        <v>2388</v>
      </c>
      <c r="C46" s="310">
        <v>0.1</v>
      </c>
      <c r="D46" s="310">
        <v>9.9000000000000005E-2</v>
      </c>
      <c r="E46" s="310">
        <v>9.6000000000000002E-2</v>
      </c>
      <c r="F46" s="321"/>
      <c r="G46" s="311">
        <v>0.1</v>
      </c>
    </row>
    <row r="47" spans="1:7">
      <c r="A47" s="320" t="s">
        <v>251</v>
      </c>
      <c r="B47" s="309" t="s">
        <v>2398</v>
      </c>
      <c r="C47" s="310">
        <v>9.8000000000000004E-2</v>
      </c>
      <c r="D47" s="310">
        <v>8.6999999999999994E-2</v>
      </c>
      <c r="E47" s="310">
        <v>5.8999999999999997E-2</v>
      </c>
      <c r="F47" s="321"/>
      <c r="G47" s="311">
        <v>9.6000000000000002E-2</v>
      </c>
    </row>
    <row r="48" spans="1:7">
      <c r="A48" s="320" t="s">
        <v>251</v>
      </c>
      <c r="B48" s="309" t="s">
        <v>2408</v>
      </c>
      <c r="C48" s="310">
        <v>9.9000000000000005E-2</v>
      </c>
      <c r="D48" s="310">
        <v>9.8000000000000004E-2</v>
      </c>
      <c r="E48" s="310">
        <v>9.5000000000000001E-2</v>
      </c>
      <c r="F48" s="321"/>
      <c r="G48" s="311">
        <v>9.8000000000000004E-2</v>
      </c>
    </row>
    <row r="49" spans="1:7">
      <c r="A49" s="320" t="s">
        <v>251</v>
      </c>
      <c r="B49" s="309" t="s">
        <v>2418</v>
      </c>
      <c r="C49" s="310">
        <v>8.7999999999999995E-2</v>
      </c>
      <c r="D49" s="310">
        <v>9.9000000000000005E-2</v>
      </c>
      <c r="E49" s="310">
        <v>7.0000000000000007E-2</v>
      </c>
      <c r="F49" s="321"/>
      <c r="G49" s="311">
        <v>0.1</v>
      </c>
    </row>
    <row r="50" spans="1:7">
      <c r="A50" s="320" t="s">
        <v>251</v>
      </c>
      <c r="B50" s="309" t="s">
        <v>2427</v>
      </c>
      <c r="C50" s="310">
        <v>9.8000000000000004E-2</v>
      </c>
      <c r="D50" s="310">
        <v>7.2999999999999995E-2</v>
      </c>
      <c r="E50" s="310">
        <v>7.0999999999999994E-2</v>
      </c>
      <c r="F50" s="321"/>
      <c r="G50" s="311">
        <v>7.2999999999999995E-2</v>
      </c>
    </row>
    <row r="51" spans="1:7">
      <c r="A51" s="320" t="s">
        <v>251</v>
      </c>
      <c r="B51" s="309" t="s">
        <v>2435</v>
      </c>
      <c r="C51" s="310">
        <v>9.9000000000000005E-2</v>
      </c>
      <c r="D51" s="310">
        <v>8.5000000000000006E-2</v>
      </c>
      <c r="E51" s="310">
        <v>6.3E-2</v>
      </c>
      <c r="F51" s="321"/>
      <c r="G51" s="311">
        <v>9.6000000000000002E-2</v>
      </c>
    </row>
    <row r="52" spans="1:7">
      <c r="A52" s="320" t="s">
        <v>251</v>
      </c>
      <c r="B52" s="309" t="s">
        <v>2443</v>
      </c>
      <c r="C52" s="310">
        <v>7.3999999999999996E-2</v>
      </c>
      <c r="D52" s="310">
        <v>9.6000000000000002E-2</v>
      </c>
      <c r="E52" s="310">
        <v>0.05</v>
      </c>
      <c r="F52" s="321"/>
      <c r="G52" s="311">
        <v>9.8000000000000004E-2</v>
      </c>
    </row>
    <row r="53" spans="1:7">
      <c r="A53" s="320" t="s">
        <v>251</v>
      </c>
      <c r="B53" s="309" t="s">
        <v>2451</v>
      </c>
      <c r="C53" s="310">
        <v>8.5999999999999993E-2</v>
      </c>
      <c r="D53" s="321"/>
      <c r="E53" s="310">
        <v>9.1999999999999998E-2</v>
      </c>
      <c r="F53" s="321"/>
      <c r="G53" s="322"/>
    </row>
    <row r="54" spans="1:7">
      <c r="A54" s="323" t="s">
        <v>251</v>
      </c>
      <c r="B54" s="313" t="s">
        <v>2459</v>
      </c>
      <c r="C54" s="314">
        <v>9.6000000000000002E-2</v>
      </c>
      <c r="D54" s="315"/>
      <c r="E54" s="324"/>
      <c r="F54" s="315"/>
      <c r="G54" s="325"/>
    </row>
    <row r="55" spans="1:7">
      <c r="A55" s="319" t="s">
        <v>259</v>
      </c>
      <c r="B55" s="305" t="s">
        <v>2216</v>
      </c>
      <c r="C55" s="306">
        <v>9.6000000000000002E-2</v>
      </c>
      <c r="D55" s="306">
        <v>8.4000000000000005E-2</v>
      </c>
      <c r="E55" s="306">
        <v>9.1999999999999998E-2</v>
      </c>
      <c r="F55" s="306">
        <v>0.1</v>
      </c>
      <c r="G55" s="307">
        <v>9.5000000000000001E-2</v>
      </c>
    </row>
    <row r="56" spans="1:7">
      <c r="A56" s="320" t="s">
        <v>259</v>
      </c>
      <c r="B56" s="309" t="s">
        <v>2229</v>
      </c>
      <c r="C56" s="310">
        <v>8.4000000000000005E-2</v>
      </c>
      <c r="D56" s="310">
        <v>9.1999999999999998E-2</v>
      </c>
      <c r="E56" s="310">
        <v>9.5000000000000001E-2</v>
      </c>
      <c r="F56" s="310">
        <v>9.1999999999999998E-2</v>
      </c>
      <c r="G56" s="311">
        <v>9.6000000000000002E-2</v>
      </c>
    </row>
    <row r="57" spans="1:7">
      <c r="A57" s="320" t="s">
        <v>259</v>
      </c>
      <c r="B57" s="309" t="s">
        <v>2243</v>
      </c>
      <c r="C57" s="310">
        <v>9.9000000000000005E-2</v>
      </c>
      <c r="D57" s="310">
        <v>9.6000000000000002E-2</v>
      </c>
      <c r="E57" s="310">
        <v>9.1999999999999998E-2</v>
      </c>
      <c r="F57" s="310">
        <v>0.1</v>
      </c>
      <c r="G57" s="311">
        <v>9.8000000000000004E-2</v>
      </c>
    </row>
    <row r="58" spans="1:7">
      <c r="A58" s="320" t="s">
        <v>259</v>
      </c>
      <c r="B58" s="309" t="s">
        <v>2255</v>
      </c>
      <c r="C58" s="310">
        <v>9.8000000000000004E-2</v>
      </c>
      <c r="D58" s="310">
        <v>9.5000000000000001E-2</v>
      </c>
      <c r="E58" s="310">
        <v>5.7000000000000002E-2</v>
      </c>
      <c r="F58" s="310">
        <v>0.1</v>
      </c>
      <c r="G58" s="311">
        <v>9.6000000000000002E-2</v>
      </c>
    </row>
    <row r="59" spans="1:7">
      <c r="A59" s="320" t="s">
        <v>259</v>
      </c>
      <c r="B59" s="309" t="s">
        <v>2267</v>
      </c>
      <c r="C59" s="310">
        <v>9.5000000000000001E-2</v>
      </c>
      <c r="D59" s="310">
        <v>0.1</v>
      </c>
      <c r="E59" s="310">
        <v>7.4999999999999997E-2</v>
      </c>
      <c r="F59" s="310">
        <v>0.1</v>
      </c>
      <c r="G59" s="311">
        <v>0.1</v>
      </c>
    </row>
    <row r="60" spans="1:7">
      <c r="A60" s="320" t="s">
        <v>259</v>
      </c>
      <c r="B60" s="309" t="s">
        <v>2278</v>
      </c>
      <c r="C60" s="310">
        <v>0.1</v>
      </c>
      <c r="D60" s="310">
        <v>9.7000000000000003E-2</v>
      </c>
      <c r="E60" s="310">
        <v>0.1</v>
      </c>
      <c r="F60" s="310">
        <v>0.1</v>
      </c>
      <c r="G60" s="311">
        <v>9.7000000000000003E-2</v>
      </c>
    </row>
    <row r="61" spans="1:7">
      <c r="A61" s="320" t="s">
        <v>259</v>
      </c>
      <c r="B61" s="309" t="s">
        <v>2289</v>
      </c>
      <c r="C61" s="310">
        <v>9.7000000000000003E-2</v>
      </c>
      <c r="D61" s="310">
        <v>0.1</v>
      </c>
      <c r="E61" s="310">
        <v>9.2999999999999999E-2</v>
      </c>
      <c r="F61" s="310">
        <v>0.1</v>
      </c>
      <c r="G61" s="311">
        <v>0.1</v>
      </c>
    </row>
    <row r="62" spans="1:7">
      <c r="A62" s="320" t="s">
        <v>259</v>
      </c>
      <c r="B62" s="309" t="s">
        <v>2300</v>
      </c>
      <c r="C62" s="310">
        <v>0.1</v>
      </c>
      <c r="D62" s="310">
        <v>9.7000000000000003E-2</v>
      </c>
      <c r="E62" s="310">
        <v>8.8999999999999996E-2</v>
      </c>
      <c r="F62" s="310">
        <v>0.1</v>
      </c>
      <c r="G62" s="311">
        <v>9.8000000000000004E-2</v>
      </c>
    </row>
    <row r="63" spans="1:7">
      <c r="A63" s="320" t="s">
        <v>259</v>
      </c>
      <c r="B63" s="309" t="s">
        <v>2310</v>
      </c>
      <c r="C63" s="310">
        <v>9.7000000000000003E-2</v>
      </c>
      <c r="D63" s="310">
        <v>9.7000000000000003E-2</v>
      </c>
      <c r="E63" s="310">
        <v>9.9000000000000005E-2</v>
      </c>
      <c r="F63" s="310">
        <v>0.1</v>
      </c>
      <c r="G63" s="311">
        <v>9.7000000000000003E-2</v>
      </c>
    </row>
    <row r="64" spans="1:7">
      <c r="A64" s="320" t="s">
        <v>259</v>
      </c>
      <c r="B64" s="309" t="s">
        <v>2320</v>
      </c>
      <c r="C64" s="310">
        <v>9.7000000000000003E-2</v>
      </c>
      <c r="D64" s="310">
        <v>7.3999999999999996E-2</v>
      </c>
      <c r="E64" s="310">
        <v>7.8E-2</v>
      </c>
      <c r="F64" s="310">
        <v>0.1</v>
      </c>
      <c r="G64" s="311">
        <v>8.8999999999999996E-2</v>
      </c>
    </row>
    <row r="65" spans="1:7">
      <c r="A65" s="320" t="s">
        <v>259</v>
      </c>
      <c r="B65" s="309" t="s">
        <v>2330</v>
      </c>
      <c r="C65" s="310">
        <v>7.2999999999999995E-2</v>
      </c>
      <c r="D65" s="310">
        <v>9.8000000000000004E-2</v>
      </c>
      <c r="E65" s="310">
        <v>9.5000000000000001E-2</v>
      </c>
      <c r="F65" s="310">
        <v>0.1</v>
      </c>
      <c r="G65" s="311">
        <v>9.9000000000000005E-2</v>
      </c>
    </row>
    <row r="66" spans="1:7">
      <c r="A66" s="320" t="s">
        <v>259</v>
      </c>
      <c r="B66" s="309" t="s">
        <v>2340</v>
      </c>
      <c r="C66" s="310">
        <v>9.8000000000000004E-2</v>
      </c>
      <c r="D66" s="310">
        <v>9.5000000000000001E-2</v>
      </c>
      <c r="E66" s="310">
        <v>0.05</v>
      </c>
      <c r="F66" s="310">
        <v>0.1</v>
      </c>
      <c r="G66" s="311">
        <v>9.7000000000000003E-2</v>
      </c>
    </row>
    <row r="67" spans="1:7">
      <c r="A67" s="320" t="s">
        <v>259</v>
      </c>
      <c r="B67" s="309" t="s">
        <v>2349</v>
      </c>
      <c r="C67" s="310">
        <v>9.5000000000000001E-2</v>
      </c>
      <c r="D67" s="310">
        <v>9.7000000000000003E-2</v>
      </c>
      <c r="E67" s="310">
        <v>9.7000000000000003E-2</v>
      </c>
      <c r="F67" s="310">
        <v>0.1</v>
      </c>
      <c r="G67" s="311">
        <v>9.9000000000000005E-2</v>
      </c>
    </row>
    <row r="68" spans="1:7">
      <c r="A68" s="320" t="s">
        <v>259</v>
      </c>
      <c r="B68" s="309" t="s">
        <v>2359</v>
      </c>
      <c r="C68" s="310">
        <v>9.7000000000000003E-2</v>
      </c>
      <c r="D68" s="310">
        <v>6.8000000000000005E-2</v>
      </c>
      <c r="E68" s="310">
        <v>6.6000000000000003E-2</v>
      </c>
      <c r="F68" s="310">
        <v>0.1</v>
      </c>
      <c r="G68" s="311">
        <v>8.4000000000000005E-2</v>
      </c>
    </row>
    <row r="69" spans="1:7">
      <c r="A69" s="320" t="s">
        <v>259</v>
      </c>
      <c r="B69" s="309" t="s">
        <v>2369</v>
      </c>
      <c r="C69" s="310">
        <v>6.8000000000000005E-2</v>
      </c>
      <c r="D69" s="310">
        <v>9.8000000000000004E-2</v>
      </c>
      <c r="E69" s="310">
        <v>9.5000000000000001E-2</v>
      </c>
      <c r="F69" s="310">
        <v>0.1</v>
      </c>
      <c r="G69" s="311">
        <v>0.1</v>
      </c>
    </row>
    <row r="70" spans="1:7">
      <c r="A70" s="320" t="s">
        <v>259</v>
      </c>
      <c r="B70" s="309" t="s">
        <v>2379</v>
      </c>
      <c r="C70" s="310">
        <v>9.8000000000000004E-2</v>
      </c>
      <c r="D70" s="310">
        <v>8.8999999999999996E-2</v>
      </c>
      <c r="E70" s="310">
        <v>5.8999999999999997E-2</v>
      </c>
      <c r="F70" s="310">
        <v>0.1</v>
      </c>
      <c r="G70" s="311">
        <v>9.6000000000000002E-2</v>
      </c>
    </row>
    <row r="71" spans="1:7">
      <c r="A71" s="320" t="s">
        <v>259</v>
      </c>
      <c r="B71" s="309" t="s">
        <v>2389</v>
      </c>
      <c r="C71" s="310">
        <v>8.8999999999999996E-2</v>
      </c>
      <c r="D71" s="310">
        <v>9.9000000000000005E-2</v>
      </c>
      <c r="E71" s="310">
        <v>9.6000000000000002E-2</v>
      </c>
      <c r="F71" s="310">
        <v>0.1</v>
      </c>
      <c r="G71" s="311">
        <v>0.1</v>
      </c>
    </row>
    <row r="72" spans="1:7">
      <c r="A72" s="320" t="s">
        <v>259</v>
      </c>
      <c r="B72" s="309" t="s">
        <v>2399</v>
      </c>
      <c r="C72" s="310">
        <v>9.9000000000000005E-2</v>
      </c>
      <c r="D72" s="310">
        <v>0.1</v>
      </c>
      <c r="E72" s="310">
        <v>7.0000000000000007E-2</v>
      </c>
      <c r="F72" s="321"/>
      <c r="G72" s="311">
        <v>0.1</v>
      </c>
    </row>
    <row r="73" spans="1:7">
      <c r="A73" s="320" t="s">
        <v>259</v>
      </c>
      <c r="B73" s="309" t="s">
        <v>2409</v>
      </c>
      <c r="C73" s="310">
        <v>0.1</v>
      </c>
      <c r="D73" s="310">
        <v>0.1</v>
      </c>
      <c r="E73" s="310">
        <v>9.6000000000000002E-2</v>
      </c>
      <c r="F73" s="321"/>
      <c r="G73" s="311">
        <v>0.1</v>
      </c>
    </row>
    <row r="74" spans="1:7">
      <c r="A74" s="320" t="s">
        <v>259</v>
      </c>
      <c r="B74" s="309" t="s">
        <v>2419</v>
      </c>
      <c r="C74" s="310">
        <v>0.1</v>
      </c>
      <c r="D74" s="310">
        <v>0.1</v>
      </c>
      <c r="E74" s="310">
        <v>9.8000000000000004E-2</v>
      </c>
      <c r="F74" s="321"/>
      <c r="G74" s="311">
        <v>0.1</v>
      </c>
    </row>
    <row r="75" spans="1:7">
      <c r="A75" s="320" t="s">
        <v>259</v>
      </c>
      <c r="B75" s="309" t="s">
        <v>2428</v>
      </c>
      <c r="C75" s="310">
        <v>0.1</v>
      </c>
      <c r="D75" s="310">
        <v>9.9000000000000005E-2</v>
      </c>
      <c r="E75" s="310">
        <v>9.8000000000000004E-2</v>
      </c>
      <c r="F75" s="321"/>
      <c r="G75" s="311">
        <v>0.1</v>
      </c>
    </row>
    <row r="76" spans="1:7">
      <c r="A76" s="320" t="s">
        <v>259</v>
      </c>
      <c r="B76" s="309" t="s">
        <v>2436</v>
      </c>
      <c r="C76" s="310">
        <v>9.9000000000000005E-2</v>
      </c>
      <c r="D76" s="310">
        <v>0.1</v>
      </c>
      <c r="E76" s="310">
        <v>9.7000000000000003E-2</v>
      </c>
      <c r="F76" s="321"/>
      <c r="G76" s="311">
        <v>0.1</v>
      </c>
    </row>
    <row r="77" spans="1:7">
      <c r="A77" s="320" t="s">
        <v>259</v>
      </c>
      <c r="B77" s="309" t="s">
        <v>2444</v>
      </c>
      <c r="C77" s="310">
        <v>0.1</v>
      </c>
      <c r="D77" s="310">
        <v>0.1</v>
      </c>
      <c r="E77" s="310">
        <v>9.6000000000000002E-2</v>
      </c>
      <c r="F77" s="321"/>
      <c r="G77" s="311">
        <v>0.1</v>
      </c>
    </row>
    <row r="78" spans="1:7">
      <c r="A78" s="320" t="s">
        <v>259</v>
      </c>
      <c r="B78" s="309" t="s">
        <v>2452</v>
      </c>
      <c r="C78" s="310">
        <v>0.1</v>
      </c>
      <c r="D78" s="310">
        <v>8.5000000000000006E-2</v>
      </c>
      <c r="E78" s="310">
        <v>9.6000000000000002E-2</v>
      </c>
      <c r="F78" s="321"/>
      <c r="G78" s="311">
        <v>9.6000000000000002E-2</v>
      </c>
    </row>
    <row r="79" spans="1:7">
      <c r="A79" s="320" t="s">
        <v>259</v>
      </c>
      <c r="B79" s="309" t="s">
        <v>2460</v>
      </c>
      <c r="C79" s="310">
        <v>0.05</v>
      </c>
      <c r="D79" s="310">
        <v>9.6000000000000002E-2</v>
      </c>
      <c r="E79" s="310">
        <v>9.5000000000000001E-2</v>
      </c>
      <c r="F79" s="321"/>
      <c r="G79" s="311">
        <v>9.8000000000000004E-2</v>
      </c>
    </row>
    <row r="80" spans="1:7">
      <c r="A80" s="320" t="s">
        <v>259</v>
      </c>
      <c r="B80" s="309" t="s">
        <v>2467</v>
      </c>
      <c r="C80" s="310">
        <v>8.5999999999999993E-2</v>
      </c>
      <c r="D80" s="326"/>
      <c r="E80" s="310">
        <v>0.1</v>
      </c>
      <c r="F80" s="321"/>
      <c r="G80" s="322"/>
    </row>
    <row r="81" spans="1:7">
      <c r="A81" s="320" t="s">
        <v>259</v>
      </c>
      <c r="B81" s="309" t="s">
        <v>2474</v>
      </c>
      <c r="C81" s="310">
        <v>9.6000000000000002E-2</v>
      </c>
      <c r="D81" s="321"/>
      <c r="E81" s="310">
        <v>9.8000000000000004E-2</v>
      </c>
      <c r="F81" s="321"/>
      <c r="G81" s="322"/>
    </row>
    <row r="82" spans="1:7">
      <c r="A82" s="320" t="s">
        <v>259</v>
      </c>
      <c r="B82" s="309" t="s">
        <v>2481</v>
      </c>
      <c r="C82" s="326"/>
      <c r="D82" s="321"/>
      <c r="E82" s="310">
        <v>7.6999999999999999E-2</v>
      </c>
      <c r="F82" s="321"/>
      <c r="G82" s="322"/>
    </row>
    <row r="83" spans="1:7">
      <c r="A83" s="320" t="s">
        <v>259</v>
      </c>
      <c r="B83" s="309" t="s">
        <v>2488</v>
      </c>
      <c r="C83" s="321"/>
      <c r="D83" s="321"/>
      <c r="E83" s="321"/>
      <c r="F83" s="310">
        <v>0.1</v>
      </c>
      <c r="G83" s="327"/>
    </row>
    <row r="84" spans="1:7">
      <c r="A84" s="320" t="s">
        <v>259</v>
      </c>
      <c r="B84" s="309" t="s">
        <v>2495</v>
      </c>
      <c r="C84" s="321"/>
      <c r="D84" s="321"/>
      <c r="E84" s="321"/>
      <c r="F84" s="310">
        <v>0.1</v>
      </c>
      <c r="G84" s="327"/>
    </row>
    <row r="85" spans="1:7">
      <c r="A85" s="320" t="s">
        <v>259</v>
      </c>
      <c r="B85" s="309" t="s">
        <v>2502</v>
      </c>
      <c r="C85" s="321"/>
      <c r="D85" s="321"/>
      <c r="E85" s="321"/>
      <c r="F85" s="310">
        <v>0.1</v>
      </c>
      <c r="G85" s="327"/>
    </row>
    <row r="86" spans="1:7">
      <c r="A86" s="323" t="s">
        <v>259</v>
      </c>
      <c r="B86" s="313" t="s">
        <v>2509</v>
      </c>
      <c r="C86" s="314">
        <v>9.8000000000000004E-2</v>
      </c>
      <c r="D86" s="314">
        <v>9.8000000000000004E-2</v>
      </c>
      <c r="E86" s="314">
        <v>9.6000000000000002E-2</v>
      </c>
      <c r="F86" s="324"/>
      <c r="G86" s="316">
        <v>0.1</v>
      </c>
    </row>
    <row r="87" spans="1:7">
      <c r="A87" s="319" t="s">
        <v>267</v>
      </c>
      <c r="B87" s="305" t="s">
        <v>2217</v>
      </c>
      <c r="C87" s="306">
        <v>0.1</v>
      </c>
      <c r="D87" s="306">
        <v>0.1</v>
      </c>
      <c r="E87" s="306">
        <v>9.8000000000000004E-2</v>
      </c>
      <c r="F87" s="306">
        <v>0.1</v>
      </c>
      <c r="G87" s="307">
        <v>0.1</v>
      </c>
    </row>
    <row r="88" spans="1:7">
      <c r="A88" s="320" t="s">
        <v>267</v>
      </c>
      <c r="B88" s="309" t="s">
        <v>2230</v>
      </c>
      <c r="C88" s="310">
        <v>9.0999999999999998E-2</v>
      </c>
      <c r="D88" s="310">
        <v>9.1999999999999998E-2</v>
      </c>
      <c r="E88" s="310">
        <v>0.1</v>
      </c>
      <c r="F88" s="310">
        <v>0.1</v>
      </c>
      <c r="G88" s="311">
        <v>9.6000000000000002E-2</v>
      </c>
    </row>
    <row r="89" spans="1:7">
      <c r="A89" s="320" t="s">
        <v>267</v>
      </c>
      <c r="B89" s="309" t="s">
        <v>2244</v>
      </c>
      <c r="C89" s="310">
        <v>0.1</v>
      </c>
      <c r="D89" s="310">
        <v>0.1</v>
      </c>
      <c r="E89" s="310">
        <v>6.7000000000000004E-2</v>
      </c>
      <c r="F89" s="310">
        <v>9.2999999999999999E-2</v>
      </c>
      <c r="G89" s="311">
        <v>0.1</v>
      </c>
    </row>
    <row r="90" spans="1:7">
      <c r="A90" s="320" t="s">
        <v>267</v>
      </c>
      <c r="B90" s="309" t="s">
        <v>2256</v>
      </c>
      <c r="C90" s="310">
        <v>9.6000000000000002E-2</v>
      </c>
      <c r="D90" s="310">
        <v>9.6000000000000002E-2</v>
      </c>
      <c r="E90" s="310">
        <v>0.1</v>
      </c>
      <c r="F90" s="310">
        <v>0.1</v>
      </c>
      <c r="G90" s="311">
        <v>9.8000000000000004E-2</v>
      </c>
    </row>
    <row r="91" spans="1:7">
      <c r="A91" s="320" t="s">
        <v>267</v>
      </c>
      <c r="B91" s="309" t="s">
        <v>2268</v>
      </c>
      <c r="C91" s="310">
        <v>7.6999999999999999E-2</v>
      </c>
      <c r="D91" s="310">
        <v>7.6999999999999999E-2</v>
      </c>
      <c r="E91" s="310">
        <v>9.6000000000000002E-2</v>
      </c>
      <c r="F91" s="310">
        <v>0.1</v>
      </c>
      <c r="G91" s="311">
        <v>7.6999999999999999E-2</v>
      </c>
    </row>
    <row r="92" spans="1:7">
      <c r="A92" s="320" t="s">
        <v>267</v>
      </c>
      <c r="B92" s="309" t="s">
        <v>2279</v>
      </c>
      <c r="C92" s="310">
        <v>0.1</v>
      </c>
      <c r="D92" s="310">
        <v>0.1</v>
      </c>
      <c r="E92" s="310">
        <v>9.1999999999999998E-2</v>
      </c>
      <c r="F92" s="310">
        <v>0.1</v>
      </c>
      <c r="G92" s="311">
        <v>0.1</v>
      </c>
    </row>
    <row r="93" spans="1:7">
      <c r="A93" s="320" t="s">
        <v>267</v>
      </c>
      <c r="B93" s="309" t="s">
        <v>2290</v>
      </c>
      <c r="C93" s="310">
        <v>9.8000000000000004E-2</v>
      </c>
      <c r="D93" s="310">
        <v>9.8000000000000004E-2</v>
      </c>
      <c r="E93" s="310">
        <v>9.6000000000000002E-2</v>
      </c>
      <c r="F93" s="310">
        <v>0.1</v>
      </c>
      <c r="G93" s="311">
        <v>9.9000000000000005E-2</v>
      </c>
    </row>
    <row r="94" spans="1:7">
      <c r="A94" s="320" t="s">
        <v>267</v>
      </c>
      <c r="B94" s="309" t="s">
        <v>2301</v>
      </c>
      <c r="C94" s="310">
        <v>8.7999999999999995E-2</v>
      </c>
      <c r="D94" s="310">
        <v>8.7999999999999995E-2</v>
      </c>
      <c r="E94" s="310">
        <v>9.6000000000000002E-2</v>
      </c>
      <c r="F94" s="310">
        <v>0.1</v>
      </c>
      <c r="G94" s="311">
        <v>8.7999999999999995E-2</v>
      </c>
    </row>
    <row r="95" spans="1:7">
      <c r="A95" s="320" t="s">
        <v>267</v>
      </c>
      <c r="B95" s="309" t="s">
        <v>2311</v>
      </c>
      <c r="C95" s="310">
        <v>9.6000000000000002E-2</v>
      </c>
      <c r="D95" s="310">
        <v>9.6000000000000002E-2</v>
      </c>
      <c r="E95" s="310">
        <v>0.1</v>
      </c>
      <c r="F95" s="310">
        <v>0.1</v>
      </c>
      <c r="G95" s="311">
        <v>9.8000000000000004E-2</v>
      </c>
    </row>
    <row r="96" spans="1:7">
      <c r="A96" s="320" t="s">
        <v>267</v>
      </c>
      <c r="B96" s="309" t="s">
        <v>2321</v>
      </c>
      <c r="C96" s="310">
        <v>9.7000000000000003E-2</v>
      </c>
      <c r="D96" s="310">
        <v>9.7000000000000003E-2</v>
      </c>
      <c r="E96" s="310">
        <v>0.1</v>
      </c>
      <c r="F96" s="310">
        <v>0.1</v>
      </c>
      <c r="G96" s="311">
        <v>9.8000000000000004E-2</v>
      </c>
    </row>
    <row r="97" spans="1:7">
      <c r="A97" s="320" t="s">
        <v>267</v>
      </c>
      <c r="B97" s="309" t="s">
        <v>2331</v>
      </c>
      <c r="C97" s="310">
        <v>9.6000000000000002E-2</v>
      </c>
      <c r="D97" s="310">
        <v>9.6000000000000002E-2</v>
      </c>
      <c r="E97" s="310">
        <v>9.9000000000000005E-2</v>
      </c>
      <c r="F97" s="310">
        <v>0.1</v>
      </c>
      <c r="G97" s="311">
        <v>9.8000000000000004E-2</v>
      </c>
    </row>
    <row r="98" spans="1:7">
      <c r="A98" s="320" t="s">
        <v>267</v>
      </c>
      <c r="B98" s="309" t="s">
        <v>2341</v>
      </c>
      <c r="C98" s="310">
        <v>9.8000000000000004E-2</v>
      </c>
      <c r="D98" s="310">
        <v>9.8000000000000004E-2</v>
      </c>
      <c r="E98" s="310">
        <v>0.1</v>
      </c>
      <c r="F98" s="310">
        <v>0.1</v>
      </c>
      <c r="G98" s="311">
        <v>9.9000000000000005E-2</v>
      </c>
    </row>
    <row r="99" spans="1:7">
      <c r="A99" s="320" t="s">
        <v>267</v>
      </c>
      <c r="B99" s="309" t="s">
        <v>2350</v>
      </c>
      <c r="C99" s="310">
        <v>9.6000000000000002E-2</v>
      </c>
      <c r="D99" s="310">
        <v>9.6000000000000002E-2</v>
      </c>
      <c r="E99" s="310">
        <v>0.1</v>
      </c>
      <c r="F99" s="310">
        <v>0.1</v>
      </c>
      <c r="G99" s="311">
        <v>9.7000000000000003E-2</v>
      </c>
    </row>
    <row r="100" spans="1:7">
      <c r="A100" s="320" t="s">
        <v>267</v>
      </c>
      <c r="B100" s="309" t="s">
        <v>2360</v>
      </c>
      <c r="C100" s="310">
        <v>0.1</v>
      </c>
      <c r="D100" s="310">
        <v>0.1</v>
      </c>
      <c r="E100" s="310">
        <v>9.7000000000000003E-2</v>
      </c>
      <c r="F100" s="310">
        <v>9.8000000000000004E-2</v>
      </c>
      <c r="G100" s="311">
        <v>0.1</v>
      </c>
    </row>
    <row r="101" spans="1:7">
      <c r="A101" s="320" t="s">
        <v>267</v>
      </c>
      <c r="B101" s="309" t="s">
        <v>2370</v>
      </c>
      <c r="C101" s="310">
        <v>0.1</v>
      </c>
      <c r="D101" s="310">
        <v>0.1</v>
      </c>
      <c r="E101" s="310">
        <v>9.5000000000000001E-2</v>
      </c>
      <c r="F101" s="310">
        <v>0.1</v>
      </c>
      <c r="G101" s="311">
        <v>0.1</v>
      </c>
    </row>
    <row r="102" spans="1:7">
      <c r="A102" s="320" t="s">
        <v>267</v>
      </c>
      <c r="B102" s="309" t="s">
        <v>2380</v>
      </c>
      <c r="C102" s="310">
        <v>0.1</v>
      </c>
      <c r="D102" s="310">
        <v>0.1</v>
      </c>
      <c r="E102" s="310">
        <v>9.9000000000000005E-2</v>
      </c>
      <c r="F102" s="310">
        <v>9.7000000000000003E-2</v>
      </c>
      <c r="G102" s="311">
        <v>0.1</v>
      </c>
    </row>
    <row r="103" spans="1:7">
      <c r="A103" s="320" t="s">
        <v>267</v>
      </c>
      <c r="B103" s="309" t="s">
        <v>2390</v>
      </c>
      <c r="C103" s="310">
        <v>0.1</v>
      </c>
      <c r="D103" s="310">
        <v>0.1</v>
      </c>
      <c r="E103" s="310">
        <v>9.8000000000000004E-2</v>
      </c>
      <c r="F103" s="310">
        <v>0.1</v>
      </c>
      <c r="G103" s="311">
        <v>0.1</v>
      </c>
    </row>
    <row r="104" spans="1:7">
      <c r="A104" s="320" t="s">
        <v>267</v>
      </c>
      <c r="B104" s="309" t="s">
        <v>2400</v>
      </c>
      <c r="C104" s="310">
        <v>0.1</v>
      </c>
      <c r="D104" s="310">
        <v>0.1</v>
      </c>
      <c r="E104" s="310">
        <v>9.8000000000000004E-2</v>
      </c>
      <c r="F104" s="310">
        <v>0.1</v>
      </c>
      <c r="G104" s="311">
        <v>0.1</v>
      </c>
    </row>
    <row r="105" spans="1:7">
      <c r="A105" s="320" t="s">
        <v>267</v>
      </c>
      <c r="B105" s="309" t="s">
        <v>2410</v>
      </c>
      <c r="C105" s="310">
        <v>9.8000000000000004E-2</v>
      </c>
      <c r="D105" s="310">
        <v>9.8000000000000004E-2</v>
      </c>
      <c r="E105" s="310">
        <v>9.8000000000000004E-2</v>
      </c>
      <c r="F105" s="310">
        <v>0.1</v>
      </c>
      <c r="G105" s="311">
        <v>9.9000000000000005E-2</v>
      </c>
    </row>
    <row r="106" spans="1:7">
      <c r="A106" s="320" t="s">
        <v>267</v>
      </c>
      <c r="B106" s="309" t="s">
        <v>2420</v>
      </c>
      <c r="C106" s="310">
        <v>9.7000000000000003E-2</v>
      </c>
      <c r="D106" s="310">
        <v>9.7000000000000003E-2</v>
      </c>
      <c r="E106" s="310">
        <v>9.7000000000000003E-2</v>
      </c>
      <c r="F106" s="310">
        <v>0.1</v>
      </c>
      <c r="G106" s="311">
        <v>9.9000000000000005E-2</v>
      </c>
    </row>
    <row r="107" spans="1:7">
      <c r="A107" s="320" t="s">
        <v>267</v>
      </c>
      <c r="B107" s="309" t="s">
        <v>2429</v>
      </c>
      <c r="C107" s="310">
        <v>0.1</v>
      </c>
      <c r="D107" s="310">
        <v>0.1</v>
      </c>
      <c r="E107" s="310">
        <v>8.5999999999999993E-2</v>
      </c>
      <c r="F107" s="310">
        <v>0.09</v>
      </c>
      <c r="G107" s="311">
        <v>0.1</v>
      </c>
    </row>
    <row r="108" spans="1:7">
      <c r="A108" s="320" t="s">
        <v>267</v>
      </c>
      <c r="B108" s="309" t="s">
        <v>2437</v>
      </c>
      <c r="C108" s="310">
        <v>0.1</v>
      </c>
      <c r="D108" s="310">
        <v>0.1</v>
      </c>
      <c r="E108" s="310">
        <v>9.6000000000000002E-2</v>
      </c>
      <c r="F108" s="321"/>
      <c r="G108" s="311">
        <v>0.1</v>
      </c>
    </row>
    <row r="109" spans="1:7">
      <c r="A109" s="320" t="s">
        <v>267</v>
      </c>
      <c r="B109" s="309" t="s">
        <v>2445</v>
      </c>
      <c r="C109" s="310">
        <v>0.1</v>
      </c>
      <c r="D109" s="310">
        <v>0.1</v>
      </c>
      <c r="E109" s="310">
        <v>0.1</v>
      </c>
      <c r="F109" s="321"/>
      <c r="G109" s="311">
        <v>0.1</v>
      </c>
    </row>
    <row r="110" spans="1:7">
      <c r="A110" s="320" t="s">
        <v>267</v>
      </c>
      <c r="B110" s="309" t="s">
        <v>2453</v>
      </c>
      <c r="C110" s="310">
        <v>0.1</v>
      </c>
      <c r="D110" s="310">
        <v>0.1</v>
      </c>
      <c r="E110" s="310">
        <v>0.1</v>
      </c>
      <c r="F110" s="321"/>
      <c r="G110" s="311">
        <v>0.1</v>
      </c>
    </row>
    <row r="111" spans="1:7">
      <c r="A111" s="320" t="s">
        <v>267</v>
      </c>
      <c r="B111" s="309" t="s">
        <v>2461</v>
      </c>
      <c r="C111" s="310">
        <v>0.1</v>
      </c>
      <c r="D111" s="310">
        <v>0.1</v>
      </c>
      <c r="E111" s="310">
        <v>9.5000000000000001E-2</v>
      </c>
      <c r="F111" s="321"/>
      <c r="G111" s="311">
        <v>0.1</v>
      </c>
    </row>
    <row r="112" spans="1:7">
      <c r="A112" s="320" t="s">
        <v>267</v>
      </c>
      <c r="B112" s="309" t="s">
        <v>2468</v>
      </c>
      <c r="C112" s="310">
        <v>9.7000000000000003E-2</v>
      </c>
      <c r="D112" s="310">
        <v>9.7000000000000003E-2</v>
      </c>
      <c r="E112" s="310">
        <v>0.05</v>
      </c>
      <c r="F112" s="321"/>
      <c r="G112" s="311">
        <v>9.8000000000000004E-2</v>
      </c>
    </row>
    <row r="113" spans="1:7">
      <c r="A113" s="320" t="s">
        <v>267</v>
      </c>
      <c r="B113" s="309" t="s">
        <v>2475</v>
      </c>
      <c r="C113" s="310">
        <v>0.1</v>
      </c>
      <c r="D113" s="310">
        <v>0.1</v>
      </c>
      <c r="E113" s="321"/>
      <c r="F113" s="321"/>
      <c r="G113" s="311">
        <v>0.1</v>
      </c>
    </row>
    <row r="114" spans="1:7">
      <c r="A114" s="320" t="s">
        <v>267</v>
      </c>
      <c r="B114" s="309" t="s">
        <v>2482</v>
      </c>
      <c r="C114" s="310">
        <v>9.7000000000000003E-2</v>
      </c>
      <c r="D114" s="310">
        <v>9.7000000000000003E-2</v>
      </c>
      <c r="E114" s="321"/>
      <c r="F114" s="321"/>
      <c r="G114" s="311">
        <v>9.9000000000000005E-2</v>
      </c>
    </row>
    <row r="115" spans="1:7">
      <c r="A115" s="320" t="s">
        <v>267</v>
      </c>
      <c r="B115" s="309" t="s">
        <v>2489</v>
      </c>
      <c r="C115" s="310">
        <v>0.1</v>
      </c>
      <c r="D115" s="310">
        <v>0.1</v>
      </c>
      <c r="E115" s="321"/>
      <c r="F115" s="321"/>
      <c r="G115" s="311">
        <v>0.1</v>
      </c>
    </row>
    <row r="116" spans="1:7">
      <c r="A116" s="320" t="s">
        <v>267</v>
      </c>
      <c r="B116" s="309" t="s">
        <v>2496</v>
      </c>
      <c r="C116" s="310">
        <v>0.1</v>
      </c>
      <c r="D116" s="310">
        <v>0.1</v>
      </c>
      <c r="E116" s="321"/>
      <c r="F116" s="321"/>
      <c r="G116" s="311">
        <v>0.1</v>
      </c>
    </row>
    <row r="117" spans="1:7">
      <c r="A117" s="320" t="s">
        <v>267</v>
      </c>
      <c r="B117" s="309" t="s">
        <v>2503</v>
      </c>
      <c r="C117" s="310">
        <v>9.7000000000000003E-2</v>
      </c>
      <c r="D117" s="310">
        <v>9.7000000000000003E-2</v>
      </c>
      <c r="E117" s="321"/>
      <c r="F117" s="321"/>
      <c r="G117" s="311">
        <v>9.7000000000000003E-2</v>
      </c>
    </row>
    <row r="118" spans="1:7">
      <c r="A118" s="320" t="s">
        <v>267</v>
      </c>
      <c r="B118" s="309" t="s">
        <v>2510</v>
      </c>
      <c r="C118" s="310">
        <v>0.1</v>
      </c>
      <c r="D118" s="310">
        <v>0.1</v>
      </c>
      <c r="E118" s="321"/>
      <c r="F118" s="321"/>
      <c r="G118" s="311">
        <v>0.1</v>
      </c>
    </row>
    <row r="119" spans="1:7">
      <c r="A119" s="320" t="s">
        <v>267</v>
      </c>
      <c r="B119" s="309" t="s">
        <v>2515</v>
      </c>
      <c r="C119" s="310">
        <v>5.0999999999999997E-2</v>
      </c>
      <c r="D119" s="310">
        <v>5.1999999999999998E-2</v>
      </c>
      <c r="E119" s="321"/>
      <c r="F119" s="326"/>
      <c r="G119" s="311">
        <v>0.06</v>
      </c>
    </row>
    <row r="120" spans="1:7">
      <c r="A120" s="320" t="s">
        <v>267</v>
      </c>
      <c r="B120" s="309" t="s">
        <v>2520</v>
      </c>
      <c r="C120" s="321"/>
      <c r="D120" s="321"/>
      <c r="E120" s="321"/>
      <c r="F120" s="310">
        <v>0.1</v>
      </c>
      <c r="G120" s="327"/>
    </row>
    <row r="121" spans="1:7">
      <c r="A121" s="320" t="s">
        <v>267</v>
      </c>
      <c r="B121" s="309" t="s">
        <v>2525</v>
      </c>
      <c r="C121" s="321"/>
      <c r="D121" s="321"/>
      <c r="E121" s="321"/>
      <c r="F121" s="310">
        <v>0.1</v>
      </c>
      <c r="G121" s="327"/>
    </row>
    <row r="122" spans="1:7">
      <c r="A122" s="320" t="s">
        <v>267</v>
      </c>
      <c r="B122" s="309" t="s">
        <v>2530</v>
      </c>
      <c r="C122" s="310">
        <v>0.1</v>
      </c>
      <c r="D122" s="310">
        <v>0.1</v>
      </c>
      <c r="E122" s="310">
        <v>9.8000000000000004E-2</v>
      </c>
      <c r="F122" s="310">
        <v>0.1</v>
      </c>
      <c r="G122" s="311">
        <v>0.1</v>
      </c>
    </row>
    <row r="123" spans="1:7">
      <c r="A123" s="320" t="s">
        <v>267</v>
      </c>
      <c r="B123" s="309" t="s">
        <v>2535</v>
      </c>
      <c r="C123" s="310">
        <v>0.1</v>
      </c>
      <c r="D123" s="310">
        <v>0.1</v>
      </c>
      <c r="E123" s="310">
        <v>9.8000000000000004E-2</v>
      </c>
      <c r="F123" s="310">
        <v>0.1</v>
      </c>
      <c r="G123" s="311">
        <v>0.1</v>
      </c>
    </row>
    <row r="124" spans="1:7">
      <c r="A124" s="320" t="s">
        <v>267</v>
      </c>
      <c r="B124" s="309" t="s">
        <v>2540</v>
      </c>
      <c r="C124" s="310">
        <v>0.1</v>
      </c>
      <c r="D124" s="310">
        <v>0.1</v>
      </c>
      <c r="E124" s="310">
        <v>9.8000000000000004E-2</v>
      </c>
      <c r="F124" s="326"/>
      <c r="G124" s="311">
        <v>0.1</v>
      </c>
    </row>
    <row r="125" spans="1:7">
      <c r="A125" s="320" t="s">
        <v>267</v>
      </c>
      <c r="B125" s="309" t="s">
        <v>2545</v>
      </c>
      <c r="C125" s="310">
        <v>9.8000000000000004E-2</v>
      </c>
      <c r="D125" s="310">
        <v>9.8000000000000004E-2</v>
      </c>
      <c r="E125" s="310">
        <v>9.6000000000000002E-2</v>
      </c>
      <c r="F125" s="326"/>
      <c r="G125" s="311">
        <v>0.1</v>
      </c>
    </row>
    <row r="126" spans="1:7">
      <c r="A126" s="323" t="s">
        <v>267</v>
      </c>
      <c r="B126" s="313" t="s">
        <v>2550</v>
      </c>
      <c r="C126" s="314">
        <v>0.1</v>
      </c>
      <c r="D126" s="314">
        <v>0.1</v>
      </c>
      <c r="E126" s="314">
        <v>9.8000000000000004E-2</v>
      </c>
      <c r="F126" s="314">
        <v>0.1</v>
      </c>
      <c r="G126" s="316">
        <v>0.1</v>
      </c>
    </row>
    <row r="127" spans="1:7">
      <c r="A127" s="319" t="s">
        <v>273</v>
      </c>
      <c r="B127" s="305" t="s">
        <v>2218</v>
      </c>
      <c r="C127" s="306">
        <v>0.121</v>
      </c>
      <c r="D127" s="306">
        <v>0.121</v>
      </c>
      <c r="E127" s="306">
        <v>0.107</v>
      </c>
      <c r="F127" s="306">
        <v>0.13</v>
      </c>
      <c r="G127" s="307">
        <v>0.122</v>
      </c>
    </row>
    <row r="128" spans="1:7">
      <c r="A128" s="320" t="s">
        <v>273</v>
      </c>
      <c r="B128" s="309" t="s">
        <v>2231</v>
      </c>
      <c r="C128" s="310">
        <v>0.11600000000000001</v>
      </c>
      <c r="D128" s="310">
        <v>0.11700000000000001</v>
      </c>
      <c r="E128" s="310">
        <v>0.104</v>
      </c>
      <c r="F128" s="310">
        <v>0.13</v>
      </c>
      <c r="G128" s="311">
        <v>0.11700000000000001</v>
      </c>
    </row>
    <row r="129" spans="1:7">
      <c r="A129" s="320" t="s">
        <v>273</v>
      </c>
      <c r="B129" s="309" t="s">
        <v>2245</v>
      </c>
      <c r="C129" s="310">
        <v>0.107</v>
      </c>
      <c r="D129" s="310">
        <v>0.108</v>
      </c>
      <c r="E129" s="310">
        <v>0.1</v>
      </c>
      <c r="F129" s="310">
        <v>0.13</v>
      </c>
      <c r="G129" s="311">
        <v>0.11700000000000001</v>
      </c>
    </row>
    <row r="130" spans="1:7">
      <c r="A130" s="320" t="s">
        <v>273</v>
      </c>
      <c r="B130" s="309" t="s">
        <v>2257</v>
      </c>
      <c r="C130" s="310">
        <v>0.13</v>
      </c>
      <c r="D130" s="310">
        <v>0.13</v>
      </c>
      <c r="E130" s="310">
        <v>0.126</v>
      </c>
      <c r="F130" s="310">
        <v>0.13</v>
      </c>
      <c r="G130" s="311">
        <v>0.13</v>
      </c>
    </row>
    <row r="131" spans="1:7">
      <c r="A131" s="320" t="s">
        <v>273</v>
      </c>
      <c r="B131" s="309" t="s">
        <v>2269</v>
      </c>
      <c r="C131" s="310">
        <v>0.13</v>
      </c>
      <c r="D131" s="310">
        <v>0.13</v>
      </c>
      <c r="E131" s="310">
        <v>0.13</v>
      </c>
      <c r="F131" s="310">
        <v>0.13</v>
      </c>
      <c r="G131" s="311">
        <v>0.13</v>
      </c>
    </row>
    <row r="132" spans="1:7">
      <c r="A132" s="320" t="s">
        <v>273</v>
      </c>
      <c r="B132" s="309" t="s">
        <v>2280</v>
      </c>
      <c r="C132" s="310">
        <v>0.13</v>
      </c>
      <c r="D132" s="310">
        <v>0.13</v>
      </c>
      <c r="E132" s="310">
        <v>0.126</v>
      </c>
      <c r="F132" s="310">
        <v>0.13</v>
      </c>
      <c r="G132" s="311">
        <v>0.13</v>
      </c>
    </row>
    <row r="133" spans="1:7">
      <c r="A133" s="320" t="s">
        <v>273</v>
      </c>
      <c r="B133" s="309" t="s">
        <v>2291</v>
      </c>
      <c r="C133" s="310">
        <v>0.111</v>
      </c>
      <c r="D133" s="310">
        <v>0.111</v>
      </c>
      <c r="E133" s="310">
        <v>0.10199999999999999</v>
      </c>
      <c r="F133" s="310">
        <v>0.13</v>
      </c>
      <c r="G133" s="311">
        <v>0.121</v>
      </c>
    </row>
    <row r="134" spans="1:7">
      <c r="A134" s="320" t="s">
        <v>273</v>
      </c>
      <c r="B134" s="309" t="s">
        <v>2302</v>
      </c>
      <c r="C134" s="310">
        <v>0.121</v>
      </c>
      <c r="D134" s="310">
        <v>0.121</v>
      </c>
      <c r="E134" s="310">
        <v>0.1</v>
      </c>
      <c r="F134" s="310">
        <v>0.13</v>
      </c>
      <c r="G134" s="311">
        <v>0.123</v>
      </c>
    </row>
    <row r="135" spans="1:7">
      <c r="A135" s="320" t="s">
        <v>273</v>
      </c>
      <c r="B135" s="309" t="s">
        <v>2312</v>
      </c>
      <c r="C135" s="310">
        <v>0.105</v>
      </c>
      <c r="D135" s="310">
        <v>0.106</v>
      </c>
      <c r="E135" s="310">
        <v>0.1</v>
      </c>
      <c r="F135" s="310">
        <v>0.13</v>
      </c>
      <c r="G135" s="311">
        <v>0.115</v>
      </c>
    </row>
    <row r="136" spans="1:7">
      <c r="A136" s="320" t="s">
        <v>273</v>
      </c>
      <c r="B136" s="309" t="s">
        <v>2322</v>
      </c>
      <c r="C136" s="310">
        <v>0.127</v>
      </c>
      <c r="D136" s="310">
        <v>0.127</v>
      </c>
      <c r="E136" s="310">
        <v>0.121</v>
      </c>
      <c r="F136" s="310">
        <v>0.123</v>
      </c>
      <c r="G136" s="311">
        <v>0.129</v>
      </c>
    </row>
    <row r="137" spans="1:7">
      <c r="A137" s="320" t="s">
        <v>273</v>
      </c>
      <c r="B137" s="309" t="s">
        <v>2332</v>
      </c>
      <c r="C137" s="310">
        <v>0.13</v>
      </c>
      <c r="D137" s="310">
        <v>0.13</v>
      </c>
      <c r="E137" s="310">
        <v>0.129</v>
      </c>
      <c r="F137" s="310">
        <v>0.13</v>
      </c>
      <c r="G137" s="311">
        <v>0.13</v>
      </c>
    </row>
    <row r="138" spans="1:7">
      <c r="A138" s="320" t="s">
        <v>273</v>
      </c>
      <c r="B138" s="309" t="s">
        <v>2342</v>
      </c>
      <c r="C138" s="310">
        <v>0.13</v>
      </c>
      <c r="D138" s="310">
        <v>0.13</v>
      </c>
      <c r="E138" s="310">
        <v>0.125</v>
      </c>
      <c r="F138" s="310">
        <v>0.13</v>
      </c>
      <c r="G138" s="311">
        <v>0.13</v>
      </c>
    </row>
    <row r="139" spans="1:7">
      <c r="A139" s="320" t="s">
        <v>273</v>
      </c>
      <c r="B139" s="309" t="s">
        <v>2351</v>
      </c>
      <c r="C139" s="310">
        <v>0.13</v>
      </c>
      <c r="D139" s="310">
        <v>0.13</v>
      </c>
      <c r="E139" s="310">
        <v>0.126</v>
      </c>
      <c r="F139" s="310">
        <v>0.13</v>
      </c>
      <c r="G139" s="311">
        <v>0.13</v>
      </c>
    </row>
    <row r="140" spans="1:7">
      <c r="A140" s="320" t="s">
        <v>273</v>
      </c>
      <c r="B140" s="309" t="s">
        <v>2361</v>
      </c>
      <c r="C140" s="310">
        <v>0.1</v>
      </c>
      <c r="D140" s="310">
        <v>0.1</v>
      </c>
      <c r="E140" s="310">
        <v>0.1</v>
      </c>
      <c r="F140" s="310">
        <v>0.123</v>
      </c>
      <c r="G140" s="311">
        <v>0.107</v>
      </c>
    </row>
    <row r="141" spans="1:7">
      <c r="A141" s="320" t="s">
        <v>273</v>
      </c>
      <c r="B141" s="309" t="s">
        <v>2371</v>
      </c>
      <c r="C141" s="310">
        <v>0.127</v>
      </c>
      <c r="D141" s="310">
        <v>0.127</v>
      </c>
      <c r="E141" s="310">
        <v>0.122</v>
      </c>
      <c r="F141" s="310">
        <v>0.1</v>
      </c>
      <c r="G141" s="311">
        <v>0.129</v>
      </c>
    </row>
    <row r="142" spans="1:7">
      <c r="A142" s="320" t="s">
        <v>273</v>
      </c>
      <c r="B142" s="309" t="s">
        <v>2381</v>
      </c>
      <c r="C142" s="310">
        <v>0.121</v>
      </c>
      <c r="D142" s="310">
        <v>0.122</v>
      </c>
      <c r="E142" s="310">
        <v>0.1</v>
      </c>
      <c r="F142" s="310">
        <v>0.123</v>
      </c>
      <c r="G142" s="311">
        <v>0.123</v>
      </c>
    </row>
    <row r="143" spans="1:7">
      <c r="A143" s="320" t="s">
        <v>273</v>
      </c>
      <c r="B143" s="309" t="s">
        <v>2391</v>
      </c>
      <c r="C143" s="310">
        <v>0.1</v>
      </c>
      <c r="D143" s="310">
        <v>0.1</v>
      </c>
      <c r="E143" s="310">
        <v>0.1</v>
      </c>
      <c r="F143" s="310">
        <v>0.13</v>
      </c>
      <c r="G143" s="311">
        <v>0.1</v>
      </c>
    </row>
    <row r="144" spans="1:7">
      <c r="A144" s="320" t="s">
        <v>273</v>
      </c>
      <c r="B144" s="309" t="s">
        <v>2401</v>
      </c>
      <c r="C144" s="310">
        <v>0.106</v>
      </c>
      <c r="D144" s="310">
        <v>0.105</v>
      </c>
      <c r="E144" s="310">
        <v>0.1</v>
      </c>
      <c r="F144" s="310">
        <v>0.13</v>
      </c>
      <c r="G144" s="311">
        <v>0.11799999999999999</v>
      </c>
    </row>
    <row r="145" spans="1:7">
      <c r="A145" s="320" t="s">
        <v>273</v>
      </c>
      <c r="B145" s="309" t="s">
        <v>2411</v>
      </c>
      <c r="C145" s="310">
        <v>0.123</v>
      </c>
      <c r="D145" s="310">
        <v>0.123</v>
      </c>
      <c r="E145" s="310">
        <v>0.11700000000000001</v>
      </c>
      <c r="F145" s="310">
        <v>0.13</v>
      </c>
      <c r="G145" s="311">
        <v>0.126</v>
      </c>
    </row>
    <row r="146" spans="1:7">
      <c r="A146" s="320" t="s">
        <v>273</v>
      </c>
      <c r="B146" s="309" t="s">
        <v>2421</v>
      </c>
      <c r="C146" s="310">
        <v>0.127</v>
      </c>
      <c r="D146" s="310">
        <v>0.127</v>
      </c>
      <c r="E146" s="310">
        <v>0.12</v>
      </c>
      <c r="F146" s="321"/>
      <c r="G146" s="311">
        <v>0.129</v>
      </c>
    </row>
    <row r="147" spans="1:7">
      <c r="A147" s="320" t="s">
        <v>273</v>
      </c>
      <c r="B147" s="309" t="s">
        <v>2430</v>
      </c>
      <c r="C147" s="310">
        <v>0.13</v>
      </c>
      <c r="D147" s="310">
        <v>0.13</v>
      </c>
      <c r="E147" s="310">
        <v>0.126</v>
      </c>
      <c r="F147" s="321"/>
      <c r="G147" s="311">
        <v>0.13</v>
      </c>
    </row>
    <row r="148" spans="1:7">
      <c r="A148" s="320" t="s">
        <v>273</v>
      </c>
      <c r="B148" s="309" t="s">
        <v>2438</v>
      </c>
      <c r="C148" s="310">
        <v>0.13</v>
      </c>
      <c r="D148" s="310">
        <v>0.13</v>
      </c>
      <c r="E148" s="310">
        <v>0.13</v>
      </c>
      <c r="F148" s="321"/>
      <c r="G148" s="311">
        <v>0.13</v>
      </c>
    </row>
    <row r="149" spans="1:7">
      <c r="A149" s="320" t="s">
        <v>273</v>
      </c>
      <c r="B149" s="309" t="s">
        <v>2446</v>
      </c>
      <c r="C149" s="310">
        <v>0.13</v>
      </c>
      <c r="D149" s="310">
        <v>0.13</v>
      </c>
      <c r="E149" s="310">
        <v>0.13</v>
      </c>
      <c r="F149" s="310">
        <v>0.13</v>
      </c>
      <c r="G149" s="311">
        <v>0.13</v>
      </c>
    </row>
    <row r="150" spans="1:7">
      <c r="A150" s="320" t="s">
        <v>273</v>
      </c>
      <c r="B150" s="309" t="s">
        <v>2454</v>
      </c>
      <c r="C150" s="310">
        <v>0.13</v>
      </c>
      <c r="D150" s="310">
        <v>0.13</v>
      </c>
      <c r="E150" s="310">
        <v>0.127</v>
      </c>
      <c r="F150" s="310">
        <v>0.13</v>
      </c>
      <c r="G150" s="311">
        <v>0.13</v>
      </c>
    </row>
    <row r="151" spans="1:7">
      <c r="A151" s="320" t="s">
        <v>273</v>
      </c>
      <c r="B151" s="309" t="s">
        <v>2462</v>
      </c>
      <c r="C151" s="310">
        <v>0.13</v>
      </c>
      <c r="D151" s="310">
        <v>0.13</v>
      </c>
      <c r="E151" s="310">
        <v>0.13</v>
      </c>
      <c r="F151" s="310">
        <v>0.13</v>
      </c>
      <c r="G151" s="311">
        <v>0.13</v>
      </c>
    </row>
    <row r="152" spans="1:7">
      <c r="A152" s="320" t="s">
        <v>273</v>
      </c>
      <c r="B152" s="309" t="s">
        <v>2469</v>
      </c>
      <c r="C152" s="310">
        <v>0.13</v>
      </c>
      <c r="D152" s="310">
        <v>0.13</v>
      </c>
      <c r="E152" s="310">
        <v>0.13</v>
      </c>
      <c r="F152" s="310">
        <v>0.13</v>
      </c>
      <c r="G152" s="311">
        <v>0.13</v>
      </c>
    </row>
    <row r="153" spans="1:7">
      <c r="A153" s="320" t="s">
        <v>273</v>
      </c>
      <c r="B153" s="309" t="s">
        <v>2476</v>
      </c>
      <c r="C153" s="310">
        <v>0.13</v>
      </c>
      <c r="D153" s="310">
        <v>0.13</v>
      </c>
      <c r="E153" s="310">
        <v>0.13</v>
      </c>
      <c r="F153" s="310">
        <v>0.13</v>
      </c>
      <c r="G153" s="311">
        <v>0.13</v>
      </c>
    </row>
    <row r="154" spans="1:7">
      <c r="A154" s="320" t="s">
        <v>273</v>
      </c>
      <c r="B154" s="309" t="s">
        <v>2483</v>
      </c>
      <c r="C154" s="310">
        <v>0.121</v>
      </c>
      <c r="D154" s="310">
        <v>0.121</v>
      </c>
      <c r="E154" s="310">
        <v>0.105</v>
      </c>
      <c r="F154" s="310">
        <v>0.121</v>
      </c>
      <c r="G154" s="311">
        <v>0.123</v>
      </c>
    </row>
    <row r="155" spans="1:7">
      <c r="A155" s="320" t="s">
        <v>273</v>
      </c>
      <c r="B155" s="309" t="s">
        <v>2490</v>
      </c>
      <c r="C155" s="310">
        <v>0.1</v>
      </c>
      <c r="D155" s="310">
        <v>0.1</v>
      </c>
      <c r="E155" s="310">
        <v>0.1</v>
      </c>
      <c r="F155" s="310">
        <v>0.1</v>
      </c>
      <c r="G155" s="311">
        <v>0.1</v>
      </c>
    </row>
    <row r="156" spans="1:7">
      <c r="A156" s="320" t="s">
        <v>273</v>
      </c>
      <c r="B156" s="309" t="s">
        <v>2497</v>
      </c>
      <c r="C156" s="310">
        <v>0.13</v>
      </c>
      <c r="D156" s="310">
        <v>0.13</v>
      </c>
      <c r="E156" s="310">
        <v>0.13</v>
      </c>
      <c r="F156" s="310">
        <v>0.13</v>
      </c>
      <c r="G156" s="311">
        <v>0.13</v>
      </c>
    </row>
    <row r="157" spans="1:7">
      <c r="A157" s="320" t="s">
        <v>273</v>
      </c>
      <c r="B157" s="309" t="s">
        <v>2504</v>
      </c>
      <c r="C157" s="310">
        <v>0.13</v>
      </c>
      <c r="D157" s="310">
        <v>0.13</v>
      </c>
      <c r="E157" s="310">
        <v>0.125</v>
      </c>
      <c r="F157" s="310">
        <v>0.13</v>
      </c>
      <c r="G157" s="311">
        <v>0.13</v>
      </c>
    </row>
    <row r="158" spans="1:7">
      <c r="A158" s="320" t="s">
        <v>273</v>
      </c>
      <c r="B158" s="309" t="s">
        <v>2511</v>
      </c>
      <c r="C158" s="310">
        <v>0.124</v>
      </c>
      <c r="D158" s="310">
        <v>0.124</v>
      </c>
      <c r="E158" s="310">
        <v>0.11700000000000001</v>
      </c>
      <c r="F158" s="310">
        <v>0.121</v>
      </c>
      <c r="G158" s="311">
        <v>0.124</v>
      </c>
    </row>
    <row r="159" spans="1:7">
      <c r="A159" s="320" t="s">
        <v>273</v>
      </c>
      <c r="B159" s="309" t="s">
        <v>2516</v>
      </c>
      <c r="C159" s="310">
        <v>0.127</v>
      </c>
      <c r="D159" s="310">
        <v>0.127</v>
      </c>
      <c r="E159" s="310">
        <v>0.122</v>
      </c>
      <c r="F159" s="310">
        <v>0.13</v>
      </c>
      <c r="G159" s="311">
        <v>0.129</v>
      </c>
    </row>
    <row r="160" spans="1:7">
      <c r="A160" s="320" t="s">
        <v>273</v>
      </c>
      <c r="B160" s="309" t="s">
        <v>2521</v>
      </c>
      <c r="C160" s="310">
        <v>0.13</v>
      </c>
      <c r="D160" s="310">
        <v>0.13</v>
      </c>
      <c r="E160" s="310">
        <v>0.124</v>
      </c>
      <c r="F160" s="310">
        <v>0.126</v>
      </c>
      <c r="G160" s="311">
        <v>0.13</v>
      </c>
    </row>
    <row r="161" spans="1:7">
      <c r="A161" s="320" t="s">
        <v>273</v>
      </c>
      <c r="B161" s="309" t="s">
        <v>2526</v>
      </c>
      <c r="C161" s="310">
        <v>0.13</v>
      </c>
      <c r="D161" s="310">
        <v>0.13</v>
      </c>
      <c r="E161" s="310">
        <v>0.124</v>
      </c>
      <c r="F161" s="310">
        <v>0.127</v>
      </c>
      <c r="G161" s="311">
        <v>0.13</v>
      </c>
    </row>
    <row r="162" spans="1:7">
      <c r="A162" s="320" t="s">
        <v>273</v>
      </c>
      <c r="B162" s="309" t="s">
        <v>2531</v>
      </c>
      <c r="C162" s="310">
        <v>0.1</v>
      </c>
      <c r="D162" s="310">
        <v>0.1</v>
      </c>
      <c r="E162" s="310">
        <v>0.1</v>
      </c>
      <c r="F162" s="310">
        <v>0.121</v>
      </c>
      <c r="G162" s="311">
        <v>0.105</v>
      </c>
    </row>
    <row r="163" spans="1:7">
      <c r="A163" s="320" t="s">
        <v>273</v>
      </c>
      <c r="B163" s="309" t="s">
        <v>2536</v>
      </c>
      <c r="C163" s="310">
        <v>0.1</v>
      </c>
      <c r="D163" s="310">
        <v>0.1</v>
      </c>
      <c r="E163" s="310">
        <v>0.1</v>
      </c>
      <c r="F163" s="310">
        <v>0.1</v>
      </c>
      <c r="G163" s="311">
        <v>0.1</v>
      </c>
    </row>
    <row r="164" spans="1:7">
      <c r="A164" s="320" t="s">
        <v>273</v>
      </c>
      <c r="B164" s="309" t="s">
        <v>2541</v>
      </c>
      <c r="C164" s="326"/>
      <c r="D164" s="326"/>
      <c r="E164" s="326"/>
      <c r="F164" s="310">
        <v>0.1</v>
      </c>
      <c r="G164" s="322"/>
    </row>
    <row r="165" spans="1:7">
      <c r="A165" s="320" t="s">
        <v>273</v>
      </c>
      <c r="B165" s="309" t="s">
        <v>2546</v>
      </c>
      <c r="C165" s="310">
        <v>0.126</v>
      </c>
      <c r="D165" s="310">
        <v>0.126</v>
      </c>
      <c r="E165" s="310">
        <v>0.11899999999999999</v>
      </c>
      <c r="F165" s="310">
        <v>0.13</v>
      </c>
      <c r="G165" s="311">
        <v>0.128</v>
      </c>
    </row>
    <row r="166" spans="1:7">
      <c r="A166" s="320" t="s">
        <v>273</v>
      </c>
      <c r="B166" s="309" t="s">
        <v>2551</v>
      </c>
      <c r="C166" s="310">
        <v>0.129</v>
      </c>
      <c r="D166" s="310">
        <v>0.129</v>
      </c>
      <c r="E166" s="310">
        <v>0.123</v>
      </c>
      <c r="F166" s="310">
        <v>0.128</v>
      </c>
      <c r="G166" s="311">
        <v>0.13</v>
      </c>
    </row>
    <row r="167" spans="1:7">
      <c r="A167" s="320" t="s">
        <v>273</v>
      </c>
      <c r="B167" s="309" t="s">
        <v>2555</v>
      </c>
      <c r="C167" s="310">
        <v>0.125</v>
      </c>
      <c r="D167" s="310">
        <v>0.125</v>
      </c>
      <c r="E167" s="310">
        <v>0.11700000000000001</v>
      </c>
      <c r="F167" s="310">
        <v>0.13</v>
      </c>
      <c r="G167" s="311">
        <v>0.126</v>
      </c>
    </row>
    <row r="168" spans="1:7">
      <c r="A168" s="320" t="s">
        <v>273</v>
      </c>
      <c r="B168" s="309" t="s">
        <v>2559</v>
      </c>
      <c r="C168" s="310">
        <v>0.128</v>
      </c>
      <c r="D168" s="310">
        <v>0.128</v>
      </c>
      <c r="E168" s="310">
        <v>0.123</v>
      </c>
      <c r="F168" s="321"/>
      <c r="G168" s="311">
        <v>0.13</v>
      </c>
    </row>
    <row r="169" spans="1:7">
      <c r="A169" s="320" t="s">
        <v>273</v>
      </c>
      <c r="B169" s="309" t="s">
        <v>2563</v>
      </c>
      <c r="C169" s="326"/>
      <c r="D169" s="326"/>
      <c r="E169" s="326"/>
      <c r="F169" s="310">
        <v>0.05</v>
      </c>
      <c r="G169" s="322"/>
    </row>
    <row r="170" spans="1:7">
      <c r="A170" s="320" t="s">
        <v>273</v>
      </c>
      <c r="B170" s="309" t="s">
        <v>2567</v>
      </c>
      <c r="C170" s="326"/>
      <c r="D170" s="326"/>
      <c r="E170" s="326"/>
      <c r="F170" s="310">
        <v>0.05</v>
      </c>
      <c r="G170" s="322"/>
    </row>
    <row r="171" spans="1:7">
      <c r="A171" s="320" t="s">
        <v>273</v>
      </c>
      <c r="B171" s="309" t="s">
        <v>2570</v>
      </c>
      <c r="C171" s="326"/>
      <c r="D171" s="326"/>
      <c r="E171" s="326"/>
      <c r="F171" s="310">
        <v>0.05</v>
      </c>
      <c r="G171" s="327"/>
    </row>
    <row r="172" spans="1:7">
      <c r="A172" s="320" t="s">
        <v>273</v>
      </c>
      <c r="B172" s="309" t="s">
        <v>2572</v>
      </c>
      <c r="C172" s="326"/>
      <c r="D172" s="326"/>
      <c r="E172" s="326"/>
      <c r="F172" s="310">
        <v>0.05</v>
      </c>
      <c r="G172" s="327"/>
    </row>
    <row r="173" spans="1:7">
      <c r="A173" s="320" t="s">
        <v>273</v>
      </c>
      <c r="B173" s="309" t="s">
        <v>2574</v>
      </c>
      <c r="C173" s="326"/>
      <c r="D173" s="326"/>
      <c r="E173" s="326"/>
      <c r="F173" s="310">
        <v>0.05</v>
      </c>
      <c r="G173" s="322"/>
    </row>
    <row r="174" spans="1:7">
      <c r="A174" s="320" t="s">
        <v>273</v>
      </c>
      <c r="B174" s="309" t="s">
        <v>2576</v>
      </c>
      <c r="C174" s="326"/>
      <c r="D174" s="326"/>
      <c r="E174" s="326"/>
      <c r="F174" s="310">
        <v>0.05</v>
      </c>
      <c r="G174" s="322"/>
    </row>
    <row r="175" spans="1:7">
      <c r="A175" s="320" t="s">
        <v>273</v>
      </c>
      <c r="B175" s="309" t="s">
        <v>2578</v>
      </c>
      <c r="C175" s="326"/>
      <c r="D175" s="326"/>
      <c r="E175" s="326"/>
      <c r="F175" s="310">
        <v>0.05</v>
      </c>
      <c r="G175" s="322"/>
    </row>
    <row r="176" spans="1:7">
      <c r="A176" s="320" t="s">
        <v>273</v>
      </c>
      <c r="B176" s="309" t="s">
        <v>2580</v>
      </c>
      <c r="C176" s="326"/>
      <c r="D176" s="326"/>
      <c r="E176" s="326"/>
      <c r="F176" s="310">
        <v>0.05</v>
      </c>
      <c r="G176" s="322"/>
    </row>
    <row r="177" spans="1:7">
      <c r="A177" s="320" t="s">
        <v>273</v>
      </c>
      <c r="B177" s="309" t="s">
        <v>2582</v>
      </c>
      <c r="C177" s="321"/>
      <c r="D177" s="321"/>
      <c r="E177" s="321"/>
      <c r="F177" s="310">
        <v>0.05</v>
      </c>
      <c r="G177" s="327"/>
    </row>
    <row r="178" spans="1:7">
      <c r="A178" s="320" t="s">
        <v>273</v>
      </c>
      <c r="B178" s="309" t="s">
        <v>2583</v>
      </c>
      <c r="C178" s="321"/>
      <c r="D178" s="321"/>
      <c r="E178" s="321"/>
      <c r="F178" s="310">
        <v>0.05</v>
      </c>
      <c r="G178" s="327"/>
    </row>
    <row r="179" spans="1:7">
      <c r="A179" s="320" t="s">
        <v>273</v>
      </c>
      <c r="B179" s="309" t="s">
        <v>2584</v>
      </c>
      <c r="C179" s="321"/>
      <c r="D179" s="321"/>
      <c r="E179" s="321"/>
      <c r="F179" s="310">
        <v>0.05</v>
      </c>
      <c r="G179" s="327"/>
    </row>
    <row r="180" spans="1:7">
      <c r="A180" s="320" t="s">
        <v>273</v>
      </c>
      <c r="B180" s="309" t="s">
        <v>2585</v>
      </c>
      <c r="C180" s="321"/>
      <c r="D180" s="321"/>
      <c r="E180" s="321"/>
      <c r="F180" s="310">
        <v>0.05</v>
      </c>
      <c r="G180" s="327"/>
    </row>
    <row r="181" spans="1:7">
      <c r="A181" s="320" t="s">
        <v>273</v>
      </c>
      <c r="B181" s="309" t="s">
        <v>2586</v>
      </c>
      <c r="C181" s="321"/>
      <c r="D181" s="321"/>
      <c r="E181" s="321"/>
      <c r="F181" s="310">
        <v>0.05</v>
      </c>
      <c r="G181" s="327"/>
    </row>
    <row r="182" spans="1:7">
      <c r="A182" s="320" t="s">
        <v>273</v>
      </c>
      <c r="B182" s="309" t="s">
        <v>2587</v>
      </c>
      <c r="C182" s="321"/>
      <c r="D182" s="321"/>
      <c r="E182" s="321"/>
      <c r="F182" s="310">
        <v>0.05</v>
      </c>
      <c r="G182" s="327"/>
    </row>
    <row r="183" spans="1:7">
      <c r="A183" s="320" t="s">
        <v>273</v>
      </c>
      <c r="B183" s="309" t="s">
        <v>2588</v>
      </c>
      <c r="C183" s="321"/>
      <c r="D183" s="321"/>
      <c r="E183" s="321"/>
      <c r="F183" s="310">
        <v>0.05</v>
      </c>
      <c r="G183" s="327"/>
    </row>
    <row r="184" spans="1:7">
      <c r="A184" s="320" t="s">
        <v>273</v>
      </c>
      <c r="B184" s="309" t="s">
        <v>2589</v>
      </c>
      <c r="C184" s="321"/>
      <c r="D184" s="321"/>
      <c r="E184" s="321"/>
      <c r="F184" s="310">
        <v>0.05</v>
      </c>
      <c r="G184" s="327"/>
    </row>
    <row r="185" spans="1:7">
      <c r="A185" s="320" t="s">
        <v>273</v>
      </c>
      <c r="B185" s="309" t="s">
        <v>2590</v>
      </c>
      <c r="C185" s="321"/>
      <c r="D185" s="321"/>
      <c r="E185" s="321"/>
      <c r="F185" s="310">
        <v>0.05</v>
      </c>
      <c r="G185" s="327"/>
    </row>
    <row r="186" spans="1:7">
      <c r="A186" s="320" t="s">
        <v>273</v>
      </c>
      <c r="B186" s="309" t="s">
        <v>2591</v>
      </c>
      <c r="C186" s="321"/>
      <c r="D186" s="321"/>
      <c r="E186" s="321"/>
      <c r="F186" s="310">
        <v>0.05</v>
      </c>
      <c r="G186" s="327"/>
    </row>
    <row r="187" spans="1:7">
      <c r="A187" s="320" t="s">
        <v>273</v>
      </c>
      <c r="B187" s="309" t="s">
        <v>2592</v>
      </c>
      <c r="C187" s="321"/>
      <c r="D187" s="321"/>
      <c r="E187" s="321"/>
      <c r="F187" s="310">
        <v>0.05</v>
      </c>
      <c r="G187" s="327"/>
    </row>
    <row r="188" spans="1:7">
      <c r="A188" s="320" t="s">
        <v>273</v>
      </c>
      <c r="B188" s="309" t="s">
        <v>2593</v>
      </c>
      <c r="C188" s="321"/>
      <c r="D188" s="321"/>
      <c r="E188" s="321"/>
      <c r="F188" s="310">
        <v>0.05</v>
      </c>
      <c r="G188" s="327"/>
    </row>
    <row r="189" spans="1:7">
      <c r="A189" s="323" t="s">
        <v>273</v>
      </c>
      <c r="B189" s="313" t="s">
        <v>2594</v>
      </c>
      <c r="C189" s="315"/>
      <c r="D189" s="315"/>
      <c r="E189" s="315"/>
      <c r="F189" s="314">
        <v>0.05</v>
      </c>
      <c r="G189" s="328"/>
    </row>
    <row r="190" spans="1:7">
      <c r="A190" s="319" t="s">
        <v>278</v>
      </c>
      <c r="B190" s="305" t="s">
        <v>2219</v>
      </c>
      <c r="C190" s="306">
        <v>0.124</v>
      </c>
      <c r="D190" s="306">
        <v>0.124</v>
      </c>
      <c r="E190" s="306">
        <v>0.129</v>
      </c>
      <c r="F190" s="306">
        <v>0.13</v>
      </c>
      <c r="G190" s="307">
        <v>0.127</v>
      </c>
    </row>
    <row r="191" spans="1:7">
      <c r="A191" s="320" t="s">
        <v>278</v>
      </c>
      <c r="B191" s="309" t="s">
        <v>2232</v>
      </c>
      <c r="C191" s="310">
        <v>0.13</v>
      </c>
      <c r="D191" s="310">
        <v>0.13</v>
      </c>
      <c r="E191" s="310">
        <v>0.13</v>
      </c>
      <c r="F191" s="310">
        <v>0.13</v>
      </c>
      <c r="G191" s="311">
        <v>0.13</v>
      </c>
    </row>
    <row r="192" spans="1:7">
      <c r="A192" s="320" t="s">
        <v>278</v>
      </c>
      <c r="B192" s="309" t="s">
        <v>2246</v>
      </c>
      <c r="C192" s="310">
        <v>0.13</v>
      </c>
      <c r="D192" s="310">
        <v>0.13</v>
      </c>
      <c r="E192" s="310">
        <v>0.13</v>
      </c>
      <c r="F192" s="310">
        <v>0.13</v>
      </c>
      <c r="G192" s="311">
        <v>0.13</v>
      </c>
    </row>
    <row r="193" spans="1:7">
      <c r="A193" s="320" t="s">
        <v>278</v>
      </c>
      <c r="B193" s="309" t="s">
        <v>2258</v>
      </c>
      <c r="C193" s="310">
        <v>0.13</v>
      </c>
      <c r="D193" s="310">
        <v>0.13</v>
      </c>
      <c r="E193" s="310">
        <v>0.13</v>
      </c>
      <c r="F193" s="310">
        <v>0.13</v>
      </c>
      <c r="G193" s="311">
        <v>0.13</v>
      </c>
    </row>
    <row r="194" spans="1:7">
      <c r="A194" s="320" t="s">
        <v>278</v>
      </c>
      <c r="B194" s="309" t="s">
        <v>2270</v>
      </c>
      <c r="C194" s="310">
        <v>0.123</v>
      </c>
      <c r="D194" s="310">
        <v>0.123</v>
      </c>
      <c r="E194" s="310">
        <v>0.128</v>
      </c>
      <c r="F194" s="310">
        <v>0.13</v>
      </c>
      <c r="G194" s="311">
        <v>0.126</v>
      </c>
    </row>
    <row r="195" spans="1:7">
      <c r="A195" s="320" t="s">
        <v>278</v>
      </c>
      <c r="B195" s="309" t="s">
        <v>2281</v>
      </c>
      <c r="C195" s="310">
        <v>0.127</v>
      </c>
      <c r="D195" s="310">
        <v>0.127</v>
      </c>
      <c r="E195" s="310">
        <v>0.121</v>
      </c>
      <c r="F195" s="310">
        <v>0.129</v>
      </c>
      <c r="G195" s="311">
        <v>0.129</v>
      </c>
    </row>
    <row r="196" spans="1:7">
      <c r="A196" s="320" t="s">
        <v>278</v>
      </c>
      <c r="B196" s="309" t="s">
        <v>2292</v>
      </c>
      <c r="C196" s="310">
        <v>0.127</v>
      </c>
      <c r="D196" s="310">
        <v>0.128</v>
      </c>
      <c r="E196" s="310">
        <v>0.122</v>
      </c>
      <c r="F196" s="310">
        <v>0.13</v>
      </c>
      <c r="G196" s="311">
        <v>0.129</v>
      </c>
    </row>
    <row r="197" spans="1:7">
      <c r="A197" s="320" t="s">
        <v>278</v>
      </c>
      <c r="B197" s="309" t="s">
        <v>2303</v>
      </c>
      <c r="C197" s="310">
        <v>0.126</v>
      </c>
      <c r="D197" s="310">
        <v>0.126</v>
      </c>
      <c r="E197" s="310">
        <v>0.11899999999999999</v>
      </c>
      <c r="F197" s="310">
        <v>0.13</v>
      </c>
      <c r="G197" s="311">
        <v>0.128</v>
      </c>
    </row>
    <row r="198" spans="1:7">
      <c r="A198" s="320" t="s">
        <v>278</v>
      </c>
      <c r="B198" s="309" t="s">
        <v>2313</v>
      </c>
      <c r="C198" s="310">
        <v>0.13</v>
      </c>
      <c r="D198" s="310">
        <v>0.13</v>
      </c>
      <c r="E198" s="310">
        <v>0.126</v>
      </c>
      <c r="F198" s="326"/>
      <c r="G198" s="311">
        <v>0.13</v>
      </c>
    </row>
    <row r="199" spans="1:7">
      <c r="A199" s="320" t="s">
        <v>278</v>
      </c>
      <c r="B199" s="309" t="s">
        <v>2323</v>
      </c>
      <c r="C199" s="310">
        <v>0.13</v>
      </c>
      <c r="D199" s="310">
        <v>0.13</v>
      </c>
      <c r="E199" s="310">
        <v>0.13</v>
      </c>
      <c r="F199" s="310">
        <v>0.13</v>
      </c>
      <c r="G199" s="311">
        <v>0.13</v>
      </c>
    </row>
    <row r="200" spans="1:7">
      <c r="A200" s="320" t="s">
        <v>278</v>
      </c>
      <c r="B200" s="309" t="s">
        <v>2333</v>
      </c>
      <c r="C200" s="326"/>
      <c r="D200" s="326"/>
      <c r="E200" s="326"/>
      <c r="F200" s="310">
        <v>0.13</v>
      </c>
      <c r="G200" s="322"/>
    </row>
    <row r="201" spans="1:7">
      <c r="A201" s="320" t="s">
        <v>278</v>
      </c>
      <c r="B201" s="309" t="s">
        <v>497</v>
      </c>
      <c r="C201" s="310">
        <v>0.13</v>
      </c>
      <c r="D201" s="310">
        <v>0.13</v>
      </c>
      <c r="E201" s="310">
        <v>0.13</v>
      </c>
      <c r="F201" s="310">
        <v>0.129</v>
      </c>
      <c r="G201" s="311">
        <v>0.13</v>
      </c>
    </row>
    <row r="202" spans="1:7">
      <c r="A202" s="320" t="s">
        <v>278</v>
      </c>
      <c r="B202" s="309" t="s">
        <v>2352</v>
      </c>
      <c r="C202" s="310">
        <v>0.13</v>
      </c>
      <c r="D202" s="310">
        <v>0.13</v>
      </c>
      <c r="E202" s="310">
        <v>0.13</v>
      </c>
      <c r="F202" s="310">
        <v>0.13</v>
      </c>
      <c r="G202" s="311">
        <v>0.13</v>
      </c>
    </row>
    <row r="203" spans="1:7">
      <c r="A203" s="320" t="s">
        <v>278</v>
      </c>
      <c r="B203" s="309" t="s">
        <v>2362</v>
      </c>
      <c r="C203" s="310">
        <v>0.129</v>
      </c>
      <c r="D203" s="310">
        <v>0.129</v>
      </c>
      <c r="E203" s="310">
        <v>0.13</v>
      </c>
      <c r="F203" s="310">
        <v>0.13</v>
      </c>
      <c r="G203" s="311">
        <v>0.13</v>
      </c>
    </row>
    <row r="204" spans="1:7">
      <c r="A204" s="320" t="s">
        <v>278</v>
      </c>
      <c r="B204" s="309" t="s">
        <v>2372</v>
      </c>
      <c r="C204" s="310">
        <v>0.129</v>
      </c>
      <c r="D204" s="310">
        <v>0.129</v>
      </c>
      <c r="E204" s="310">
        <v>0.123</v>
      </c>
      <c r="F204" s="310">
        <v>0.13</v>
      </c>
      <c r="G204" s="311">
        <v>0.13</v>
      </c>
    </row>
    <row r="205" spans="1:7">
      <c r="A205" s="320" t="s">
        <v>278</v>
      </c>
      <c r="B205" s="309" t="s">
        <v>2382</v>
      </c>
      <c r="C205" s="310">
        <v>0.13</v>
      </c>
      <c r="D205" s="310">
        <v>0.13</v>
      </c>
      <c r="E205" s="310">
        <v>0.13</v>
      </c>
      <c r="F205" s="310">
        <v>0.13</v>
      </c>
      <c r="G205" s="311">
        <v>0.13</v>
      </c>
    </row>
    <row r="206" spans="1:7">
      <c r="A206" s="320" t="s">
        <v>278</v>
      </c>
      <c r="B206" s="309" t="s">
        <v>2392</v>
      </c>
      <c r="C206" s="310">
        <v>0.13</v>
      </c>
      <c r="D206" s="310">
        <v>0.13</v>
      </c>
      <c r="E206" s="310">
        <v>0.13</v>
      </c>
      <c r="F206" s="310">
        <v>0.128</v>
      </c>
      <c r="G206" s="311">
        <v>0.13</v>
      </c>
    </row>
    <row r="207" spans="1:7">
      <c r="A207" s="320" t="s">
        <v>278</v>
      </c>
      <c r="B207" s="309" t="s">
        <v>2402</v>
      </c>
      <c r="C207" s="310">
        <v>0.13</v>
      </c>
      <c r="D207" s="310">
        <v>0.13</v>
      </c>
      <c r="E207" s="310">
        <v>0.13</v>
      </c>
      <c r="F207" s="310">
        <v>0.13</v>
      </c>
      <c r="G207" s="311">
        <v>0.13</v>
      </c>
    </row>
    <row r="208" spans="1:7">
      <c r="A208" s="320" t="s">
        <v>278</v>
      </c>
      <c r="B208" s="309" t="s">
        <v>2412</v>
      </c>
      <c r="C208" s="310">
        <v>0.13</v>
      </c>
      <c r="D208" s="310">
        <v>0.13</v>
      </c>
      <c r="E208" s="310">
        <v>0.13</v>
      </c>
      <c r="F208" s="310">
        <v>0.13</v>
      </c>
      <c r="G208" s="311">
        <v>0.13</v>
      </c>
    </row>
    <row r="209" spans="1:7">
      <c r="A209" s="320" t="s">
        <v>278</v>
      </c>
      <c r="B209" s="309" t="s">
        <v>2422</v>
      </c>
      <c r="C209" s="310">
        <v>0.13</v>
      </c>
      <c r="D209" s="310">
        <v>0.13</v>
      </c>
      <c r="E209" s="310">
        <v>0.13</v>
      </c>
      <c r="F209" s="310">
        <v>0.13</v>
      </c>
      <c r="G209" s="311">
        <v>0.13</v>
      </c>
    </row>
    <row r="210" spans="1:7">
      <c r="A210" s="320" t="s">
        <v>278</v>
      </c>
      <c r="B210" s="309" t="s">
        <v>2431</v>
      </c>
      <c r="C210" s="310">
        <v>0.121</v>
      </c>
      <c r="D210" s="310">
        <v>0.121</v>
      </c>
      <c r="E210" s="310">
        <v>0.125</v>
      </c>
      <c r="F210" s="310">
        <v>0.13</v>
      </c>
      <c r="G210" s="311">
        <v>0.123</v>
      </c>
    </row>
    <row r="211" spans="1:7">
      <c r="A211" s="320" t="s">
        <v>278</v>
      </c>
      <c r="B211" s="309" t="s">
        <v>2439</v>
      </c>
      <c r="C211" s="310">
        <v>0.123</v>
      </c>
      <c r="D211" s="310">
        <v>0.123</v>
      </c>
      <c r="E211" s="310">
        <v>0.127</v>
      </c>
      <c r="F211" s="310">
        <v>0.115</v>
      </c>
      <c r="G211" s="311">
        <v>0.126</v>
      </c>
    </row>
    <row r="212" spans="1:7">
      <c r="A212" s="320" t="s">
        <v>278</v>
      </c>
      <c r="B212" s="309" t="s">
        <v>2447</v>
      </c>
      <c r="C212" s="310">
        <v>0.126</v>
      </c>
      <c r="D212" s="310">
        <v>0.126</v>
      </c>
      <c r="E212" s="310">
        <v>0.13</v>
      </c>
      <c r="F212" s="310">
        <v>0.13</v>
      </c>
      <c r="G212" s="311">
        <v>0.129</v>
      </c>
    </row>
    <row r="213" spans="1:7">
      <c r="A213" s="320" t="s">
        <v>278</v>
      </c>
      <c r="B213" s="309" t="s">
        <v>2455</v>
      </c>
      <c r="C213" s="310">
        <v>0.129</v>
      </c>
      <c r="D213" s="310">
        <v>0.13</v>
      </c>
      <c r="E213" s="310">
        <v>0.127</v>
      </c>
      <c r="F213" s="310">
        <v>0.13</v>
      </c>
      <c r="G213" s="311">
        <v>0.13</v>
      </c>
    </row>
    <row r="214" spans="1:7">
      <c r="A214" s="320" t="s">
        <v>278</v>
      </c>
      <c r="B214" s="309" t="s">
        <v>2463</v>
      </c>
      <c r="C214" s="310">
        <v>0.128</v>
      </c>
      <c r="D214" s="310">
        <v>0.128</v>
      </c>
      <c r="E214" s="310">
        <v>0.13</v>
      </c>
      <c r="F214" s="310">
        <v>0.13</v>
      </c>
      <c r="G214" s="311">
        <v>0.13</v>
      </c>
    </row>
    <row r="215" spans="1:7">
      <c r="A215" s="320" t="s">
        <v>278</v>
      </c>
      <c r="B215" s="309" t="s">
        <v>2470</v>
      </c>
      <c r="C215" s="310">
        <v>0.13</v>
      </c>
      <c r="D215" s="310">
        <v>0.13</v>
      </c>
      <c r="E215" s="310">
        <v>0.13</v>
      </c>
      <c r="F215" s="310">
        <v>0.129</v>
      </c>
      <c r="G215" s="311">
        <v>0.13</v>
      </c>
    </row>
    <row r="216" spans="1:7">
      <c r="A216" s="320" t="s">
        <v>278</v>
      </c>
      <c r="B216" s="309" t="s">
        <v>2477</v>
      </c>
      <c r="C216" s="310">
        <v>0.13</v>
      </c>
      <c r="D216" s="310">
        <v>0.13</v>
      </c>
      <c r="E216" s="310">
        <v>0.13</v>
      </c>
      <c r="F216" s="310">
        <v>0.13</v>
      </c>
      <c r="G216" s="311">
        <v>0.13</v>
      </c>
    </row>
    <row r="217" spans="1:7">
      <c r="A217" s="320" t="s">
        <v>278</v>
      </c>
      <c r="B217" s="309" t="s">
        <v>2484</v>
      </c>
      <c r="C217" s="310">
        <v>0.129</v>
      </c>
      <c r="D217" s="310">
        <v>0.129</v>
      </c>
      <c r="E217" s="310">
        <v>0.13</v>
      </c>
      <c r="F217" s="310">
        <v>0.13</v>
      </c>
      <c r="G217" s="311">
        <v>0.13</v>
      </c>
    </row>
    <row r="218" spans="1:7">
      <c r="A218" s="320" t="s">
        <v>278</v>
      </c>
      <c r="B218" s="309" t="s">
        <v>2491</v>
      </c>
      <c r="C218" s="321"/>
      <c r="D218" s="321"/>
      <c r="E218" s="321"/>
      <c r="F218" s="310">
        <v>0.05</v>
      </c>
      <c r="G218" s="327"/>
    </row>
    <row r="219" spans="1:7">
      <c r="A219" s="320" t="s">
        <v>278</v>
      </c>
      <c r="B219" s="309" t="s">
        <v>2498</v>
      </c>
      <c r="C219" s="321"/>
      <c r="D219" s="321"/>
      <c r="E219" s="321"/>
      <c r="F219" s="310">
        <v>0.05</v>
      </c>
      <c r="G219" s="327"/>
    </row>
    <row r="220" spans="1:7">
      <c r="A220" s="320" t="s">
        <v>278</v>
      </c>
      <c r="B220" s="309" t="s">
        <v>2505</v>
      </c>
      <c r="C220" s="321"/>
      <c r="D220" s="321"/>
      <c r="E220" s="321"/>
      <c r="F220" s="310">
        <v>0.05</v>
      </c>
      <c r="G220" s="327"/>
    </row>
    <row r="221" spans="1:7">
      <c r="A221" s="320" t="s">
        <v>278</v>
      </c>
      <c r="B221" s="309" t="s">
        <v>2512</v>
      </c>
      <c r="C221" s="321"/>
      <c r="D221" s="321"/>
      <c r="E221" s="321"/>
      <c r="F221" s="310">
        <v>0.05</v>
      </c>
      <c r="G221" s="327"/>
    </row>
    <row r="222" spans="1:7">
      <c r="A222" s="320" t="s">
        <v>278</v>
      </c>
      <c r="B222" s="309" t="s">
        <v>2517</v>
      </c>
      <c r="C222" s="321"/>
      <c r="D222" s="321"/>
      <c r="E222" s="321"/>
      <c r="F222" s="310">
        <v>0.05</v>
      </c>
      <c r="G222" s="327"/>
    </row>
    <row r="223" spans="1:7">
      <c r="A223" s="320" t="s">
        <v>278</v>
      </c>
      <c r="B223" s="309" t="s">
        <v>2522</v>
      </c>
      <c r="C223" s="321"/>
      <c r="D223" s="321"/>
      <c r="E223" s="321"/>
      <c r="F223" s="310">
        <v>0.05</v>
      </c>
      <c r="G223" s="327"/>
    </row>
    <row r="224" spans="1:7">
      <c r="A224" s="320" t="s">
        <v>278</v>
      </c>
      <c r="B224" s="309" t="s">
        <v>2527</v>
      </c>
      <c r="C224" s="321"/>
      <c r="D224" s="321"/>
      <c r="E224" s="321"/>
      <c r="F224" s="310">
        <v>0.05</v>
      </c>
      <c r="G224" s="327"/>
    </row>
    <row r="225" spans="1:7">
      <c r="A225" s="320" t="s">
        <v>278</v>
      </c>
      <c r="B225" s="309" t="s">
        <v>2532</v>
      </c>
      <c r="C225" s="321"/>
      <c r="D225" s="321"/>
      <c r="E225" s="321"/>
      <c r="F225" s="310">
        <v>0.05</v>
      </c>
      <c r="G225" s="327"/>
    </row>
    <row r="226" spans="1:7">
      <c r="A226" s="320" t="s">
        <v>278</v>
      </c>
      <c r="B226" s="309" t="s">
        <v>2537</v>
      </c>
      <c r="C226" s="321"/>
      <c r="D226" s="321"/>
      <c r="E226" s="321"/>
      <c r="F226" s="310">
        <v>0.05</v>
      </c>
      <c r="G226" s="327"/>
    </row>
    <row r="227" spans="1:7">
      <c r="A227" s="320" t="s">
        <v>278</v>
      </c>
      <c r="B227" s="309" t="s">
        <v>2596</v>
      </c>
      <c r="C227" s="321"/>
      <c r="D227" s="321"/>
      <c r="E227" s="321"/>
      <c r="F227" s="310">
        <v>0.05</v>
      </c>
      <c r="G227" s="327"/>
    </row>
    <row r="228" spans="1:7">
      <c r="A228" s="320" t="s">
        <v>278</v>
      </c>
      <c r="B228" s="309" t="s">
        <v>2597</v>
      </c>
      <c r="C228" s="321"/>
      <c r="D228" s="321"/>
      <c r="E228" s="321"/>
      <c r="F228" s="310">
        <v>0.05</v>
      </c>
      <c r="G228" s="327"/>
    </row>
    <row r="229" spans="1:7">
      <c r="A229" s="320" t="s">
        <v>278</v>
      </c>
      <c r="B229" s="309" t="s">
        <v>2598</v>
      </c>
      <c r="C229" s="321"/>
      <c r="D229" s="321"/>
      <c r="E229" s="321"/>
      <c r="F229" s="310">
        <v>0.05</v>
      </c>
      <c r="G229" s="327"/>
    </row>
    <row r="230" spans="1:7">
      <c r="A230" s="320" t="s">
        <v>278</v>
      </c>
      <c r="B230" s="309" t="s">
        <v>2556</v>
      </c>
      <c r="C230" s="321"/>
      <c r="D230" s="321"/>
      <c r="E230" s="321"/>
      <c r="F230" s="310">
        <v>0.05</v>
      </c>
      <c r="G230" s="327"/>
    </row>
    <row r="231" spans="1:7">
      <c r="A231" s="320" t="s">
        <v>278</v>
      </c>
      <c r="B231" s="309" t="s">
        <v>2560</v>
      </c>
      <c r="C231" s="321"/>
      <c r="D231" s="321"/>
      <c r="E231" s="321"/>
      <c r="F231" s="310">
        <v>0.05</v>
      </c>
      <c r="G231" s="327"/>
    </row>
    <row r="232" spans="1:7">
      <c r="A232" s="320" t="s">
        <v>278</v>
      </c>
      <c r="B232" s="309" t="s">
        <v>2599</v>
      </c>
      <c r="C232" s="321"/>
      <c r="D232" s="321"/>
      <c r="E232" s="321"/>
      <c r="F232" s="310">
        <v>0.05</v>
      </c>
      <c r="G232" s="327"/>
    </row>
    <row r="233" spans="1:7">
      <c r="A233" s="323" t="s">
        <v>278</v>
      </c>
      <c r="B233" s="313" t="s">
        <v>2568</v>
      </c>
      <c r="C233" s="315"/>
      <c r="D233" s="315"/>
      <c r="E233" s="315"/>
      <c r="F233" s="314">
        <v>0.05</v>
      </c>
      <c r="G233" s="328"/>
    </row>
    <row r="234" spans="1:7">
      <c r="A234" s="319" t="s">
        <v>284</v>
      </c>
      <c r="B234" s="305" t="s">
        <v>2220</v>
      </c>
      <c r="C234" s="306">
        <v>0.13</v>
      </c>
      <c r="D234" s="306">
        <v>0.128</v>
      </c>
      <c r="E234" s="306">
        <v>0.14199999999999999</v>
      </c>
      <c r="F234" s="306">
        <v>0.14699999999999999</v>
      </c>
      <c r="G234" s="307">
        <v>0.14000000000000001</v>
      </c>
    </row>
    <row r="235" spans="1:7">
      <c r="A235" s="320" t="s">
        <v>284</v>
      </c>
      <c r="B235" s="309" t="s">
        <v>2233</v>
      </c>
      <c r="C235" s="310">
        <v>0.13600000000000001</v>
      </c>
      <c r="D235" s="310">
        <v>0.13800000000000001</v>
      </c>
      <c r="E235" s="310">
        <v>0.14499999999999999</v>
      </c>
      <c r="F235" s="310">
        <v>0.14299999999999999</v>
      </c>
      <c r="G235" s="311">
        <v>0.14099999999999999</v>
      </c>
    </row>
    <row r="236" spans="1:7">
      <c r="A236" s="320" t="s">
        <v>284</v>
      </c>
      <c r="B236" s="309" t="s">
        <v>2247</v>
      </c>
      <c r="C236" s="310">
        <v>0.15</v>
      </c>
      <c r="D236" s="310">
        <v>0.15</v>
      </c>
      <c r="E236" s="310">
        <v>0.15</v>
      </c>
      <c r="F236" s="310">
        <v>0.15</v>
      </c>
      <c r="G236" s="311">
        <v>0.15</v>
      </c>
    </row>
    <row r="237" spans="1:7">
      <c r="A237" s="320" t="s">
        <v>284</v>
      </c>
      <c r="B237" s="309" t="s">
        <v>2259</v>
      </c>
      <c r="C237" s="310">
        <v>0.15</v>
      </c>
      <c r="D237" s="310">
        <v>0.15</v>
      </c>
      <c r="E237" s="310">
        <v>0.15</v>
      </c>
      <c r="F237" s="310">
        <v>0.15</v>
      </c>
      <c r="G237" s="311">
        <v>0.15</v>
      </c>
    </row>
    <row r="238" spans="1:7">
      <c r="A238" s="320" t="s">
        <v>284</v>
      </c>
      <c r="B238" s="309" t="s">
        <v>2271</v>
      </c>
      <c r="C238" s="310">
        <v>0.14899999999999999</v>
      </c>
      <c r="D238" s="310">
        <v>0.14899999999999999</v>
      </c>
      <c r="E238" s="310">
        <v>0.15</v>
      </c>
      <c r="F238" s="310">
        <v>0.15</v>
      </c>
      <c r="G238" s="311">
        <v>0.15</v>
      </c>
    </row>
    <row r="239" spans="1:7">
      <c r="A239" s="320" t="s">
        <v>284</v>
      </c>
      <c r="B239" s="309" t="s">
        <v>2282</v>
      </c>
      <c r="C239" s="310">
        <v>0.15</v>
      </c>
      <c r="D239" s="310">
        <v>0.15</v>
      </c>
      <c r="E239" s="310">
        <v>0.15</v>
      </c>
      <c r="F239" s="310">
        <v>0.15</v>
      </c>
      <c r="G239" s="311">
        <v>0.15</v>
      </c>
    </row>
    <row r="240" spans="1:7">
      <c r="A240" s="320" t="s">
        <v>284</v>
      </c>
      <c r="B240" s="309" t="s">
        <v>2293</v>
      </c>
      <c r="C240" s="310">
        <v>0.15</v>
      </c>
      <c r="D240" s="310">
        <v>0.15</v>
      </c>
      <c r="E240" s="310">
        <v>0.15</v>
      </c>
      <c r="F240" s="310">
        <v>0.15</v>
      </c>
      <c r="G240" s="311">
        <v>0.15</v>
      </c>
    </row>
    <row r="241" spans="1:7">
      <c r="A241" s="320" t="s">
        <v>284</v>
      </c>
      <c r="B241" s="309" t="s">
        <v>2304</v>
      </c>
      <c r="C241" s="310">
        <v>0.14099999999999999</v>
      </c>
      <c r="D241" s="310">
        <v>0.14199999999999999</v>
      </c>
      <c r="E241" s="310">
        <v>0.14899999999999999</v>
      </c>
      <c r="F241" s="310">
        <v>0.15</v>
      </c>
      <c r="G241" s="311">
        <v>0.14399999999999999</v>
      </c>
    </row>
    <row r="242" spans="1:7">
      <c r="A242" s="320" t="s">
        <v>284</v>
      </c>
      <c r="B242" s="309" t="s">
        <v>2314</v>
      </c>
      <c r="C242" s="310">
        <v>0.14099999999999999</v>
      </c>
      <c r="D242" s="310">
        <v>0.14199999999999999</v>
      </c>
      <c r="E242" s="310">
        <v>0.14799999999999999</v>
      </c>
      <c r="F242" s="310">
        <v>0.127</v>
      </c>
      <c r="G242" s="311">
        <v>0.14399999999999999</v>
      </c>
    </row>
    <row r="243" spans="1:7">
      <c r="A243" s="320" t="s">
        <v>284</v>
      </c>
      <c r="B243" s="309" t="s">
        <v>2324</v>
      </c>
      <c r="C243" s="310">
        <v>0.14699999999999999</v>
      </c>
      <c r="D243" s="310">
        <v>0.14699999999999999</v>
      </c>
      <c r="E243" s="310">
        <v>0.15</v>
      </c>
      <c r="F243" s="310">
        <v>0.15</v>
      </c>
      <c r="G243" s="311">
        <v>0.14899999999999999</v>
      </c>
    </row>
    <row r="244" spans="1:7">
      <c r="A244" s="320" t="s">
        <v>284</v>
      </c>
      <c r="B244" s="309" t="s">
        <v>2334</v>
      </c>
      <c r="C244" s="310">
        <v>0.15</v>
      </c>
      <c r="D244" s="310">
        <v>0.15</v>
      </c>
      <c r="E244" s="310">
        <v>0.15</v>
      </c>
      <c r="F244" s="310">
        <v>0.15</v>
      </c>
      <c r="G244" s="311">
        <v>0.15</v>
      </c>
    </row>
    <row r="245" spans="1:7">
      <c r="A245" s="320" t="s">
        <v>284</v>
      </c>
      <c r="B245" s="309" t="s">
        <v>2343</v>
      </c>
      <c r="C245" s="310">
        <v>0.14199999999999999</v>
      </c>
      <c r="D245" s="310">
        <v>0.14199999999999999</v>
      </c>
      <c r="E245" s="310">
        <v>0.15</v>
      </c>
      <c r="F245" s="310">
        <v>0.15</v>
      </c>
      <c r="G245" s="311">
        <v>0.14499999999999999</v>
      </c>
    </row>
    <row r="246" spans="1:7">
      <c r="A246" s="320" t="s">
        <v>284</v>
      </c>
      <c r="B246" s="309" t="s">
        <v>2353</v>
      </c>
      <c r="C246" s="310">
        <v>0.14199999999999999</v>
      </c>
      <c r="D246" s="310">
        <v>0.14299999999999999</v>
      </c>
      <c r="E246" s="310">
        <v>0.15</v>
      </c>
      <c r="F246" s="310">
        <v>0.14199999999999999</v>
      </c>
      <c r="G246" s="311">
        <v>0.14399999999999999</v>
      </c>
    </row>
    <row r="247" spans="1:7">
      <c r="A247" s="320" t="s">
        <v>284</v>
      </c>
      <c r="B247" s="309" t="s">
        <v>2363</v>
      </c>
      <c r="C247" s="310">
        <v>0.14899999999999999</v>
      </c>
      <c r="D247" s="310">
        <v>0.14899999999999999</v>
      </c>
      <c r="E247" s="310">
        <v>0.15</v>
      </c>
      <c r="F247" s="310">
        <v>0.15</v>
      </c>
      <c r="G247" s="311">
        <v>0.15</v>
      </c>
    </row>
    <row r="248" spans="1:7">
      <c r="A248" s="320" t="s">
        <v>284</v>
      </c>
      <c r="B248" s="309" t="s">
        <v>2373</v>
      </c>
      <c r="C248" s="310">
        <v>0.14399999999999999</v>
      </c>
      <c r="D248" s="310">
        <v>0.14399999999999999</v>
      </c>
      <c r="E248" s="310">
        <v>0.14899999999999999</v>
      </c>
      <c r="F248" s="310">
        <v>0.14799999999999999</v>
      </c>
      <c r="G248" s="311">
        <v>0.14599999999999999</v>
      </c>
    </row>
    <row r="249" spans="1:7">
      <c r="A249" s="320" t="s">
        <v>284</v>
      </c>
      <c r="B249" s="309" t="s">
        <v>2383</v>
      </c>
      <c r="C249" s="310">
        <v>0.14000000000000001</v>
      </c>
      <c r="D249" s="310">
        <v>0.14000000000000001</v>
      </c>
      <c r="E249" s="310">
        <v>0.14699999999999999</v>
      </c>
      <c r="F249" s="310">
        <v>0.14899999999999999</v>
      </c>
      <c r="G249" s="311">
        <v>0.14199999999999999</v>
      </c>
    </row>
    <row r="250" spans="1:7">
      <c r="A250" s="320" t="s">
        <v>284</v>
      </c>
      <c r="B250" s="309" t="s">
        <v>2393</v>
      </c>
      <c r="C250" s="310">
        <v>0.14399999999999999</v>
      </c>
      <c r="D250" s="310">
        <v>0.14299999999999999</v>
      </c>
      <c r="E250" s="310">
        <v>0.14899999999999999</v>
      </c>
      <c r="F250" s="310">
        <v>0.15</v>
      </c>
      <c r="G250" s="311">
        <v>0.14599999999999999</v>
      </c>
    </row>
    <row r="251" spans="1:7">
      <c r="A251" s="320" t="s">
        <v>284</v>
      </c>
      <c r="B251" s="309" t="s">
        <v>2403</v>
      </c>
      <c r="C251" s="326"/>
      <c r="D251" s="321"/>
      <c r="E251" s="321"/>
      <c r="F251" s="310">
        <v>0.1</v>
      </c>
      <c r="G251" s="327"/>
    </row>
    <row r="252" spans="1:7">
      <c r="A252" s="320" t="s">
        <v>284</v>
      </c>
      <c r="B252" s="309" t="s">
        <v>2413</v>
      </c>
      <c r="C252" s="310">
        <v>0.14399999999999999</v>
      </c>
      <c r="D252" s="310">
        <v>0.14399999999999999</v>
      </c>
      <c r="E252" s="310">
        <v>0.15</v>
      </c>
      <c r="F252" s="310">
        <v>0.14899999999999999</v>
      </c>
      <c r="G252" s="311">
        <v>0.14599999999999999</v>
      </c>
    </row>
    <row r="253" spans="1:7">
      <c r="A253" s="320" t="s">
        <v>284</v>
      </c>
      <c r="B253" s="309" t="s">
        <v>2423</v>
      </c>
      <c r="C253" s="310">
        <v>0.14199999999999999</v>
      </c>
      <c r="D253" s="310">
        <v>0.14199999999999999</v>
      </c>
      <c r="E253" s="310">
        <v>0.14599999999999999</v>
      </c>
      <c r="F253" s="310">
        <v>0.14799999999999999</v>
      </c>
      <c r="G253" s="311">
        <v>0.14499999999999999</v>
      </c>
    </row>
    <row r="254" spans="1:7">
      <c r="A254" s="320" t="s">
        <v>284</v>
      </c>
      <c r="B254" s="309" t="s">
        <v>2432</v>
      </c>
      <c r="C254" s="310">
        <v>0.15</v>
      </c>
      <c r="D254" s="310">
        <v>0.15</v>
      </c>
      <c r="E254" s="310">
        <v>0.15</v>
      </c>
      <c r="F254" s="310">
        <v>0.15</v>
      </c>
      <c r="G254" s="311">
        <v>0.15</v>
      </c>
    </row>
    <row r="255" spans="1:7">
      <c r="A255" s="320" t="s">
        <v>284</v>
      </c>
      <c r="B255" s="309" t="s">
        <v>2440</v>
      </c>
      <c r="C255" s="310">
        <v>0.14299999999999999</v>
      </c>
      <c r="D255" s="310">
        <v>0.14299999999999999</v>
      </c>
      <c r="E255" s="310">
        <v>0.15</v>
      </c>
      <c r="F255" s="310">
        <v>0.15</v>
      </c>
      <c r="G255" s="311">
        <v>0.14499999999999999</v>
      </c>
    </row>
    <row r="256" spans="1:7">
      <c r="A256" s="320" t="s">
        <v>284</v>
      </c>
      <c r="B256" s="309" t="s">
        <v>2448</v>
      </c>
      <c r="C256" s="310">
        <v>0.15</v>
      </c>
      <c r="D256" s="310">
        <v>0.15</v>
      </c>
      <c r="E256" s="310">
        <v>0.15</v>
      </c>
      <c r="F256" s="310">
        <v>0.14599999999999999</v>
      </c>
      <c r="G256" s="311">
        <v>0.15</v>
      </c>
    </row>
    <row r="257" spans="1:7">
      <c r="A257" s="320" t="s">
        <v>284</v>
      </c>
      <c r="B257" s="309" t="s">
        <v>2456</v>
      </c>
      <c r="C257" s="310">
        <v>0.14199999999999999</v>
      </c>
      <c r="D257" s="310">
        <v>0.14299999999999999</v>
      </c>
      <c r="E257" s="310">
        <v>0.14799999999999999</v>
      </c>
      <c r="F257" s="310">
        <v>0.15</v>
      </c>
      <c r="G257" s="311">
        <v>0.14499999999999999</v>
      </c>
    </row>
    <row r="258" spans="1:7">
      <c r="A258" s="320" t="s">
        <v>284</v>
      </c>
      <c r="B258" s="309" t="s">
        <v>2464</v>
      </c>
      <c r="C258" s="310">
        <v>0.14299999999999999</v>
      </c>
      <c r="D258" s="310">
        <v>0.14299999999999999</v>
      </c>
      <c r="E258" s="310">
        <v>0.15</v>
      </c>
      <c r="F258" s="310">
        <v>0.14799999999999999</v>
      </c>
      <c r="G258" s="311">
        <v>0.14599999999999999</v>
      </c>
    </row>
    <row r="259" spans="1:7">
      <c r="A259" s="320" t="s">
        <v>284</v>
      </c>
      <c r="B259" s="309" t="s">
        <v>2471</v>
      </c>
      <c r="C259" s="310">
        <v>0.14399999999999999</v>
      </c>
      <c r="D259" s="310">
        <v>0.14399999999999999</v>
      </c>
      <c r="E259" s="310">
        <v>0.14899999999999999</v>
      </c>
      <c r="F259" s="310">
        <v>0.14699999999999999</v>
      </c>
      <c r="G259" s="311">
        <v>0.14599999999999999</v>
      </c>
    </row>
    <row r="260" spans="1:7">
      <c r="A260" s="320" t="s">
        <v>284</v>
      </c>
      <c r="B260" s="309" t="s">
        <v>2478</v>
      </c>
      <c r="C260" s="310">
        <v>0.109</v>
      </c>
      <c r="D260" s="310">
        <v>0.111</v>
      </c>
      <c r="E260" s="310">
        <v>0.13100000000000001</v>
      </c>
      <c r="F260" s="310">
        <v>0.126</v>
      </c>
      <c r="G260" s="311">
        <v>0.11899999999999999</v>
      </c>
    </row>
    <row r="261" spans="1:7">
      <c r="A261" s="320" t="s">
        <v>284</v>
      </c>
      <c r="B261" s="309" t="s">
        <v>2485</v>
      </c>
      <c r="C261" s="310">
        <v>0.1</v>
      </c>
      <c r="D261" s="310">
        <v>0.1</v>
      </c>
      <c r="E261" s="310">
        <v>0.11799999999999999</v>
      </c>
      <c r="F261" s="310">
        <v>0.108</v>
      </c>
      <c r="G261" s="311">
        <v>0.107</v>
      </c>
    </row>
    <row r="262" spans="1:7">
      <c r="A262" s="320" t="s">
        <v>284</v>
      </c>
      <c r="B262" s="309" t="s">
        <v>2492</v>
      </c>
      <c r="C262" s="310">
        <v>0.1</v>
      </c>
      <c r="D262" s="310">
        <v>0.1</v>
      </c>
      <c r="E262" s="310">
        <v>0.1</v>
      </c>
      <c r="F262" s="310">
        <v>0.14099999999999999</v>
      </c>
      <c r="G262" s="311">
        <v>0.1</v>
      </c>
    </row>
    <row r="263" spans="1:7">
      <c r="A263" s="320" t="s">
        <v>284</v>
      </c>
      <c r="B263" s="309" t="s">
        <v>2499</v>
      </c>
      <c r="C263" s="310">
        <v>0.14799999999999999</v>
      </c>
      <c r="D263" s="310">
        <v>0.14799999999999999</v>
      </c>
      <c r="E263" s="310">
        <v>0.15</v>
      </c>
      <c r="F263" s="310">
        <v>0.14699999999999999</v>
      </c>
      <c r="G263" s="311">
        <v>0.15</v>
      </c>
    </row>
    <row r="264" spans="1:7">
      <c r="A264" s="320" t="s">
        <v>284</v>
      </c>
      <c r="B264" s="309" t="s">
        <v>2506</v>
      </c>
      <c r="C264" s="310">
        <v>0.14299999999999999</v>
      </c>
      <c r="D264" s="310">
        <v>0.14299999999999999</v>
      </c>
      <c r="E264" s="310">
        <v>0.15</v>
      </c>
      <c r="F264" s="310">
        <v>0.14899999999999999</v>
      </c>
      <c r="G264" s="311">
        <v>0.14599999999999999</v>
      </c>
    </row>
    <row r="265" spans="1:7">
      <c r="A265" s="320" t="s">
        <v>284</v>
      </c>
      <c r="B265" s="309" t="s">
        <v>2513</v>
      </c>
      <c r="C265" s="321"/>
      <c r="D265" s="321"/>
      <c r="E265" s="321"/>
      <c r="F265" s="310">
        <v>0.05</v>
      </c>
      <c r="G265" s="327"/>
    </row>
    <row r="266" spans="1:7">
      <c r="A266" s="320" t="s">
        <v>284</v>
      </c>
      <c r="B266" s="309" t="s">
        <v>2518</v>
      </c>
      <c r="C266" s="321"/>
      <c r="D266" s="321"/>
      <c r="E266" s="321"/>
      <c r="F266" s="310">
        <v>0.05</v>
      </c>
      <c r="G266" s="327"/>
    </row>
    <row r="267" spans="1:7">
      <c r="A267" s="320" t="s">
        <v>284</v>
      </c>
      <c r="B267" s="309" t="s">
        <v>2523</v>
      </c>
      <c r="C267" s="321"/>
      <c r="D267" s="321"/>
      <c r="E267" s="321"/>
      <c r="F267" s="310">
        <v>0.05</v>
      </c>
      <c r="G267" s="327"/>
    </row>
    <row r="268" spans="1:7">
      <c r="A268" s="320" t="s">
        <v>284</v>
      </c>
      <c r="B268" s="309" t="s">
        <v>2528</v>
      </c>
      <c r="C268" s="321"/>
      <c r="D268" s="321"/>
      <c r="E268" s="321"/>
      <c r="F268" s="310">
        <v>0.05</v>
      </c>
      <c r="G268" s="327"/>
    </row>
    <row r="269" spans="1:7">
      <c r="A269" s="320" t="s">
        <v>284</v>
      </c>
      <c r="B269" s="309" t="s">
        <v>2533</v>
      </c>
      <c r="C269" s="321"/>
      <c r="D269" s="321"/>
      <c r="E269" s="321"/>
      <c r="F269" s="310">
        <v>0.05</v>
      </c>
      <c r="G269" s="327"/>
    </row>
    <row r="270" spans="1:7">
      <c r="A270" s="320" t="s">
        <v>284</v>
      </c>
      <c r="B270" s="309" t="s">
        <v>2538</v>
      </c>
      <c r="C270" s="321"/>
      <c r="D270" s="321"/>
      <c r="E270" s="321"/>
      <c r="F270" s="310">
        <v>0.05</v>
      </c>
      <c r="G270" s="327"/>
    </row>
    <row r="271" spans="1:7">
      <c r="A271" s="320" t="s">
        <v>284</v>
      </c>
      <c r="B271" s="309" t="s">
        <v>2543</v>
      </c>
      <c r="C271" s="321"/>
      <c r="D271" s="321"/>
      <c r="E271" s="321"/>
      <c r="F271" s="310">
        <v>0.05</v>
      </c>
      <c r="G271" s="327"/>
    </row>
    <row r="272" spans="1:7">
      <c r="A272" s="320" t="s">
        <v>284</v>
      </c>
      <c r="B272" s="309" t="s">
        <v>2548</v>
      </c>
      <c r="C272" s="321"/>
      <c r="D272" s="321"/>
      <c r="E272" s="321"/>
      <c r="F272" s="310">
        <v>0.05</v>
      </c>
      <c r="G272" s="327"/>
    </row>
    <row r="273" spans="1:7">
      <c r="A273" s="320" t="s">
        <v>284</v>
      </c>
      <c r="B273" s="309" t="s">
        <v>2553</v>
      </c>
      <c r="C273" s="321"/>
      <c r="D273" s="321"/>
      <c r="E273" s="321"/>
      <c r="F273" s="310">
        <v>0.05</v>
      </c>
      <c r="G273" s="327"/>
    </row>
    <row r="274" spans="1:7">
      <c r="A274" s="320" t="s">
        <v>284</v>
      </c>
      <c r="B274" s="309" t="s">
        <v>2557</v>
      </c>
      <c r="C274" s="321"/>
      <c r="D274" s="321"/>
      <c r="E274" s="321"/>
      <c r="F274" s="310">
        <v>0.05</v>
      </c>
      <c r="G274" s="327"/>
    </row>
    <row r="275" spans="1:7">
      <c r="A275" s="320" t="s">
        <v>284</v>
      </c>
      <c r="B275" s="309" t="s">
        <v>2561</v>
      </c>
      <c r="C275" s="321"/>
      <c r="D275" s="321"/>
      <c r="E275" s="321"/>
      <c r="F275" s="310">
        <v>0.05</v>
      </c>
      <c r="G275" s="327"/>
    </row>
    <row r="276" spans="1:7">
      <c r="A276" s="323" t="s">
        <v>284</v>
      </c>
      <c r="B276" s="313" t="s">
        <v>2565</v>
      </c>
      <c r="C276" s="315"/>
      <c r="D276" s="315"/>
      <c r="E276" s="315"/>
      <c r="F276" s="314">
        <v>0.05</v>
      </c>
      <c r="G276" s="328"/>
    </row>
    <row r="277" spans="1:7">
      <c r="A277" s="319" t="s">
        <v>288</v>
      </c>
      <c r="B277" s="305" t="s">
        <v>2221</v>
      </c>
      <c r="C277" s="306">
        <v>0.15</v>
      </c>
      <c r="D277" s="306">
        <v>0.15</v>
      </c>
      <c r="E277" s="306">
        <v>0.15</v>
      </c>
      <c r="F277" s="306">
        <v>0.15</v>
      </c>
      <c r="G277" s="307">
        <v>0.15</v>
      </c>
    </row>
    <row r="278" spans="1:7">
      <c r="A278" s="320" t="s">
        <v>288</v>
      </c>
      <c r="B278" s="309" t="s">
        <v>2234</v>
      </c>
      <c r="C278" s="310">
        <v>0.15</v>
      </c>
      <c r="D278" s="310">
        <v>0.15</v>
      </c>
      <c r="E278" s="310">
        <v>0.15</v>
      </c>
      <c r="F278" s="310">
        <v>0.15</v>
      </c>
      <c r="G278" s="311">
        <v>0.15</v>
      </c>
    </row>
    <row r="279" spans="1:7">
      <c r="A279" s="320" t="s">
        <v>288</v>
      </c>
      <c r="B279" s="309" t="s">
        <v>2248</v>
      </c>
      <c r="C279" s="310">
        <v>0.15</v>
      </c>
      <c r="D279" s="310">
        <v>0.15</v>
      </c>
      <c r="E279" s="310">
        <v>0.15</v>
      </c>
      <c r="F279" s="310">
        <v>0.15</v>
      </c>
      <c r="G279" s="311">
        <v>0.15</v>
      </c>
    </row>
    <row r="280" spans="1:7">
      <c r="A280" s="320" t="s">
        <v>288</v>
      </c>
      <c r="B280" s="309" t="s">
        <v>2260</v>
      </c>
      <c r="C280" s="310">
        <v>0.15</v>
      </c>
      <c r="D280" s="310">
        <v>0.15</v>
      </c>
      <c r="E280" s="310">
        <v>0.15</v>
      </c>
      <c r="F280" s="310">
        <v>0.15</v>
      </c>
      <c r="G280" s="311">
        <v>0.15</v>
      </c>
    </row>
    <row r="281" spans="1:7">
      <c r="A281" s="320" t="s">
        <v>288</v>
      </c>
      <c r="B281" s="309" t="s">
        <v>2272</v>
      </c>
      <c r="C281" s="310">
        <v>0.15</v>
      </c>
      <c r="D281" s="310">
        <v>0.15</v>
      </c>
      <c r="E281" s="310">
        <v>0.15</v>
      </c>
      <c r="F281" s="310">
        <v>0.15</v>
      </c>
      <c r="G281" s="311">
        <v>0.15</v>
      </c>
    </row>
    <row r="282" spans="1:7">
      <c r="A282" s="320" t="s">
        <v>288</v>
      </c>
      <c r="B282" s="309" t="s">
        <v>2283</v>
      </c>
      <c r="C282" s="310">
        <v>0.15</v>
      </c>
      <c r="D282" s="310">
        <v>0.15</v>
      </c>
      <c r="E282" s="310">
        <v>0.15</v>
      </c>
      <c r="F282" s="310">
        <v>0.14499999999999999</v>
      </c>
      <c r="G282" s="311">
        <v>0.15</v>
      </c>
    </row>
    <row r="283" spans="1:7">
      <c r="A283" s="320" t="s">
        <v>288</v>
      </c>
      <c r="B283" s="309" t="s">
        <v>2294</v>
      </c>
      <c r="C283" s="310">
        <v>0.15</v>
      </c>
      <c r="D283" s="310">
        <v>0.15</v>
      </c>
      <c r="E283" s="310">
        <v>0.15</v>
      </c>
      <c r="F283" s="310">
        <v>0.14199999999999999</v>
      </c>
      <c r="G283" s="311">
        <v>0.15</v>
      </c>
    </row>
    <row r="284" spans="1:7">
      <c r="A284" s="320" t="s">
        <v>288</v>
      </c>
      <c r="B284" s="309" t="s">
        <v>2305</v>
      </c>
      <c r="C284" s="310">
        <v>0.15</v>
      </c>
      <c r="D284" s="310">
        <v>0.15</v>
      </c>
      <c r="E284" s="310">
        <v>0.15</v>
      </c>
      <c r="F284" s="310">
        <v>0.15</v>
      </c>
      <c r="G284" s="311">
        <v>0.15</v>
      </c>
    </row>
    <row r="285" spans="1:7">
      <c r="A285" s="320" t="s">
        <v>288</v>
      </c>
      <c r="B285" s="309" t="s">
        <v>2315</v>
      </c>
      <c r="C285" s="310">
        <v>0.15</v>
      </c>
      <c r="D285" s="310">
        <v>0.15</v>
      </c>
      <c r="E285" s="310">
        <v>0.15</v>
      </c>
      <c r="F285" s="310">
        <v>0.15</v>
      </c>
      <c r="G285" s="311">
        <v>0.15</v>
      </c>
    </row>
    <row r="286" spans="1:7">
      <c r="A286" s="320" t="s">
        <v>288</v>
      </c>
      <c r="B286" s="309" t="s">
        <v>2325</v>
      </c>
      <c r="C286" s="310">
        <v>0.14499999999999999</v>
      </c>
      <c r="D286" s="310">
        <v>0.14499999999999999</v>
      </c>
      <c r="E286" s="310">
        <v>0.15</v>
      </c>
      <c r="F286" s="310">
        <v>0.14099999999999999</v>
      </c>
      <c r="G286" s="311">
        <v>0.14499999999999999</v>
      </c>
    </row>
    <row r="287" spans="1:7">
      <c r="A287" s="320" t="s">
        <v>288</v>
      </c>
      <c r="B287" s="309" t="s">
        <v>2335</v>
      </c>
      <c r="C287" s="310">
        <v>0.11</v>
      </c>
      <c r="D287" s="310">
        <v>0.111</v>
      </c>
      <c r="E287" s="310">
        <v>0.14099999999999999</v>
      </c>
      <c r="F287" s="310">
        <v>0.11</v>
      </c>
      <c r="G287" s="311">
        <v>0.12</v>
      </c>
    </row>
    <row r="288" spans="1:7">
      <c r="A288" s="320" t="s">
        <v>288</v>
      </c>
      <c r="B288" s="309" t="s">
        <v>2344</v>
      </c>
      <c r="C288" s="310">
        <v>0.14199999999999999</v>
      </c>
      <c r="D288" s="310">
        <v>0.14299999999999999</v>
      </c>
      <c r="E288" s="310">
        <v>0.15</v>
      </c>
      <c r="F288" s="310">
        <v>0.14199999999999999</v>
      </c>
      <c r="G288" s="311">
        <v>0.14399999999999999</v>
      </c>
    </row>
    <row r="289" spans="1:7">
      <c r="A289" s="320" t="s">
        <v>288</v>
      </c>
      <c r="B289" s="309" t="s">
        <v>2354</v>
      </c>
      <c r="C289" s="310">
        <v>0.14299999999999999</v>
      </c>
      <c r="D289" s="310">
        <v>0.14299999999999999</v>
      </c>
      <c r="E289" s="310">
        <v>0.14799999999999999</v>
      </c>
      <c r="F289" s="310">
        <v>0.14399999999999999</v>
      </c>
      <c r="G289" s="311">
        <v>0.14399999999999999</v>
      </c>
    </row>
    <row r="290" spans="1:7">
      <c r="A290" s="320" t="s">
        <v>288</v>
      </c>
      <c r="B290" s="309" t="s">
        <v>2364</v>
      </c>
      <c r="C290" s="310">
        <v>0.14799999999999999</v>
      </c>
      <c r="D290" s="310">
        <v>0.14899999999999999</v>
      </c>
      <c r="E290" s="310">
        <v>0.15</v>
      </c>
      <c r="F290" s="310">
        <v>0.127</v>
      </c>
      <c r="G290" s="311">
        <v>0.15</v>
      </c>
    </row>
    <row r="291" spans="1:7">
      <c r="A291" s="320" t="s">
        <v>288</v>
      </c>
      <c r="B291" s="309" t="s">
        <v>2374</v>
      </c>
      <c r="C291" s="310">
        <v>0.15</v>
      </c>
      <c r="D291" s="310">
        <v>0.15</v>
      </c>
      <c r="E291" s="310">
        <v>0.15</v>
      </c>
      <c r="F291" s="310">
        <v>0.14899999999999999</v>
      </c>
      <c r="G291" s="311">
        <v>0.15</v>
      </c>
    </row>
    <row r="292" spans="1:7">
      <c r="A292" s="320" t="s">
        <v>288</v>
      </c>
      <c r="B292" s="309" t="s">
        <v>2384</v>
      </c>
      <c r="C292" s="310">
        <v>0.15</v>
      </c>
      <c r="D292" s="310">
        <v>0.15</v>
      </c>
      <c r="E292" s="310">
        <v>0.15</v>
      </c>
      <c r="F292" s="310">
        <v>0.14399999999999999</v>
      </c>
      <c r="G292" s="311">
        <v>0.15</v>
      </c>
    </row>
    <row r="293" spans="1:7">
      <c r="A293" s="320" t="s">
        <v>288</v>
      </c>
      <c r="B293" s="309" t="s">
        <v>2394</v>
      </c>
      <c r="C293" s="310">
        <v>0.15</v>
      </c>
      <c r="D293" s="310">
        <v>0.15</v>
      </c>
      <c r="E293" s="310">
        <v>0.15</v>
      </c>
      <c r="F293" s="310">
        <v>0.14499999999999999</v>
      </c>
      <c r="G293" s="311">
        <v>0.15</v>
      </c>
    </row>
    <row r="294" spans="1:7">
      <c r="A294" s="320" t="s">
        <v>288</v>
      </c>
      <c r="B294" s="309" t="s">
        <v>2404</v>
      </c>
      <c r="C294" s="310">
        <v>0.15</v>
      </c>
      <c r="D294" s="310">
        <v>0.15</v>
      </c>
      <c r="E294" s="310">
        <v>0.15</v>
      </c>
      <c r="F294" s="310">
        <v>0.14899999999999999</v>
      </c>
      <c r="G294" s="311">
        <v>0.15</v>
      </c>
    </row>
    <row r="295" spans="1:7">
      <c r="A295" s="320" t="s">
        <v>288</v>
      </c>
      <c r="B295" s="309" t="s">
        <v>2414</v>
      </c>
      <c r="C295" s="310">
        <v>0.15</v>
      </c>
      <c r="D295" s="310">
        <v>0.15</v>
      </c>
      <c r="E295" s="310">
        <v>0.15</v>
      </c>
      <c r="F295" s="310">
        <v>0.14799999999999999</v>
      </c>
      <c r="G295" s="311">
        <v>0.15</v>
      </c>
    </row>
    <row r="296" spans="1:7">
      <c r="A296" s="320" t="s">
        <v>288</v>
      </c>
      <c r="B296" s="309" t="s">
        <v>2424</v>
      </c>
      <c r="C296" s="310">
        <v>0.15</v>
      </c>
      <c r="D296" s="310">
        <v>0.15</v>
      </c>
      <c r="E296" s="310">
        <v>0.15</v>
      </c>
      <c r="F296" s="310">
        <v>0.14399999999999999</v>
      </c>
      <c r="G296" s="311">
        <v>0.15</v>
      </c>
    </row>
    <row r="297" spans="1:7">
      <c r="A297" s="320" t="s">
        <v>288</v>
      </c>
      <c r="B297" s="309" t="s">
        <v>2433</v>
      </c>
      <c r="C297" s="310">
        <v>0.15</v>
      </c>
      <c r="D297" s="310">
        <v>0.15</v>
      </c>
      <c r="E297" s="310">
        <v>0.15</v>
      </c>
      <c r="F297" s="310">
        <v>0.14499999999999999</v>
      </c>
      <c r="G297" s="311">
        <v>0.15</v>
      </c>
    </row>
    <row r="298" spans="1:7">
      <c r="A298" s="320" t="s">
        <v>288</v>
      </c>
      <c r="B298" s="309" t="s">
        <v>2441</v>
      </c>
      <c r="C298" s="310">
        <v>0.15</v>
      </c>
      <c r="D298" s="310">
        <v>0.15</v>
      </c>
      <c r="E298" s="310">
        <v>0.15</v>
      </c>
      <c r="F298" s="310">
        <v>0.15</v>
      </c>
      <c r="G298" s="311">
        <v>0.15</v>
      </c>
    </row>
    <row r="299" spans="1:7">
      <c r="A299" s="320" t="s">
        <v>288</v>
      </c>
      <c r="B299" s="329" t="s">
        <v>2449</v>
      </c>
      <c r="C299" s="310">
        <v>0.15</v>
      </c>
      <c r="D299" s="310">
        <v>0.15</v>
      </c>
      <c r="E299" s="310">
        <v>0.15</v>
      </c>
      <c r="F299" s="310">
        <v>0.14499999999999999</v>
      </c>
      <c r="G299" s="311">
        <v>0.15</v>
      </c>
    </row>
    <row r="300" spans="1:7">
      <c r="A300" s="320" t="s">
        <v>288</v>
      </c>
      <c r="B300" s="329" t="s">
        <v>2457</v>
      </c>
      <c r="C300" s="310">
        <v>0.15</v>
      </c>
      <c r="D300" s="310">
        <v>0.15</v>
      </c>
      <c r="E300" s="310">
        <v>0.15</v>
      </c>
      <c r="F300" s="310">
        <v>0.14599999999999999</v>
      </c>
      <c r="G300" s="311">
        <v>0.15</v>
      </c>
    </row>
    <row r="301" spans="1:7">
      <c r="A301" s="320" t="s">
        <v>288</v>
      </c>
      <c r="B301" s="329" t="s">
        <v>2465</v>
      </c>
      <c r="C301" s="310">
        <v>0.126</v>
      </c>
      <c r="D301" s="310">
        <v>0.124</v>
      </c>
      <c r="E301" s="310">
        <v>0.14099999999999999</v>
      </c>
      <c r="F301" s="310">
        <v>0.14399999999999999</v>
      </c>
      <c r="G301" s="311">
        <v>0.13</v>
      </c>
    </row>
    <row r="302" spans="1:7">
      <c r="A302" s="320" t="s">
        <v>288</v>
      </c>
      <c r="B302" s="309" t="s">
        <v>2472</v>
      </c>
      <c r="C302" s="310">
        <v>0.15</v>
      </c>
      <c r="D302" s="310">
        <v>0.15</v>
      </c>
      <c r="E302" s="310">
        <v>0.15</v>
      </c>
      <c r="F302" s="310">
        <v>0.14699999999999999</v>
      </c>
      <c r="G302" s="311">
        <v>0.15</v>
      </c>
    </row>
    <row r="303" spans="1:7">
      <c r="A303" s="320" t="s">
        <v>288</v>
      </c>
      <c r="B303" s="309" t="s">
        <v>2479</v>
      </c>
      <c r="C303" s="310">
        <v>0.15</v>
      </c>
      <c r="D303" s="310">
        <v>0.15</v>
      </c>
      <c r="E303" s="310">
        <v>0.15</v>
      </c>
      <c r="F303" s="310">
        <v>0.14199999999999999</v>
      </c>
      <c r="G303" s="311">
        <v>0.15</v>
      </c>
    </row>
    <row r="304" spans="1:7">
      <c r="A304" s="320" t="s">
        <v>288</v>
      </c>
      <c r="B304" s="309" t="s">
        <v>2486</v>
      </c>
      <c r="C304" s="310">
        <v>0.15</v>
      </c>
      <c r="D304" s="310">
        <v>0.15</v>
      </c>
      <c r="E304" s="310">
        <v>0.15</v>
      </c>
      <c r="F304" s="310">
        <v>0.14499999999999999</v>
      </c>
      <c r="G304" s="311">
        <v>0.15</v>
      </c>
    </row>
    <row r="305" spans="1:7">
      <c r="A305" s="320" t="s">
        <v>288</v>
      </c>
      <c r="B305" s="309" t="s">
        <v>2493</v>
      </c>
      <c r="C305" s="310">
        <v>0.15</v>
      </c>
      <c r="D305" s="310">
        <v>0.15</v>
      </c>
      <c r="E305" s="310">
        <v>0.15</v>
      </c>
      <c r="F305" s="310">
        <v>0.111</v>
      </c>
      <c r="G305" s="311">
        <v>0.15</v>
      </c>
    </row>
    <row r="306" spans="1:7">
      <c r="A306" s="320" t="s">
        <v>288</v>
      </c>
      <c r="B306" s="309" t="s">
        <v>2500</v>
      </c>
      <c r="C306" s="310">
        <v>0.15</v>
      </c>
      <c r="D306" s="310">
        <v>0.15</v>
      </c>
      <c r="E306" s="310">
        <v>0.15</v>
      </c>
      <c r="F306" s="310">
        <v>0.126</v>
      </c>
      <c r="G306" s="311">
        <v>0.15</v>
      </c>
    </row>
    <row r="307" spans="1:7">
      <c r="A307" s="320" t="s">
        <v>288</v>
      </c>
      <c r="B307" s="309" t="s">
        <v>2507</v>
      </c>
      <c r="C307" s="310">
        <v>0.15</v>
      </c>
      <c r="D307" s="310">
        <v>0.15</v>
      </c>
      <c r="E307" s="310">
        <v>0.15</v>
      </c>
      <c r="F307" s="310">
        <v>0.12</v>
      </c>
      <c r="G307" s="311">
        <v>0.15</v>
      </c>
    </row>
    <row r="308" spans="1:7">
      <c r="A308" s="320" t="s">
        <v>288</v>
      </c>
      <c r="B308" s="309" t="s">
        <v>2514</v>
      </c>
      <c r="C308" s="310">
        <v>0.15</v>
      </c>
      <c r="D308" s="310">
        <v>0.15</v>
      </c>
      <c r="E308" s="310">
        <v>0.15</v>
      </c>
      <c r="F308" s="310">
        <v>0.13</v>
      </c>
      <c r="G308" s="311">
        <v>0.15</v>
      </c>
    </row>
    <row r="309" spans="1:7">
      <c r="A309" s="320" t="s">
        <v>288</v>
      </c>
      <c r="B309" s="309" t="s">
        <v>2519</v>
      </c>
      <c r="C309" s="310">
        <v>0.15</v>
      </c>
      <c r="D309" s="310">
        <v>0.15</v>
      </c>
      <c r="E309" s="310">
        <v>0.15</v>
      </c>
      <c r="F309" s="310">
        <v>0.14099999999999999</v>
      </c>
      <c r="G309" s="311">
        <v>0.15</v>
      </c>
    </row>
    <row r="310" spans="1:7">
      <c r="A310" s="320" t="s">
        <v>288</v>
      </c>
      <c r="B310" s="309" t="s">
        <v>2524</v>
      </c>
      <c r="C310" s="310">
        <v>0.15</v>
      </c>
      <c r="D310" s="310">
        <v>0.15</v>
      </c>
      <c r="E310" s="310">
        <v>0.15</v>
      </c>
      <c r="F310" s="310">
        <v>0.15</v>
      </c>
      <c r="G310" s="311">
        <v>0.15</v>
      </c>
    </row>
    <row r="311" spans="1:7">
      <c r="A311" s="320" t="s">
        <v>288</v>
      </c>
      <c r="B311" s="309" t="s">
        <v>2529</v>
      </c>
      <c r="C311" s="310">
        <v>0.13200000000000001</v>
      </c>
      <c r="D311" s="310">
        <v>0.13300000000000001</v>
      </c>
      <c r="E311" s="310">
        <v>0.14499999999999999</v>
      </c>
      <c r="F311" s="310">
        <v>0.14199999999999999</v>
      </c>
      <c r="G311" s="311">
        <v>0.14000000000000001</v>
      </c>
    </row>
    <row r="312" spans="1:7">
      <c r="A312" s="320" t="s">
        <v>288</v>
      </c>
      <c r="B312" s="309" t="s">
        <v>2534</v>
      </c>
      <c r="C312" s="310">
        <v>0.13800000000000001</v>
      </c>
      <c r="D312" s="310">
        <v>0.14000000000000001</v>
      </c>
      <c r="E312" s="310">
        <v>0.14599999999999999</v>
      </c>
      <c r="F312" s="310">
        <v>0.14899999999999999</v>
      </c>
      <c r="G312" s="311">
        <v>0.14199999999999999</v>
      </c>
    </row>
    <row r="313" spans="1:7">
      <c r="A313" s="320" t="s">
        <v>288</v>
      </c>
      <c r="B313" s="309" t="s">
        <v>2539</v>
      </c>
      <c r="C313" s="310">
        <v>0.125</v>
      </c>
      <c r="D313" s="310">
        <v>0.127</v>
      </c>
      <c r="E313" s="310">
        <v>0.14399999999999999</v>
      </c>
      <c r="F313" s="310">
        <v>0.115</v>
      </c>
      <c r="G313" s="311">
        <v>0.13600000000000001</v>
      </c>
    </row>
    <row r="314" spans="1:7">
      <c r="A314" s="320" t="s">
        <v>288</v>
      </c>
      <c r="B314" s="309" t="s">
        <v>2544</v>
      </c>
      <c r="C314" s="326"/>
      <c r="D314" s="326"/>
      <c r="E314" s="326"/>
      <c r="F314" s="310">
        <v>0.05</v>
      </c>
      <c r="G314" s="327"/>
    </row>
    <row r="315" spans="1:7">
      <c r="A315" s="320" t="s">
        <v>288</v>
      </c>
      <c r="B315" s="309" t="s">
        <v>2549</v>
      </c>
      <c r="C315" s="326"/>
      <c r="D315" s="326"/>
      <c r="E315" s="326"/>
      <c r="F315" s="310">
        <v>0.05</v>
      </c>
      <c r="G315" s="327"/>
    </row>
    <row r="316" spans="1:7">
      <c r="A316" s="320" t="s">
        <v>288</v>
      </c>
      <c r="B316" s="309" t="s">
        <v>2554</v>
      </c>
      <c r="C316" s="321"/>
      <c r="D316" s="321"/>
      <c r="E316" s="321"/>
      <c r="F316" s="310">
        <v>0.05</v>
      </c>
      <c r="G316" s="327"/>
    </row>
    <row r="317" spans="1:7">
      <c r="A317" s="320" t="s">
        <v>288</v>
      </c>
      <c r="B317" s="309" t="s">
        <v>2558</v>
      </c>
      <c r="C317" s="321"/>
      <c r="D317" s="321"/>
      <c r="E317" s="321"/>
      <c r="F317" s="310">
        <v>0.05</v>
      </c>
      <c r="G317" s="327"/>
    </row>
    <row r="318" spans="1:7">
      <c r="A318" s="320" t="s">
        <v>288</v>
      </c>
      <c r="B318" s="309" t="s">
        <v>2562</v>
      </c>
      <c r="C318" s="321"/>
      <c r="D318" s="321"/>
      <c r="E318" s="321"/>
      <c r="F318" s="310">
        <v>0.05</v>
      </c>
      <c r="G318" s="327"/>
    </row>
    <row r="319" spans="1:7">
      <c r="A319" s="320" t="s">
        <v>288</v>
      </c>
      <c r="B319" s="309" t="s">
        <v>2566</v>
      </c>
      <c r="C319" s="321"/>
      <c r="D319" s="321"/>
      <c r="E319" s="321"/>
      <c r="F319" s="310">
        <v>0.05</v>
      </c>
      <c r="G319" s="327"/>
    </row>
    <row r="320" spans="1:7">
      <c r="A320" s="320" t="s">
        <v>288</v>
      </c>
      <c r="B320" s="309" t="s">
        <v>2569</v>
      </c>
      <c r="C320" s="321"/>
      <c r="D320" s="321"/>
      <c r="E320" s="321"/>
      <c r="F320" s="310">
        <v>0.05</v>
      </c>
      <c r="G320" s="327"/>
    </row>
    <row r="321" spans="1:7">
      <c r="A321" s="320" t="s">
        <v>288</v>
      </c>
      <c r="B321" s="309" t="s">
        <v>2571</v>
      </c>
      <c r="C321" s="321"/>
      <c r="D321" s="321"/>
      <c r="E321" s="321"/>
      <c r="F321" s="310">
        <v>0.05</v>
      </c>
      <c r="G321" s="327"/>
    </row>
    <row r="322" spans="1:7">
      <c r="A322" s="320" t="s">
        <v>288</v>
      </c>
      <c r="B322" s="309" t="s">
        <v>2573</v>
      </c>
      <c r="C322" s="321"/>
      <c r="D322" s="321"/>
      <c r="E322" s="321"/>
      <c r="F322" s="310">
        <v>0.05</v>
      </c>
      <c r="G322" s="327"/>
    </row>
    <row r="323" spans="1:7">
      <c r="A323" s="320" t="s">
        <v>288</v>
      </c>
      <c r="B323" s="309" t="s">
        <v>2575</v>
      </c>
      <c r="C323" s="321"/>
      <c r="D323" s="321"/>
      <c r="E323" s="321"/>
      <c r="F323" s="310">
        <v>0.05</v>
      </c>
      <c r="G323" s="327"/>
    </row>
    <row r="324" spans="1:7">
      <c r="A324" s="320" t="s">
        <v>288</v>
      </c>
      <c r="B324" s="309" t="s">
        <v>2577</v>
      </c>
      <c r="C324" s="321"/>
      <c r="D324" s="321"/>
      <c r="E324" s="321"/>
      <c r="F324" s="310">
        <v>0.05</v>
      </c>
      <c r="G324" s="327"/>
    </row>
    <row r="325" spans="1:7">
      <c r="A325" s="320" t="s">
        <v>288</v>
      </c>
      <c r="B325" s="309" t="s">
        <v>2579</v>
      </c>
      <c r="C325" s="321"/>
      <c r="D325" s="321"/>
      <c r="E325" s="321"/>
      <c r="F325" s="310">
        <v>0.05</v>
      </c>
      <c r="G325" s="327"/>
    </row>
    <row r="326" spans="1:7">
      <c r="A326" s="323" t="s">
        <v>288</v>
      </c>
      <c r="B326" s="313" t="s">
        <v>2581</v>
      </c>
      <c r="C326" s="315"/>
      <c r="D326" s="315"/>
      <c r="E326" s="315"/>
      <c r="F326" s="314">
        <v>0.05</v>
      </c>
      <c r="G326" s="328"/>
    </row>
    <row r="327" spans="1:7">
      <c r="A327" s="319" t="s">
        <v>292</v>
      </c>
      <c r="B327" s="305" t="s">
        <v>2222</v>
      </c>
      <c r="C327" s="306">
        <v>0.15</v>
      </c>
      <c r="D327" s="306">
        <v>0.15</v>
      </c>
      <c r="E327" s="306">
        <v>0.15</v>
      </c>
      <c r="F327" s="306">
        <v>0.15</v>
      </c>
      <c r="G327" s="307">
        <v>0.15</v>
      </c>
    </row>
    <row r="328" spans="1:7">
      <c r="A328" s="320" t="s">
        <v>292</v>
      </c>
      <c r="B328" s="309" t="s">
        <v>2235</v>
      </c>
      <c r="C328" s="310">
        <v>0.15</v>
      </c>
      <c r="D328" s="310">
        <v>0.15</v>
      </c>
      <c r="E328" s="310">
        <v>0.15</v>
      </c>
      <c r="F328" s="310">
        <v>0.126</v>
      </c>
      <c r="G328" s="311">
        <v>0.15</v>
      </c>
    </row>
    <row r="329" spans="1:7">
      <c r="A329" s="320" t="s">
        <v>292</v>
      </c>
      <c r="B329" s="309" t="s">
        <v>2249</v>
      </c>
      <c r="C329" s="310">
        <v>0.15</v>
      </c>
      <c r="D329" s="310">
        <v>0.15</v>
      </c>
      <c r="E329" s="310">
        <v>0.15</v>
      </c>
      <c r="F329" s="310">
        <v>0.15</v>
      </c>
      <c r="G329" s="311">
        <v>0.15</v>
      </c>
    </row>
    <row r="330" spans="1:7">
      <c r="A330" s="320" t="s">
        <v>292</v>
      </c>
      <c r="B330" s="309" t="s">
        <v>2261</v>
      </c>
      <c r="C330" s="310">
        <v>0.15</v>
      </c>
      <c r="D330" s="310">
        <v>0.15</v>
      </c>
      <c r="E330" s="310">
        <v>0.15</v>
      </c>
      <c r="F330" s="310">
        <v>0.15</v>
      </c>
      <c r="G330" s="311">
        <v>0.15</v>
      </c>
    </row>
    <row r="331" spans="1:7">
      <c r="A331" s="320" t="s">
        <v>292</v>
      </c>
      <c r="B331" s="309" t="s">
        <v>2273</v>
      </c>
      <c r="C331" s="310">
        <v>0.15</v>
      </c>
      <c r="D331" s="310">
        <v>0.15</v>
      </c>
      <c r="E331" s="310">
        <v>0.15</v>
      </c>
      <c r="F331" s="310">
        <v>0.15</v>
      </c>
      <c r="G331" s="311">
        <v>0.15</v>
      </c>
    </row>
    <row r="332" spans="1:7">
      <c r="A332" s="320" t="s">
        <v>292</v>
      </c>
      <c r="B332" s="309" t="s">
        <v>2284</v>
      </c>
      <c r="C332" s="310">
        <v>0.15</v>
      </c>
      <c r="D332" s="310">
        <v>0.15</v>
      </c>
      <c r="E332" s="310">
        <v>0.15</v>
      </c>
      <c r="F332" s="310">
        <v>0.15</v>
      </c>
      <c r="G332" s="311">
        <v>0.15</v>
      </c>
    </row>
    <row r="333" spans="1:7">
      <c r="A333" s="320" t="s">
        <v>292</v>
      </c>
      <c r="B333" s="309" t="s">
        <v>2295</v>
      </c>
      <c r="C333" s="310">
        <v>0.14899999999999999</v>
      </c>
      <c r="D333" s="310">
        <v>0.14899999999999999</v>
      </c>
      <c r="E333" s="310">
        <v>0.15</v>
      </c>
      <c r="F333" s="310">
        <v>0.11600000000000001</v>
      </c>
      <c r="G333" s="311">
        <v>0.15</v>
      </c>
    </row>
    <row r="334" spans="1:7">
      <c r="A334" s="320" t="s">
        <v>292</v>
      </c>
      <c r="B334" s="309" t="s">
        <v>2306</v>
      </c>
      <c r="C334" s="310">
        <v>0.15</v>
      </c>
      <c r="D334" s="310">
        <v>0.15</v>
      </c>
      <c r="E334" s="310">
        <v>0.15</v>
      </c>
      <c r="F334" s="310">
        <v>0.13</v>
      </c>
      <c r="G334" s="311">
        <v>0.15</v>
      </c>
    </row>
    <row r="335" spans="1:7">
      <c r="A335" s="320" t="s">
        <v>292</v>
      </c>
      <c r="B335" s="309" t="s">
        <v>2316</v>
      </c>
      <c r="C335" s="310">
        <v>0.15</v>
      </c>
      <c r="D335" s="310">
        <v>0.15</v>
      </c>
      <c r="E335" s="310">
        <v>0.15</v>
      </c>
      <c r="F335" s="310">
        <v>0.14399999999999999</v>
      </c>
      <c r="G335" s="311">
        <v>0.15</v>
      </c>
    </row>
    <row r="336" spans="1:7">
      <c r="A336" s="320" t="s">
        <v>292</v>
      </c>
      <c r="B336" s="309" t="s">
        <v>2326</v>
      </c>
      <c r="C336" s="310">
        <v>0.15</v>
      </c>
      <c r="D336" s="310">
        <v>0.15</v>
      </c>
      <c r="E336" s="310">
        <v>0.15</v>
      </c>
      <c r="F336" s="310">
        <v>0.14199999999999999</v>
      </c>
      <c r="G336" s="311">
        <v>0.15</v>
      </c>
    </row>
    <row r="337" spans="1:7">
      <c r="A337" s="320" t="s">
        <v>292</v>
      </c>
      <c r="B337" s="309" t="s">
        <v>2336</v>
      </c>
      <c r="C337" s="310">
        <v>0.15</v>
      </c>
      <c r="D337" s="310">
        <v>0.15</v>
      </c>
      <c r="E337" s="310">
        <v>0.15</v>
      </c>
      <c r="F337" s="310">
        <v>0.14499999999999999</v>
      </c>
      <c r="G337" s="311">
        <v>0.15</v>
      </c>
    </row>
    <row r="338" spans="1:7">
      <c r="A338" s="320" t="s">
        <v>292</v>
      </c>
      <c r="B338" s="309" t="s">
        <v>2345</v>
      </c>
      <c r="C338" s="310">
        <v>0.15</v>
      </c>
      <c r="D338" s="310">
        <v>0.15</v>
      </c>
      <c r="E338" s="310">
        <v>0.15</v>
      </c>
      <c r="F338" s="310">
        <v>0.15</v>
      </c>
      <c r="G338" s="311">
        <v>0.15</v>
      </c>
    </row>
    <row r="339" spans="1:7">
      <c r="A339" s="320" t="s">
        <v>292</v>
      </c>
      <c r="B339" s="309" t="s">
        <v>2355</v>
      </c>
      <c r="C339" s="310">
        <v>0.15</v>
      </c>
      <c r="D339" s="310">
        <v>0.15</v>
      </c>
      <c r="E339" s="310">
        <v>0.15</v>
      </c>
      <c r="F339" s="310">
        <v>0.14699999999999999</v>
      </c>
      <c r="G339" s="311">
        <v>0.15</v>
      </c>
    </row>
    <row r="340" spans="1:7">
      <c r="A340" s="320" t="s">
        <v>292</v>
      </c>
      <c r="B340" s="309" t="s">
        <v>2365</v>
      </c>
      <c r="C340" s="310">
        <v>0.14599999999999999</v>
      </c>
      <c r="D340" s="310">
        <v>0.14599999999999999</v>
      </c>
      <c r="E340" s="310">
        <v>0.15</v>
      </c>
      <c r="F340" s="310">
        <v>0.14099999999999999</v>
      </c>
      <c r="G340" s="311">
        <v>0.14699999999999999</v>
      </c>
    </row>
    <row r="341" spans="1:7">
      <c r="A341" s="320" t="s">
        <v>292</v>
      </c>
      <c r="B341" s="309" t="s">
        <v>2375</v>
      </c>
      <c r="C341" s="310">
        <v>0.126</v>
      </c>
      <c r="D341" s="310">
        <v>0.124</v>
      </c>
      <c r="E341" s="310">
        <v>0.14099999999999999</v>
      </c>
      <c r="F341" s="310">
        <v>0.14399999999999999</v>
      </c>
      <c r="G341" s="311">
        <v>0.13</v>
      </c>
    </row>
    <row r="342" spans="1:7">
      <c r="A342" s="320" t="s">
        <v>292</v>
      </c>
      <c r="B342" s="309" t="s">
        <v>2385</v>
      </c>
      <c r="C342" s="310">
        <v>0.15</v>
      </c>
      <c r="D342" s="310">
        <v>0.15</v>
      </c>
      <c r="E342" s="310">
        <v>0.15</v>
      </c>
      <c r="F342" s="310">
        <v>0.14399999999999999</v>
      </c>
      <c r="G342" s="311">
        <v>0.15</v>
      </c>
    </row>
    <row r="343" spans="1:7">
      <c r="A343" s="320" t="s">
        <v>292</v>
      </c>
      <c r="B343" s="309" t="s">
        <v>2395</v>
      </c>
      <c r="C343" s="310">
        <v>0.15</v>
      </c>
      <c r="D343" s="310">
        <v>0.15</v>
      </c>
      <c r="E343" s="310">
        <v>0.15</v>
      </c>
      <c r="F343" s="310">
        <v>0.128</v>
      </c>
      <c r="G343" s="311">
        <v>0.15</v>
      </c>
    </row>
    <row r="344" spans="1:7">
      <c r="A344" s="320" t="s">
        <v>292</v>
      </c>
      <c r="B344" s="309" t="s">
        <v>2405</v>
      </c>
      <c r="C344" s="310">
        <v>0.15</v>
      </c>
      <c r="D344" s="310">
        <v>0.15</v>
      </c>
      <c r="E344" s="310">
        <v>0.15</v>
      </c>
      <c r="F344" s="310">
        <v>0.14799999999999999</v>
      </c>
      <c r="G344" s="311">
        <v>0.15</v>
      </c>
    </row>
    <row r="345" spans="1:7">
      <c r="A345" s="320" t="s">
        <v>292</v>
      </c>
      <c r="B345" s="309" t="s">
        <v>2415</v>
      </c>
      <c r="C345" s="310">
        <v>0.15</v>
      </c>
      <c r="D345" s="310">
        <v>0.15</v>
      </c>
      <c r="E345" s="310">
        <v>0.15</v>
      </c>
      <c r="F345" s="310">
        <v>0.13800000000000001</v>
      </c>
      <c r="G345" s="311">
        <v>0.15</v>
      </c>
    </row>
    <row r="346" spans="1:7">
      <c r="A346" s="320" t="s">
        <v>292</v>
      </c>
      <c r="B346" s="309" t="s">
        <v>2425</v>
      </c>
      <c r="C346" s="310">
        <v>0.15</v>
      </c>
      <c r="D346" s="310">
        <v>0.15</v>
      </c>
      <c r="E346" s="310">
        <v>0.15</v>
      </c>
      <c r="F346" s="310">
        <v>0.14399999999999999</v>
      </c>
      <c r="G346" s="311">
        <v>0.15</v>
      </c>
    </row>
    <row r="347" spans="1:7">
      <c r="A347" s="320" t="s">
        <v>292</v>
      </c>
      <c r="B347" s="309" t="s">
        <v>2434</v>
      </c>
      <c r="C347" s="310">
        <v>0.15</v>
      </c>
      <c r="D347" s="310">
        <v>0.15</v>
      </c>
      <c r="E347" s="310">
        <v>0.15</v>
      </c>
      <c r="F347" s="310">
        <v>0.14599999999999999</v>
      </c>
      <c r="G347" s="311">
        <v>0.15</v>
      </c>
    </row>
    <row r="348" spans="1:7">
      <c r="A348" s="320" t="s">
        <v>292</v>
      </c>
      <c r="B348" s="309" t="s">
        <v>2442</v>
      </c>
      <c r="C348" s="310">
        <v>0.15</v>
      </c>
      <c r="D348" s="310">
        <v>0.15</v>
      </c>
      <c r="E348" s="310">
        <v>0.15</v>
      </c>
      <c r="F348" s="310">
        <v>0.14399999999999999</v>
      </c>
      <c r="G348" s="311">
        <v>0.15</v>
      </c>
    </row>
    <row r="349" spans="1:7">
      <c r="A349" s="320" t="s">
        <v>292</v>
      </c>
      <c r="B349" s="309" t="s">
        <v>2450</v>
      </c>
      <c r="C349" s="310">
        <v>0.15</v>
      </c>
      <c r="D349" s="310">
        <v>0.15</v>
      </c>
      <c r="E349" s="310">
        <v>0.15</v>
      </c>
      <c r="F349" s="310">
        <v>0.15</v>
      </c>
      <c r="G349" s="311">
        <v>0.15</v>
      </c>
    </row>
    <row r="350" spans="1:7">
      <c r="A350" s="320" t="s">
        <v>292</v>
      </c>
      <c r="B350" s="309" t="s">
        <v>2458</v>
      </c>
      <c r="C350" s="310">
        <v>0.15</v>
      </c>
      <c r="D350" s="310">
        <v>0.15</v>
      </c>
      <c r="E350" s="310">
        <v>0.15</v>
      </c>
      <c r="F350" s="310">
        <v>0.14699999999999999</v>
      </c>
      <c r="G350" s="311">
        <v>0.15</v>
      </c>
    </row>
    <row r="351" spans="1:7">
      <c r="A351" s="320" t="s">
        <v>292</v>
      </c>
      <c r="B351" s="309" t="s">
        <v>2466</v>
      </c>
      <c r="C351" s="310">
        <v>0.15</v>
      </c>
      <c r="D351" s="310">
        <v>0.15</v>
      </c>
      <c r="E351" s="310">
        <v>0.15</v>
      </c>
      <c r="F351" s="310">
        <v>0.13</v>
      </c>
      <c r="G351" s="311">
        <v>0.15</v>
      </c>
    </row>
    <row r="352" spans="1:7">
      <c r="A352" s="320" t="s">
        <v>292</v>
      </c>
      <c r="B352" s="309" t="s">
        <v>2473</v>
      </c>
      <c r="C352" s="310">
        <v>0.15</v>
      </c>
      <c r="D352" s="310">
        <v>0.15</v>
      </c>
      <c r="E352" s="310">
        <v>0.15</v>
      </c>
      <c r="F352" s="310">
        <v>0.14599999999999999</v>
      </c>
      <c r="G352" s="311">
        <v>0.15</v>
      </c>
    </row>
    <row r="353" spans="1:7">
      <c r="A353" s="320" t="s">
        <v>292</v>
      </c>
      <c r="B353" s="309" t="s">
        <v>2480</v>
      </c>
      <c r="C353" s="310">
        <v>0.15</v>
      </c>
      <c r="D353" s="310">
        <v>0.15</v>
      </c>
      <c r="E353" s="310">
        <v>0.15</v>
      </c>
      <c r="F353" s="310">
        <v>0.14499999999999999</v>
      </c>
      <c r="G353" s="311">
        <v>0.15</v>
      </c>
    </row>
    <row r="354" spans="1:7">
      <c r="A354" s="320" t="s">
        <v>292</v>
      </c>
      <c r="B354" s="309" t="s">
        <v>2487</v>
      </c>
      <c r="C354" s="310">
        <v>0.15</v>
      </c>
      <c r="D354" s="310">
        <v>0.15</v>
      </c>
      <c r="E354" s="310">
        <v>0.15</v>
      </c>
      <c r="F354" s="310">
        <v>0.14099999999999999</v>
      </c>
      <c r="G354" s="311">
        <v>0.15</v>
      </c>
    </row>
    <row r="355" spans="1:7">
      <c r="A355" s="320" t="s">
        <v>292</v>
      </c>
      <c r="B355" s="309" t="s">
        <v>2494</v>
      </c>
      <c r="C355" s="310">
        <v>0.15</v>
      </c>
      <c r="D355" s="310">
        <v>0.15</v>
      </c>
      <c r="E355" s="310">
        <v>0.15</v>
      </c>
      <c r="F355" s="310">
        <v>0.15</v>
      </c>
      <c r="G355" s="311">
        <v>0.15</v>
      </c>
    </row>
    <row r="356" spans="1:7">
      <c r="A356" s="320" t="s">
        <v>292</v>
      </c>
      <c r="B356" s="309" t="s">
        <v>2501</v>
      </c>
      <c r="C356" s="310">
        <v>0.15</v>
      </c>
      <c r="D356" s="310">
        <v>0.15</v>
      </c>
      <c r="E356" s="310">
        <v>0.15</v>
      </c>
      <c r="F356" s="310">
        <v>0.15</v>
      </c>
      <c r="G356" s="311">
        <v>0.15</v>
      </c>
    </row>
    <row r="357" spans="1:7">
      <c r="A357" s="323" t="s">
        <v>292</v>
      </c>
      <c r="B357" s="313" t="s">
        <v>2508</v>
      </c>
      <c r="C357" s="314">
        <v>0.126</v>
      </c>
      <c r="D357" s="314">
        <v>0.127</v>
      </c>
      <c r="E357" s="314">
        <v>0.14299999999999999</v>
      </c>
      <c r="F357" s="314">
        <v>0.125</v>
      </c>
      <c r="G357" s="316">
        <v>0.129</v>
      </c>
    </row>
    <row r="358" spans="1:7">
      <c r="A358" s="319" t="s">
        <v>296</v>
      </c>
      <c r="B358" s="305" t="s">
        <v>2223</v>
      </c>
      <c r="C358" s="306">
        <v>0.15</v>
      </c>
      <c r="D358" s="306">
        <v>0.15</v>
      </c>
      <c r="E358" s="306">
        <v>0.15</v>
      </c>
      <c r="F358" s="306">
        <v>0.15</v>
      </c>
      <c r="G358" s="307">
        <v>0.15</v>
      </c>
    </row>
    <row r="359" spans="1:7">
      <c r="A359" s="320" t="s">
        <v>296</v>
      </c>
      <c r="B359" s="309" t="s">
        <v>2236</v>
      </c>
      <c r="C359" s="310">
        <v>0.1</v>
      </c>
      <c r="D359" s="310">
        <v>0.1</v>
      </c>
      <c r="E359" s="310">
        <v>0.1</v>
      </c>
      <c r="F359" s="310">
        <v>0.1</v>
      </c>
      <c r="G359" s="311">
        <v>0.1</v>
      </c>
    </row>
    <row r="360" spans="1:7">
      <c r="A360" s="320" t="s">
        <v>296</v>
      </c>
      <c r="B360" s="309" t="s">
        <v>2250</v>
      </c>
      <c r="C360" s="310">
        <v>0.15</v>
      </c>
      <c r="D360" s="310">
        <v>0.15</v>
      </c>
      <c r="E360" s="310">
        <v>0.15</v>
      </c>
      <c r="F360" s="310">
        <v>0.14899999999999999</v>
      </c>
      <c r="G360" s="311">
        <v>0.15</v>
      </c>
    </row>
    <row r="361" spans="1:7">
      <c r="A361" s="320" t="s">
        <v>296</v>
      </c>
      <c r="B361" s="309" t="s">
        <v>2262</v>
      </c>
      <c r="C361" s="310">
        <v>0.15</v>
      </c>
      <c r="D361" s="310">
        <v>0.15</v>
      </c>
      <c r="E361" s="310">
        <v>0.15</v>
      </c>
      <c r="F361" s="310">
        <v>0.115</v>
      </c>
      <c r="G361" s="311">
        <v>0.15</v>
      </c>
    </row>
    <row r="362" spans="1:7">
      <c r="A362" s="320" t="s">
        <v>296</v>
      </c>
      <c r="B362" s="309" t="s">
        <v>2274</v>
      </c>
      <c r="C362" s="310">
        <v>0.15</v>
      </c>
      <c r="D362" s="310">
        <v>0.15</v>
      </c>
      <c r="E362" s="310">
        <v>0.15</v>
      </c>
      <c r="F362" s="310">
        <v>0.106</v>
      </c>
      <c r="G362" s="311">
        <v>0.15</v>
      </c>
    </row>
    <row r="363" spans="1:7">
      <c r="A363" s="320" t="s">
        <v>296</v>
      </c>
      <c r="B363" s="309" t="s">
        <v>2285</v>
      </c>
      <c r="C363" s="310">
        <v>0.15</v>
      </c>
      <c r="D363" s="310">
        <v>0.15</v>
      </c>
      <c r="E363" s="310">
        <v>0.15</v>
      </c>
      <c r="F363" s="310">
        <v>0.14699999999999999</v>
      </c>
      <c r="G363" s="311">
        <v>0.15</v>
      </c>
    </row>
    <row r="364" spans="1:7">
      <c r="A364" s="320" t="s">
        <v>296</v>
      </c>
      <c r="B364" s="309" t="s">
        <v>2296</v>
      </c>
      <c r="C364" s="310">
        <v>0.15</v>
      </c>
      <c r="D364" s="310">
        <v>0.15</v>
      </c>
      <c r="E364" s="310">
        <v>0.15</v>
      </c>
      <c r="F364" s="310">
        <v>0.14799999999999999</v>
      </c>
      <c r="G364" s="311">
        <v>0.15</v>
      </c>
    </row>
    <row r="365" spans="1:7">
      <c r="A365" s="320" t="s">
        <v>296</v>
      </c>
      <c r="B365" s="309" t="s">
        <v>2307</v>
      </c>
      <c r="C365" s="310">
        <v>0.15</v>
      </c>
      <c r="D365" s="310">
        <v>0.15</v>
      </c>
      <c r="E365" s="310">
        <v>0.15</v>
      </c>
      <c r="F365" s="310">
        <v>0.15</v>
      </c>
      <c r="G365" s="311">
        <v>0.15</v>
      </c>
    </row>
    <row r="366" spans="1:7">
      <c r="A366" s="320" t="s">
        <v>296</v>
      </c>
      <c r="B366" s="309" t="s">
        <v>2317</v>
      </c>
      <c r="C366" s="310">
        <v>0.15</v>
      </c>
      <c r="D366" s="310">
        <v>0.15</v>
      </c>
      <c r="E366" s="310">
        <v>0.15</v>
      </c>
      <c r="F366" s="310">
        <v>0.15</v>
      </c>
      <c r="G366" s="311">
        <v>0.15</v>
      </c>
    </row>
    <row r="367" spans="1:7">
      <c r="A367" s="320" t="s">
        <v>296</v>
      </c>
      <c r="B367" s="309" t="s">
        <v>2327</v>
      </c>
      <c r="C367" s="310">
        <v>0.15</v>
      </c>
      <c r="D367" s="310">
        <v>0.15</v>
      </c>
      <c r="E367" s="310">
        <v>0.15</v>
      </c>
      <c r="F367" s="310">
        <v>0.14699999999999999</v>
      </c>
      <c r="G367" s="311">
        <v>0.15</v>
      </c>
    </row>
    <row r="368" spans="1:7">
      <c r="A368" s="320" t="s">
        <v>296</v>
      </c>
      <c r="B368" s="309" t="s">
        <v>2337</v>
      </c>
      <c r="C368" s="310">
        <v>0.15</v>
      </c>
      <c r="D368" s="310">
        <v>0.15</v>
      </c>
      <c r="E368" s="310">
        <v>0.15</v>
      </c>
      <c r="F368" s="310">
        <v>0.13600000000000001</v>
      </c>
      <c r="G368" s="311">
        <v>0.15</v>
      </c>
    </row>
    <row r="369" spans="1:7">
      <c r="A369" s="320" t="s">
        <v>296</v>
      </c>
      <c r="B369" s="309" t="s">
        <v>2346</v>
      </c>
      <c r="C369" s="310">
        <v>0.15</v>
      </c>
      <c r="D369" s="310">
        <v>0.15</v>
      </c>
      <c r="E369" s="310">
        <v>0.15</v>
      </c>
      <c r="F369" s="310">
        <v>0.14399999999999999</v>
      </c>
      <c r="G369" s="311">
        <v>0.15</v>
      </c>
    </row>
    <row r="370" spans="1:7">
      <c r="A370" s="320" t="s">
        <v>296</v>
      </c>
      <c r="B370" s="309" t="s">
        <v>2356</v>
      </c>
      <c r="C370" s="310">
        <v>0.15</v>
      </c>
      <c r="D370" s="310">
        <v>0.15</v>
      </c>
      <c r="E370" s="310">
        <v>0.15</v>
      </c>
      <c r="F370" s="310">
        <v>0.14599999999999999</v>
      </c>
      <c r="G370" s="311">
        <v>0.15</v>
      </c>
    </row>
    <row r="371" spans="1:7">
      <c r="A371" s="320" t="s">
        <v>296</v>
      </c>
      <c r="B371" s="309" t="s">
        <v>2366</v>
      </c>
      <c r="C371" s="310">
        <v>0.15</v>
      </c>
      <c r="D371" s="310">
        <v>0.15</v>
      </c>
      <c r="E371" s="310">
        <v>0.15</v>
      </c>
      <c r="F371" s="310">
        <v>0.12</v>
      </c>
      <c r="G371" s="311">
        <v>0.15</v>
      </c>
    </row>
    <row r="372" spans="1:7">
      <c r="A372" s="320" t="s">
        <v>296</v>
      </c>
      <c r="B372" s="309" t="s">
        <v>2376</v>
      </c>
      <c r="C372" s="310">
        <v>0.15</v>
      </c>
      <c r="D372" s="310">
        <v>0.15</v>
      </c>
      <c r="E372" s="310">
        <v>0.15</v>
      </c>
      <c r="F372" s="310">
        <v>0.14299999999999999</v>
      </c>
      <c r="G372" s="311">
        <v>0.15</v>
      </c>
    </row>
    <row r="373" spans="1:7">
      <c r="A373" s="320" t="s">
        <v>296</v>
      </c>
      <c r="B373" s="309" t="s">
        <v>2386</v>
      </c>
      <c r="C373" s="310">
        <v>0.15</v>
      </c>
      <c r="D373" s="310">
        <v>0.15</v>
      </c>
      <c r="E373" s="310">
        <v>0.15</v>
      </c>
      <c r="F373" s="310">
        <v>0.14599999999999999</v>
      </c>
      <c r="G373" s="311">
        <v>0.15</v>
      </c>
    </row>
    <row r="374" spans="1:7">
      <c r="A374" s="320" t="s">
        <v>296</v>
      </c>
      <c r="B374" s="309" t="s">
        <v>2396</v>
      </c>
      <c r="C374" s="310">
        <v>0.15</v>
      </c>
      <c r="D374" s="310">
        <v>0.15</v>
      </c>
      <c r="E374" s="310">
        <v>0.15</v>
      </c>
      <c r="F374" s="310">
        <v>0.14399999999999999</v>
      </c>
      <c r="G374" s="311">
        <v>0.15</v>
      </c>
    </row>
    <row r="375" spans="1:7">
      <c r="A375" s="320" t="s">
        <v>296</v>
      </c>
      <c r="B375" s="309" t="s">
        <v>2406</v>
      </c>
      <c r="C375" s="310">
        <v>0.15</v>
      </c>
      <c r="D375" s="310">
        <v>0.15</v>
      </c>
      <c r="E375" s="310">
        <v>0.15</v>
      </c>
      <c r="F375" s="310">
        <v>0.13</v>
      </c>
      <c r="G375" s="311">
        <v>0.15</v>
      </c>
    </row>
    <row r="376" spans="1:7">
      <c r="A376" s="320" t="s">
        <v>296</v>
      </c>
      <c r="B376" s="309" t="s">
        <v>2416</v>
      </c>
      <c r="C376" s="310">
        <v>0.15</v>
      </c>
      <c r="D376" s="310">
        <v>0.15</v>
      </c>
      <c r="E376" s="310">
        <v>0.15</v>
      </c>
      <c r="F376" s="310">
        <v>0.14199999999999999</v>
      </c>
      <c r="G376" s="311">
        <v>0.15</v>
      </c>
    </row>
    <row r="377" spans="1:7">
      <c r="A377" s="323" t="s">
        <v>296</v>
      </c>
      <c r="B377" s="313" t="s">
        <v>2426</v>
      </c>
      <c r="C377" s="314">
        <v>0.15</v>
      </c>
      <c r="D377" s="314">
        <v>0.15</v>
      </c>
      <c r="E377" s="314">
        <v>0.15</v>
      </c>
      <c r="F377" s="314">
        <v>0.14000000000000001</v>
      </c>
      <c r="G377" s="316">
        <v>0.15</v>
      </c>
    </row>
    <row r="378" spans="1:7">
      <c r="A378" s="319" t="s">
        <v>300</v>
      </c>
      <c r="B378" s="305" t="s">
        <v>2224</v>
      </c>
      <c r="C378" s="306">
        <v>0.15</v>
      </c>
      <c r="D378" s="306">
        <v>0.15</v>
      </c>
      <c r="E378" s="306">
        <v>0.15</v>
      </c>
      <c r="F378" s="306">
        <v>0.107</v>
      </c>
      <c r="G378" s="307">
        <v>0.15</v>
      </c>
    </row>
    <row r="379" spans="1:7">
      <c r="A379" s="320" t="s">
        <v>300</v>
      </c>
      <c r="B379" s="309" t="s">
        <v>2237</v>
      </c>
      <c r="C379" s="310">
        <v>0.15</v>
      </c>
      <c r="D379" s="310">
        <v>0.15</v>
      </c>
      <c r="E379" s="310">
        <v>0.15</v>
      </c>
      <c r="F379" s="310">
        <v>0.115</v>
      </c>
      <c r="G379" s="311">
        <v>0.14899999999999999</v>
      </c>
    </row>
    <row r="380" spans="1:7">
      <c r="A380" s="320" t="s">
        <v>300</v>
      </c>
      <c r="B380" s="309" t="s">
        <v>2251</v>
      </c>
      <c r="C380" s="310">
        <v>0.15</v>
      </c>
      <c r="D380" s="310">
        <v>0.15</v>
      </c>
      <c r="E380" s="310">
        <v>0.15</v>
      </c>
      <c r="F380" s="310">
        <v>0.1</v>
      </c>
      <c r="G380" s="311">
        <v>0.14799999999999999</v>
      </c>
    </row>
    <row r="381" spans="1:7">
      <c r="A381" s="320" t="s">
        <v>300</v>
      </c>
      <c r="B381" s="309" t="s">
        <v>2263</v>
      </c>
      <c r="C381" s="310">
        <v>0.15</v>
      </c>
      <c r="D381" s="310">
        <v>0.15</v>
      </c>
      <c r="E381" s="310">
        <v>0.15</v>
      </c>
      <c r="F381" s="310">
        <v>0.126</v>
      </c>
      <c r="G381" s="311">
        <v>0.15</v>
      </c>
    </row>
    <row r="382" spans="1:7">
      <c r="A382" s="320" t="s">
        <v>300</v>
      </c>
      <c r="B382" s="309" t="s">
        <v>2275</v>
      </c>
      <c r="C382" s="310">
        <v>0.15</v>
      </c>
      <c r="D382" s="310">
        <v>0.15</v>
      </c>
      <c r="E382" s="310">
        <v>0.15</v>
      </c>
      <c r="F382" s="310">
        <v>0.15</v>
      </c>
      <c r="G382" s="311">
        <v>0.15</v>
      </c>
    </row>
    <row r="383" spans="1:7">
      <c r="A383" s="320" t="s">
        <v>300</v>
      </c>
      <c r="B383" s="309" t="s">
        <v>2286</v>
      </c>
      <c r="C383" s="310">
        <v>0.15</v>
      </c>
      <c r="D383" s="310">
        <v>0.15</v>
      </c>
      <c r="E383" s="310">
        <v>0.15</v>
      </c>
      <c r="F383" s="310">
        <v>0.14699999999999999</v>
      </c>
      <c r="G383" s="311">
        <v>0.15</v>
      </c>
    </row>
    <row r="384" spans="1:7">
      <c r="A384" s="330" t="s">
        <v>300</v>
      </c>
      <c r="B384" s="331" t="s">
        <v>2297</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2600</v>
      </c>
      <c r="B1" s="3757"/>
      <c r="C1" s="3757"/>
      <c r="D1" s="3757"/>
      <c r="E1" s="3757"/>
      <c r="F1" s="3758"/>
    </row>
    <row r="2" spans="1:6">
      <c r="A2" s="290" t="s">
        <v>2601</v>
      </c>
      <c r="B2" s="291"/>
      <c r="C2" s="291"/>
      <c r="D2" s="291"/>
      <c r="E2" s="291"/>
      <c r="F2" s="291"/>
    </row>
    <row r="3" spans="1:6">
      <c r="A3" s="290" t="s">
        <v>2602</v>
      </c>
      <c r="B3" s="291"/>
      <c r="C3" s="291"/>
      <c r="D3" s="291"/>
      <c r="E3" s="291"/>
      <c r="F3" s="292" t="s">
        <v>2603</v>
      </c>
    </row>
    <row r="4" spans="1:6">
      <c r="A4" s="293" t="s">
        <v>404</v>
      </c>
      <c r="B4" s="293" t="s">
        <v>1888</v>
      </c>
      <c r="C4" s="293" t="s">
        <v>1889</v>
      </c>
      <c r="D4" s="293" t="s">
        <v>2604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45422</v>
      </c>
      <c r="B1" s="217" t="s">
        <v>2605</v>
      </c>
      <c r="C1" s="218"/>
      <c r="D1" s="218"/>
      <c r="E1" s="218"/>
      <c r="F1" s="218"/>
      <c r="G1" s="218"/>
      <c r="H1" s="218"/>
      <c r="I1" s="218"/>
      <c r="J1" s="244"/>
      <c r="K1" s="218" t="s">
        <v>2606</v>
      </c>
      <c r="L1" s="218"/>
      <c r="M1" s="218"/>
      <c r="N1" s="218"/>
      <c r="O1" s="218"/>
      <c r="P1" s="218"/>
      <c r="Q1" s="244"/>
      <c r="R1" s="3759" t="s">
        <v>2607</v>
      </c>
      <c r="S1" s="3760"/>
      <c r="T1" s="3760"/>
      <c r="U1" s="3760"/>
      <c r="V1" s="3760"/>
      <c r="W1" s="3760"/>
      <c r="X1" s="244"/>
      <c r="Y1" s="3759" t="s">
        <v>2608</v>
      </c>
      <c r="Z1" s="3760"/>
      <c r="AA1" s="3760"/>
      <c r="AB1" s="3760"/>
      <c r="AC1" s="3760"/>
      <c r="AD1" s="3760"/>
    </row>
    <row r="2" spans="1:30" s="208" customFormat="1">
      <c r="B2" s="219"/>
      <c r="C2" s="220"/>
      <c r="D2" s="221" t="s">
        <v>2609</v>
      </c>
      <c r="E2" s="222" t="s">
        <v>1888</v>
      </c>
      <c r="F2" s="222" t="s">
        <v>1889</v>
      </c>
      <c r="G2" s="222" t="s">
        <v>412</v>
      </c>
      <c r="H2" s="222" t="s">
        <v>408</v>
      </c>
      <c r="I2" s="222" t="s">
        <v>280</v>
      </c>
      <c r="J2" s="245"/>
      <c r="K2" s="221" t="s">
        <v>2609</v>
      </c>
      <c r="L2" s="222" t="s">
        <v>1888</v>
      </c>
      <c r="M2" s="222" t="s">
        <v>1889</v>
      </c>
      <c r="N2" s="222" t="s">
        <v>412</v>
      </c>
      <c r="O2" s="222" t="s">
        <v>408</v>
      </c>
      <c r="P2" s="222" t="s">
        <v>280</v>
      </c>
      <c r="Q2" s="245"/>
      <c r="R2" s="221" t="s">
        <v>2609</v>
      </c>
      <c r="S2" s="222" t="s">
        <v>1888</v>
      </c>
      <c r="T2" s="222" t="s">
        <v>1889</v>
      </c>
      <c r="U2" s="222" t="s">
        <v>412</v>
      </c>
      <c r="V2" s="222" t="s">
        <v>408</v>
      </c>
      <c r="W2" s="222" t="s">
        <v>280</v>
      </c>
      <c r="X2" s="245"/>
      <c r="Y2" s="221" t="s">
        <v>2609</v>
      </c>
      <c r="Z2" s="222" t="s">
        <v>1888</v>
      </c>
      <c r="AA2" s="222" t="s">
        <v>1889</v>
      </c>
      <c r="AB2" s="222" t="s">
        <v>412</v>
      </c>
      <c r="AC2" s="222" t="s">
        <v>408</v>
      </c>
      <c r="AD2" s="222" t="s">
        <v>280</v>
      </c>
    </row>
    <row r="3" spans="1:30" s="209" customFormat="1" ht="12.75">
      <c r="A3" s="223" t="s">
        <v>2610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2615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2625</v>
      </c>
    </row>
    <row r="21" spans="1:30" s="214" customFormat="1">
      <c r="I21" s="263" t="s">
        <v>1449</v>
      </c>
    </row>
    <row r="22" spans="1:30" s="214" customFormat="1"/>
    <row r="23" spans="1:30" s="215" customFormat="1" ht="12.75">
      <c r="B23" s="217" t="s">
        <v>2626</v>
      </c>
      <c r="C23" s="218"/>
      <c r="D23" s="218"/>
      <c r="E23" s="218"/>
      <c r="F23" s="218"/>
      <c r="G23" s="218"/>
      <c r="H23" s="218"/>
      <c r="I23" s="218"/>
      <c r="J23" s="244"/>
      <c r="K23" s="218" t="s">
        <v>2606</v>
      </c>
      <c r="L23" s="218"/>
      <c r="M23" s="218"/>
      <c r="N23" s="218"/>
      <c r="O23" s="218"/>
      <c r="P23" s="218"/>
      <c r="Q23" s="244"/>
      <c r="R23" s="3759" t="s">
        <v>2607</v>
      </c>
      <c r="S23" s="3760"/>
      <c r="T23" s="3760"/>
      <c r="U23" s="3760"/>
      <c r="V23" s="3760"/>
      <c r="W23" s="3760"/>
      <c r="X23" s="244"/>
      <c r="Y23" s="3759" t="s">
        <v>2608</v>
      </c>
      <c r="Z23" s="3760"/>
      <c r="AA23" s="3760"/>
      <c r="AB23" s="3760"/>
      <c r="AC23" s="3760"/>
      <c r="AD23" s="3760"/>
    </row>
    <row r="24" spans="1:30" s="208" customFormat="1">
      <c r="B24" s="219"/>
      <c r="C24" s="220"/>
      <c r="D24" s="221" t="s">
        <v>2609</v>
      </c>
      <c r="E24" s="222" t="s">
        <v>1888</v>
      </c>
      <c r="F24" s="222" t="s">
        <v>1889</v>
      </c>
      <c r="G24" s="222" t="s">
        <v>412</v>
      </c>
      <c r="H24" s="222"/>
      <c r="I24" s="222" t="s">
        <v>280</v>
      </c>
      <c r="J24" s="245"/>
      <c r="K24" s="221" t="s">
        <v>2609</v>
      </c>
      <c r="L24" s="222" t="s">
        <v>1888</v>
      </c>
      <c r="M24" s="222" t="s">
        <v>1889</v>
      </c>
      <c r="N24" s="222" t="s">
        <v>412</v>
      </c>
      <c r="O24" s="222"/>
      <c r="P24" s="222" t="s">
        <v>280</v>
      </c>
      <c r="Q24" s="245"/>
      <c r="R24" s="221" t="s">
        <v>2609</v>
      </c>
      <c r="S24" s="222" t="s">
        <v>1888</v>
      </c>
      <c r="T24" s="222" t="s">
        <v>1889</v>
      </c>
      <c r="U24" s="222" t="s">
        <v>412</v>
      </c>
      <c r="V24" s="222"/>
      <c r="W24" s="222" t="s">
        <v>280</v>
      </c>
      <c r="X24" s="245"/>
      <c r="Y24" s="221" t="s">
        <v>2609</v>
      </c>
      <c r="Z24" s="222" t="s">
        <v>1888</v>
      </c>
      <c r="AA24" s="222" t="s">
        <v>1889</v>
      </c>
      <c r="AB24" s="222" t="s">
        <v>412</v>
      </c>
      <c r="AC24" s="222"/>
      <c r="AD24" s="222" t="s">
        <v>280</v>
      </c>
    </row>
    <row r="25" spans="1:30" s="209" customFormat="1" ht="12.75">
      <c r="A25" s="223" t="s">
        <v>2610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2615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2627</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2628</v>
      </c>
      <c r="C1" s="3761"/>
      <c r="D1" s="3761"/>
      <c r="E1" s="3761"/>
      <c r="F1" s="3761"/>
      <c r="G1" s="3762" t="s">
        <v>2629</v>
      </c>
      <c r="H1" s="3762"/>
      <c r="I1" s="3762"/>
      <c r="J1" s="3762"/>
      <c r="K1" s="3762"/>
      <c r="L1" s="3762"/>
      <c r="N1" s="3762" t="s">
        <v>2606</v>
      </c>
      <c r="O1" s="3762"/>
      <c r="P1" s="3762"/>
      <c r="Q1" s="3762"/>
      <c r="S1" s="3762" t="s">
        <v>2630</v>
      </c>
      <c r="T1" s="3762"/>
      <c r="U1" s="3762"/>
      <c r="V1" s="3762"/>
      <c r="X1" s="3763" t="s">
        <v>2607</v>
      </c>
      <c r="Y1" s="3762"/>
      <c r="Z1" s="3762"/>
      <c r="AA1" s="3762"/>
      <c r="AB1" s="3762"/>
      <c r="AD1" s="3763" t="s">
        <v>2608</v>
      </c>
      <c r="AE1" s="3762"/>
      <c r="AF1" s="3762"/>
      <c r="AG1" s="3762"/>
      <c r="AH1" s="3762"/>
    </row>
    <row r="2" spans="1:34" s="75" customFormat="1" ht="13.5">
      <c r="B2" s="85" t="s">
        <v>2631</v>
      </c>
      <c r="C2" s="85" t="s">
        <v>2632</v>
      </c>
      <c r="D2" s="86" t="s">
        <v>1889</v>
      </c>
      <c r="E2" s="86" t="s">
        <v>412</v>
      </c>
      <c r="F2" s="85" t="s">
        <v>2633</v>
      </c>
      <c r="G2" s="87"/>
      <c r="I2" s="85" t="s">
        <v>2631</v>
      </c>
      <c r="J2" s="86" t="s">
        <v>1898</v>
      </c>
      <c r="K2" s="86" t="s">
        <v>412</v>
      </c>
      <c r="L2" s="85" t="s">
        <v>2633</v>
      </c>
      <c r="N2" s="85" t="s">
        <v>2631</v>
      </c>
      <c r="O2" s="86" t="s">
        <v>1898</v>
      </c>
      <c r="P2" s="86" t="s">
        <v>412</v>
      </c>
      <c r="Q2" s="85" t="s">
        <v>2633</v>
      </c>
      <c r="S2" s="85" t="s">
        <v>2631</v>
      </c>
      <c r="T2" s="86" t="s">
        <v>1898</v>
      </c>
      <c r="U2" s="86" t="s">
        <v>412</v>
      </c>
      <c r="V2" s="85" t="s">
        <v>2633</v>
      </c>
      <c r="X2" s="85" t="s">
        <v>2631</v>
      </c>
      <c r="Y2" s="85" t="s">
        <v>2632</v>
      </c>
      <c r="Z2" s="86" t="s">
        <v>1889</v>
      </c>
      <c r="AA2" s="86" t="s">
        <v>412</v>
      </c>
      <c r="AB2" s="85" t="s">
        <v>2633</v>
      </c>
      <c r="AD2" s="85" t="s">
        <v>2631</v>
      </c>
      <c r="AE2" s="85" t="s">
        <v>2632</v>
      </c>
      <c r="AF2" s="86" t="s">
        <v>1889</v>
      </c>
      <c r="AG2" s="86" t="s">
        <v>412</v>
      </c>
      <c r="AH2" s="85" t="s">
        <v>2633</v>
      </c>
    </row>
    <row r="3" spans="1:34" s="76" customFormat="1" ht="14.25">
      <c r="A3" s="88" t="s">
        <v>2610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2647</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2649</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2650</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2651</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2653</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2654</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2655</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2657</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2658</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2659</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2661</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2662</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2664</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2666</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2667</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2668</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2669</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2670</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2671</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2672</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2674</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2675</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2676</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2678</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2679</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2680</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2682</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2683</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2684</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2686</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2687</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2688</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2690</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2691</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2692</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2694</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2695</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2696</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2698</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2699</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2700</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2702</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2703</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2704</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2705</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2706</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2707</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2708</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2709</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2710</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2711</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2712</v>
      </c>
      <c r="G91" s="183"/>
      <c r="N91" s="183"/>
      <c r="S91" s="183"/>
    </row>
    <row r="92" spans="1:26" s="82" customFormat="1">
      <c r="A92" s="82" t="s">
        <v>2713</v>
      </c>
      <c r="G92" s="183"/>
      <c r="N92" s="183"/>
      <c r="S92" s="183"/>
    </row>
    <row r="93" spans="1:26" s="82" customFormat="1">
      <c r="A93" s="82" t="s">
        <v>2714</v>
      </c>
      <c r="G93" s="183"/>
      <c r="I93" s="195"/>
      <c r="J93" s="195"/>
      <c r="K93" s="195"/>
      <c r="L93" s="195"/>
      <c r="N93" s="196"/>
      <c r="O93" s="195"/>
      <c r="P93" s="195"/>
      <c r="Q93" s="195"/>
      <c r="S93" s="196"/>
      <c r="T93" s="195"/>
      <c r="U93" s="195"/>
      <c r="V93" s="195"/>
    </row>
    <row r="94" spans="1:26" s="82" customFormat="1">
      <c r="A94" s="82" t="s">
        <v>2715</v>
      </c>
      <c r="G94" s="183"/>
      <c r="N94" s="183"/>
      <c r="S94" s="183"/>
    </row>
    <row r="102" spans="7:22">
      <c r="G102" s="83"/>
      <c r="S102" s="200" t="s">
        <v>2716</v>
      </c>
      <c r="T102" s="201" t="s">
        <v>2717</v>
      </c>
      <c r="U102" s="201" t="s">
        <v>2718</v>
      </c>
      <c r="V102" s="201" t="s">
        <v>2719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45422</v>
      </c>
      <c r="D1" s="7" t="s">
        <v>2720</v>
      </c>
      <c r="E1" s="9">
        <f>'数据-取费表'!B22</f>
        <v>1</v>
      </c>
      <c r="F1" s="7" t="s">
        <v>2721</v>
      </c>
      <c r="G1" s="10">
        <f ca="1">INDIRECT("d"&amp;$K$1)/100</f>
        <v>3.4500000000000003E-2</v>
      </c>
      <c r="H1" s="7" t="s">
        <v>2722</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2746</v>
      </c>
      <c r="C13" s="49">
        <v>45159</v>
      </c>
      <c r="D13" s="50">
        <v>3.45</v>
      </c>
      <c r="E13" s="50">
        <f>D13</f>
        <v>3.45</v>
      </c>
      <c r="F13" s="50">
        <f>D13</f>
        <v>3.45</v>
      </c>
      <c r="G13" s="50">
        <f>D13</f>
        <v>3.45</v>
      </c>
      <c r="H13" s="50">
        <v>4.2</v>
      </c>
      <c r="I13" s="50"/>
      <c r="J13" s="50"/>
      <c r="K13" s="47"/>
      <c r="L13" s="48" t="s">
        <v>2746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2748</v>
      </c>
      <c r="Y42" s="52" t="s">
        <v>2748</v>
      </c>
      <c r="Z42" s="52" t="s">
        <v>2748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2748</v>
      </c>
      <c r="Y43" s="52" t="s">
        <v>2748</v>
      </c>
      <c r="Z43" s="52" t="s">
        <v>2748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2748</v>
      </c>
      <c r="Y44" s="52" t="s">
        <v>2748</v>
      </c>
      <c r="Z44" s="52" t="s">
        <v>2748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2748</v>
      </c>
      <c r="Y45" s="52" t="s">
        <v>2748</v>
      </c>
      <c r="Z45" s="52" t="s">
        <v>2748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2748</v>
      </c>
      <c r="Y46" s="52" t="s">
        <v>2748</v>
      </c>
      <c r="Z46" s="52" t="s">
        <v>2748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2748</v>
      </c>
      <c r="Y48" s="52" t="s">
        <v>2748</v>
      </c>
      <c r="Z48" s="52" t="s">
        <v>2748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2748</v>
      </c>
      <c r="Y49" s="52" t="s">
        <v>2748</v>
      </c>
      <c r="Z49" s="52" t="s">
        <v>2748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2748</v>
      </c>
      <c r="J66" s="52" t="s">
        <v>2748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2541.1799999999998</v>
      </c>
      <c r="C4" s="3376">
        <f>项目基本情况!C18</f>
        <v>2068.02</v>
      </c>
      <c r="D4" s="3376">
        <f ca="1">结果表!D118</f>
        <v>1020</v>
      </c>
      <c r="E4" s="3376">
        <f ca="1">结果表!E118</f>
        <v>4015</v>
      </c>
      <c r="F4" s="3376">
        <f ca="1">结果表!F118</f>
        <v>644</v>
      </c>
      <c r="G4" s="3376">
        <f ca="1">结果表!G118</f>
        <v>2534</v>
      </c>
      <c r="H4" s="3376">
        <f ca="1">结果表!H118</f>
        <v>1664</v>
      </c>
      <c r="I4" s="3376">
        <f ca="1">结果表!I118</f>
        <v>6549</v>
      </c>
    </row>
    <row r="5" spans="1:9" ht="30" customHeight="1">
      <c r="A5" s="3446" t="s">
        <v>112</v>
      </c>
      <c r="B5" s="3446"/>
      <c r="C5" s="3446"/>
      <c r="D5" s="3446" t="str">
        <f ca="1">结果表!D119</f>
        <v>壹仟零贰拾万元整</v>
      </c>
      <c r="E5" s="3446"/>
      <c r="F5" s="3446" t="str">
        <f ca="1">结果表!F119</f>
        <v>陆佰肆拾肆万元整</v>
      </c>
      <c r="G5" s="3446"/>
      <c r="H5" s="3446" t="str">
        <f ca="1">结果表!H119</f>
        <v>壹仟陆佰陆拾肆万元整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1664</v>
      </c>
      <c r="E8" s="3447"/>
      <c r="F8" s="3447"/>
      <c r="G8" s="3447"/>
      <c r="H8" s="3447"/>
      <c r="I8" s="3447"/>
    </row>
    <row r="9" spans="1:9" ht="15">
      <c r="A9" s="3446" t="s">
        <v>112</v>
      </c>
      <c r="B9" s="3446"/>
      <c r="C9" s="3446"/>
      <c r="D9" s="3446" t="str">
        <f ca="1">结果表!D123</f>
        <v>壹仟陆佰陆拾肆万元整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53"/>
      <c r="C23" s="1753"/>
      <c r="D23" s="1753"/>
    </row>
    <row r="24" spans="1:4">
      <c r="A24" s="3373"/>
      <c r="B24" s="1753"/>
      <c r="C24" s="1753"/>
      <c r="D24" s="1753"/>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45422</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t="str">
        <f ca="1">IF(C6&lt;B2,"已过期",1120050019)</f>
        <v>已过期</v>
      </c>
      <c r="C6" s="3323">
        <v>45410</v>
      </c>
      <c r="D6" s="3324" t="str">
        <f t="shared" ca="1" si="0"/>
        <v>王鹏（注册号：已过期）</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t="str">
        <f ca="1">IF(C13&lt;B2,"已过期",1120020033)</f>
        <v>已过期</v>
      </c>
      <c r="C13" s="3323">
        <v>45375</v>
      </c>
      <c r="D13" s="3324" t="str">
        <f t="shared" ca="1" si="0"/>
        <v>刘敬东（注册号：已过期）</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2024-05-10T06:35:32Z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9C1F66F4A6C5416A859E3FD1F7D7CB03_12</vt:lpwstr>
  </property>
  <property fmtid="{D5CDD505-2E9C-101B-9397-08002B2CF9AE}" pid="3" name="KSOProductBuildVer">
    <vt:lpwstr>2052-12.1.0.16910</vt:lpwstr>
  </property>
  <property fmtid="{D5CDD505-2E9C-101B-9397-08002B2CF9AE}" pid="4" name="KSOReadingLayout">
    <vt:bool>true</vt:bool>
  </property>
</Properties>
</file>