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8"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state="hidden" r:id="rId46"/>
    <sheet name="成本逼近法（051）" sheetId="77"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77" l="1"/>
  <c r="B2" i="77"/>
  <c r="C17" i="66"/>
  <c r="D17" i="66"/>
  <c r="F17" i="66" l="1"/>
  <c r="J17" i="66" s="1"/>
  <c r="B5" i="78"/>
  <c r="B2" i="78"/>
  <c r="I3" i="59" l="1"/>
  <c r="L3" i="59"/>
  <c r="B27" i="79" l="1"/>
  <c r="B29" i="79" s="1"/>
  <c r="C25" i="79" s="1"/>
  <c r="C21" i="79" s="1"/>
  <c r="I11" i="79"/>
  <c r="I10" i="79" s="1"/>
  <c r="I9" i="79" s="1"/>
  <c r="H26" i="76"/>
  <c r="I17" i="79" l="1"/>
  <c r="I18" i="79"/>
  <c r="I19" i="79" s="1"/>
  <c r="B27" i="69"/>
  <c r="B29" i="69" s="1"/>
  <c r="C25" i="69" s="1"/>
  <c r="C21" i="69" s="1"/>
  <c r="B27" i="76"/>
  <c r="B29" i="76" s="1"/>
  <c r="C25" i="76" s="1"/>
  <c r="B27" i="77"/>
  <c r="B29" i="77" s="1"/>
  <c r="C25" i="77" s="1"/>
  <c r="B27" i="78"/>
  <c r="B29" i="78" s="1"/>
  <c r="C25" i="78" s="1"/>
  <c r="I23" i="79" l="1"/>
  <c r="B4" i="79" s="1"/>
  <c r="B2" i="79" s="1"/>
  <c r="B5" i="79" s="1"/>
  <c r="I20" i="79"/>
  <c r="C21" i="78"/>
  <c r="I11" i="78"/>
  <c r="I10" i="78" s="1"/>
  <c r="I9" i="78" s="1"/>
  <c r="G1" i="77"/>
  <c r="C21" i="77"/>
  <c r="I11" i="77"/>
  <c r="I10" i="77" s="1"/>
  <c r="I9" i="77" s="1"/>
  <c r="I17" i="78" l="1"/>
  <c r="I18" i="78"/>
  <c r="I19" i="78" s="1"/>
  <c r="I17" i="77"/>
  <c r="I18" i="77"/>
  <c r="I19" i="77" s="1"/>
  <c r="I23" i="78" l="1"/>
  <c r="B4" i="78" s="1"/>
  <c r="I20" i="78"/>
  <c r="I23" i="77"/>
  <c r="B4" i="77" s="1"/>
  <c r="I20" i="77"/>
  <c r="C21" i="76" l="1"/>
  <c r="I23" i="76" s="1"/>
  <c r="I11" i="76"/>
  <c r="I10" i="76" s="1"/>
  <c r="I9" i="76" s="1"/>
  <c r="I17" i="76" l="1"/>
  <c r="I18" i="76"/>
  <c r="I19" i="76" s="1"/>
  <c r="I17" i="69"/>
  <c r="B4" i="76" l="1"/>
  <c r="B2" i="76" s="1"/>
  <c r="I20" i="76"/>
  <c r="B5" i="76" l="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F11" i="67"/>
  <c r="F26" i="15"/>
  <c r="M23" i="44"/>
  <c r="E10" i="67"/>
  <c r="F37" i="15"/>
  <c r="M24" i="15"/>
  <c r="F38" i="44"/>
  <c r="B12" i="67"/>
  <c r="M10" i="44"/>
  <c r="B14" i="67"/>
  <c r="F9" i="67"/>
  <c r="J4" i="65"/>
  <c r="F40" i="44"/>
  <c r="F43" i="44"/>
  <c r="D20" i="9"/>
  <c r="M29" i="44"/>
  <c r="F9" i="44"/>
  <c r="B8" i="67"/>
  <c r="M23" i="15"/>
  <c r="B9" i="67"/>
  <c r="J17" i="44"/>
  <c r="F18" i="44"/>
  <c r="N6" i="65"/>
  <c r="C19" i="44"/>
  <c r="J6" i="65"/>
  <c r="L49" i="44"/>
  <c r="F46" i="44"/>
  <c r="M28" i="15"/>
  <c r="M11" i="44"/>
  <c r="I5" i="65"/>
  <c r="J15" i="15"/>
  <c r="B13" i="67"/>
  <c r="M24" i="44"/>
  <c r="E13" i="67"/>
  <c r="J7" i="65"/>
  <c r="B11" i="67"/>
  <c r="M26" i="44"/>
  <c r="F12" i="67"/>
  <c r="E12" i="67"/>
  <c r="F40" i="15"/>
  <c r="M9" i="15"/>
  <c r="M29" i="15"/>
  <c r="M6" i="15"/>
  <c r="M21" i="15"/>
  <c r="F43" i="15"/>
  <c r="F15" i="44"/>
  <c r="F37" i="44"/>
  <c r="F45" i="44"/>
  <c r="N4" i="65"/>
  <c r="F8" i="44"/>
  <c r="E11" i="67"/>
  <c r="F11" i="44"/>
  <c r="F8" i="15"/>
  <c r="E9" i="67"/>
  <c r="L48" i="15"/>
  <c r="F36" i="15"/>
  <c r="F35" i="15"/>
  <c r="I6" i="65"/>
  <c r="F39" i="44"/>
  <c r="M8" i="44"/>
  <c r="F38" i="15"/>
  <c r="N3" i="65"/>
  <c r="M30" i="44"/>
  <c r="M28" i="44"/>
  <c r="F10" i="67"/>
  <c r="F14" i="67"/>
  <c r="I3" i="65"/>
  <c r="M26" i="15"/>
  <c r="F41" i="15"/>
  <c r="M8" i="15"/>
  <c r="L47" i="15"/>
  <c r="I7" i="65"/>
  <c r="F10" i="44"/>
  <c r="N7" i="65"/>
  <c r="F8" i="67"/>
  <c r="I4" i="65"/>
  <c r="F6" i="15"/>
  <c r="B10" i="67"/>
  <c r="F13" i="67"/>
  <c r="F9" i="15"/>
  <c r="J36" i="15"/>
  <c r="L48" i="44"/>
  <c r="F13" i="15"/>
  <c r="E8" i="67"/>
  <c r="M31" i="44"/>
  <c r="N5" i="65"/>
  <c r="F16" i="15"/>
  <c r="M25" i="44"/>
  <c r="M27" i="15"/>
  <c r="F28" i="44"/>
  <c r="J5" i="65"/>
  <c r="F7" i="15"/>
  <c r="M22" i="15"/>
  <c r="E14" i="67"/>
  <c r="F42" i="15"/>
  <c r="J3" i="65"/>
  <c r="C20" i="9"/>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E3" i="65"/>
  <c r="F33" i="44"/>
  <c r="F31" i="15"/>
  <c r="C18" i="44"/>
  <c r="M19" i="44"/>
  <c r="E2" i="65"/>
  <c r="M17" i="15"/>
  <c r="C17" i="15"/>
  <c r="C16" i="15"/>
  <c r="F58" i="1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J16" i="66"/>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21" i="9"/>
  <c r="C21" i="9"/>
  <c r="D19" i="9"/>
  <c r="C19" i="9"/>
  <c r="B5" i="69" l="1"/>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J15" i="66"/>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4" i="15"/>
  <c r="C16" i="44"/>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C27"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D5" i="66" s="1"/>
  <c r="J14" i="66"/>
  <c r="C26" i="15"/>
  <c r="C29" i="15" s="1"/>
  <c r="H35" i="72"/>
  <c r="H38" i="72" s="1"/>
  <c r="F7" i="67"/>
  <c r="E4" i="67" l="1"/>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<sst xmlns="http://schemas.openxmlformats.org/spreadsheetml/2006/main" count="8229" uniqueCount="3162">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</sst>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8"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8"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8"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6" fontId="95" fillId="5" borderId="2" xfId="2" applyNumberFormat="1" applyFont="1" applyFill="1" applyBorder="1" applyAlignment="1" applyProtection="1">
      <alignment horizontal="center" vertical="center"/>
    </xf>
    <xf numFmtId="1" fontId="0" fillId="0" borderId="2" xfId="0" applyNumberFormat="1" applyBorder="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8" fontId="221" fillId="5" borderId="29" xfId="2" applyNumberFormat="1" applyFont="1" applyFill="1" applyBorder="1" applyAlignment="1" applyProtection="1">
      <alignment horizontal="center" vertical="center"/>
    </xf>
    <xf numFmtId="178"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3" t="str">
        <f>IF(B10="北京市","北京市",C10)&amp;F10&amp;B16&amp;"国有建设用地使用权"&amp;B9&amp;"预评估"</f>
        <v>出让国有建设用地使用权预评估</v>
      </c>
      <c r="C1" s="3264"/>
      <c r="D1" s="3264"/>
      <c r="E1" s="3264"/>
      <c r="F1" s="3264"/>
      <c r="G1" s="3264"/>
      <c r="H1" s="3264"/>
      <c r="I1" s="326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7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6"/>
      <c r="C12" s="3267"/>
      <c r="D12" s="3268"/>
      <c r="E12" s="1683" t="s">
        <v>2061</v>
      </c>
      <c r="F12" s="3284" t="s">
        <v>2890</v>
      </c>
      <c r="G12" s="3285"/>
      <c r="H12" s="3285"/>
      <c r="I12" s="3286"/>
      <c r="J12" s="1678"/>
      <c r="K12" s="1758"/>
      <c r="L12" s="1707"/>
      <c r="M12" s="1707"/>
      <c r="N12" s="1678"/>
      <c r="O12" s="1679"/>
      <c r="P12" s="1678"/>
      <c r="Q12" s="1678"/>
      <c r="R12" s="1678"/>
      <c r="S12" s="1678"/>
      <c r="T12" s="1678"/>
      <c r="U12" s="1678"/>
    </row>
    <row r="13" spans="1:21">
      <c r="A13" s="1671" t="s">
        <v>2059</v>
      </c>
      <c r="B13" s="3266"/>
      <c r="C13" s="3267"/>
      <c r="D13" s="3268"/>
      <c r="E13" s="1683" t="s">
        <v>2061</v>
      </c>
      <c r="F13" s="3284" t="s">
        <v>2891</v>
      </c>
      <c r="G13" s="3285"/>
      <c r="H13" s="3285"/>
      <c r="I13" s="328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81"/>
      <c r="E20" s="3282"/>
      <c r="F20" s="3282"/>
      <c r="G20" s="3282"/>
      <c r="H20" s="3282"/>
      <c r="I20" s="3283"/>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1" t="s">
        <v>1998</v>
      </c>
      <c r="F21" s="3272"/>
      <c r="G21" s="3272"/>
      <c r="H21" s="3272"/>
      <c r="I21" s="3273"/>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1" t="s">
        <v>2892</v>
      </c>
      <c r="F22" s="3272"/>
      <c r="G22" s="3272"/>
      <c r="H22" s="3272"/>
      <c r="I22" s="3273"/>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4" t="s">
        <v>1966</v>
      </c>
      <c r="C24" s="3275"/>
      <c r="D24" s="3276" t="s">
        <v>1967</v>
      </c>
      <c r="E24" s="3277"/>
      <c r="F24" s="1692" t="s">
        <v>1968</v>
      </c>
      <c r="G24" s="1678"/>
      <c r="H24" s="1678"/>
      <c r="I24" s="1691"/>
      <c r="J24" s="1678"/>
      <c r="K24" s="326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9" t="s">
        <v>2001</v>
      </c>
      <c r="B31" s="1748" t="s">
        <v>2002</v>
      </c>
      <c r="C31" s="3287"/>
      <c r="D31" s="3288"/>
      <c r="E31" s="1678"/>
      <c r="F31" s="1678"/>
      <c r="G31" s="1678"/>
      <c r="H31" s="1678"/>
      <c r="I31" s="1691"/>
      <c r="J31" s="1678"/>
      <c r="K31" s="2422"/>
      <c r="L31" s="1678"/>
      <c r="M31" s="1678"/>
      <c r="N31" s="1678"/>
      <c r="O31" s="1678"/>
      <c r="P31" s="1678"/>
      <c r="Q31" s="1678"/>
      <c r="R31" s="1678"/>
      <c r="S31" s="1678"/>
      <c r="T31" s="1678"/>
      <c r="U31" s="1678"/>
    </row>
    <row r="32" spans="1:21">
      <c r="A32" s="328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0"/>
      <c r="B34" s="1645" t="s">
        <v>2005</v>
      </c>
      <c r="C34" s="3291"/>
      <c r="D34" s="3292"/>
      <c r="E34" s="1678"/>
      <c r="F34" s="1678"/>
      <c r="G34" s="1678"/>
      <c r="H34" s="1678"/>
      <c r="I34" s="1691"/>
      <c r="J34" s="1678"/>
      <c r="K34" s="2422"/>
      <c r="L34" s="1678"/>
      <c r="M34" s="1678"/>
      <c r="N34" s="1678"/>
      <c r="O34" s="1678"/>
      <c r="P34" s="1678"/>
      <c r="Q34" s="1678"/>
      <c r="R34" s="1678"/>
      <c r="S34" s="1678"/>
      <c r="T34" s="1678"/>
      <c r="U34" s="1678"/>
    </row>
    <row r="35" spans="1:21">
      <c r="A35" s="3293" t="s">
        <v>847</v>
      </c>
      <c r="B35" s="1706"/>
      <c r="C35" s="1760" t="str">
        <f>IF(B35="场地平整","——","具体情况：")</f>
        <v>具体情况：</v>
      </c>
      <c r="D35" s="3295"/>
      <c r="E35" s="3296"/>
      <c r="F35" s="3296"/>
      <c r="G35" s="3296"/>
      <c r="H35" s="3296"/>
      <c r="I35" s="3297"/>
      <c r="J35" s="1678"/>
      <c r="K35" s="1759"/>
      <c r="L35" s="1707"/>
      <c r="M35" s="1707"/>
      <c r="N35" s="1678"/>
      <c r="O35" s="1679"/>
      <c r="P35" s="1678"/>
      <c r="Q35" s="1678"/>
      <c r="R35" s="1678"/>
      <c r="S35" s="1678"/>
      <c r="T35" s="1678"/>
      <c r="U35" s="1678"/>
    </row>
    <row r="36" spans="1:21">
      <c r="A36" s="3289"/>
      <c r="B36" s="3298" t="s">
        <v>2054</v>
      </c>
      <c r="C36" s="3299"/>
      <c r="D36" s="1776"/>
      <c r="E36" s="3300"/>
      <c r="F36" s="3300"/>
      <c r="G36" s="1671" t="str">
        <f>IF(B35="场地未平整","估价结果处理","")</f>
        <v/>
      </c>
      <c r="H36" s="3301"/>
      <c r="I36" s="3301"/>
      <c r="J36" s="1678"/>
      <c r="K36" s="1759"/>
      <c r="L36" s="1707"/>
      <c r="M36" s="1707"/>
      <c r="N36" s="1678"/>
      <c r="O36" s="1679"/>
      <c r="P36" s="1678"/>
      <c r="Q36" s="1678"/>
      <c r="R36" s="1678"/>
      <c r="S36" s="1678"/>
      <c r="T36" s="1678"/>
      <c r="U36" s="1678"/>
    </row>
    <row r="37" spans="1:21" ht="28.5">
      <c r="A37" s="3289"/>
      <c r="B37" s="327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9"/>
      <c r="B38" s="3279"/>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90"/>
      <c r="B39" s="328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1" t="s">
        <v>1985</v>
      </c>
      <c r="T40" s="1715" t="str">
        <f>NUMBERSTRING(7-K40,1)&amp;"通"</f>
        <v>七通</v>
      </c>
      <c r="U40" s="1678"/>
    </row>
    <row r="41" spans="1:21">
      <c r="A41" s="1647"/>
      <c r="B41" s="3294" t="s">
        <v>1721</v>
      </c>
      <c r="C41" s="3294"/>
      <c r="D41" s="3294"/>
      <c r="E41" s="329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0.66</v>
      </c>
      <c r="J4" s="1969"/>
      <c r="K4" s="1969"/>
      <c r="L4" s="1969"/>
    </row>
    <row r="5" spans="1:16">
      <c r="A5" s="110" t="s">
        <v>207</v>
      </c>
      <c r="B5" s="3318" t="s">
        <v>230</v>
      </c>
      <c r="C5" s="3318"/>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8" t="s">
        <v>208</v>
      </c>
      <c r="C6" s="3318"/>
      <c r="D6" s="111">
        <f>ROUND($D$3*E6/$E$3,2)</f>
        <v>15557.09</v>
      </c>
      <c r="E6" s="112">
        <f>E3-E5</f>
        <v>10288.000000000002</v>
      </c>
      <c r="F6" s="1969"/>
      <c r="G6" s="1197"/>
      <c r="H6" s="275" t="s">
        <v>860</v>
      </c>
      <c r="I6" s="1961">
        <f>ROUND(F31/D31,2)</f>
        <v>0.66</v>
      </c>
      <c r="J6" s="1969"/>
      <c r="K6" s="1969"/>
      <c r="L6" s="1969"/>
    </row>
    <row r="7" spans="1:16" ht="15">
      <c r="A7" s="3310"/>
      <c r="B7" s="3311"/>
      <c r="C7" s="3312"/>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4" t="s">
        <v>2566</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2567</v>
      </c>
      <c r="L17" s="3308"/>
      <c r="M17" s="3309"/>
      <c r="N17" s="3307" t="s">
        <v>2568</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4533.3559999999998</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4297621</v>
      </c>
      <c r="C5" s="2996" t="e">
        <f>ROUND(B5*10000/$B$1,0)</f>
        <v>#DIV/0!</v>
      </c>
      <c r="D5" s="2996">
        <f>ROUND(B5/$B$2,0)</f>
        <v>948</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c r="G14" s="3000" t="str">
        <f>结果表!C44</f>
        <v>——</v>
      </c>
      <c r="H14" s="3000" t="str">
        <f>结果表!C45</f>
        <v>——</v>
      </c>
      <c r="I14" s="3000" t="str">
        <f>结果表!C46</f>
        <v>——</v>
      </c>
      <c r="J14">
        <f>ROUND(F14*666.67/10000,2)</f>
        <v>0</v>
      </c>
    </row>
    <row r="15" spans="1:10" ht="16.5">
      <c r="A15" s="3003" t="s">
        <v>2861</v>
      </c>
      <c r="B15" s="3000"/>
      <c r="C15" s="3000"/>
      <c r="D15" s="3000"/>
      <c r="E15" s="3000" t="e">
        <f t="shared" ref="E15:E23" si="2">ROUND(D15*10000/B15,0)</f>
        <v>#DIV/0!</v>
      </c>
      <c r="F15" s="3000"/>
      <c r="G15" s="3001"/>
      <c r="H15" s="3001"/>
      <c r="I15" s="3004"/>
      <c r="J15">
        <f t="shared" ref="J15:J16" si="3">ROUND(F15*666.67/10000,2)</f>
        <v>0</v>
      </c>
    </row>
    <row r="16" spans="1:10" ht="16.5">
      <c r="A16" s="3003" t="s">
        <v>2862</v>
      </c>
      <c r="B16" s="3000"/>
      <c r="C16" s="3000"/>
      <c r="D16" s="3000"/>
      <c r="E16" s="3000" t="e">
        <f t="shared" si="2"/>
        <v>#DIV/0!</v>
      </c>
      <c r="F16" s="3000"/>
      <c r="G16" s="3001"/>
      <c r="H16" s="3001"/>
      <c r="I16" s="3004"/>
      <c r="J16">
        <f t="shared" si="3"/>
        <v>0</v>
      </c>
    </row>
    <row r="17" spans="1:10" ht="16.5">
      <c r="A17" s="3003" t="s">
        <v>2863</v>
      </c>
      <c r="B17" s="3000"/>
      <c r="C17" s="3000">
        <f>'成本逼近法（051）'!G1</f>
        <v>4533.3559999999998</v>
      </c>
      <c r="D17" s="3000">
        <f>'成本逼近法（051）'!B2</f>
        <v>4297621</v>
      </c>
      <c r="E17" s="3000" t="e">
        <f t="shared" si="2"/>
        <v>#DIV/0!</v>
      </c>
      <c r="F17" s="3000">
        <f>ROUND(D17/C17,0)</f>
        <v>948</v>
      </c>
      <c r="G17" s="3001"/>
      <c r="H17" s="3001"/>
      <c r="I17" s="3004"/>
      <c r="J17">
        <f>ROUND(F17*666.67/10000,2)</f>
        <v>63.2</v>
      </c>
    </row>
    <row r="18" spans="1:10" ht="16.5">
      <c r="A18" s="3003" t="s">
        <v>2864</v>
      </c>
      <c r="B18" s="3004"/>
      <c r="C18" s="3004"/>
      <c r="D18" s="3004"/>
      <c r="E18" s="3000" t="e">
        <f t="shared" si="2"/>
        <v>#DIV/0!</v>
      </c>
      <c r="F18" s="3000" t="e">
        <f t="shared" ref="F18:F23" si="4">ROUND(D18*10000/C18,0)</f>
        <v>#DIV/0!</v>
      </c>
      <c r="G18" s="3004"/>
      <c r="H18" s="3004"/>
      <c r="I18" s="3004"/>
    </row>
    <row r="19" spans="1:10" ht="16.5">
      <c r="A19" s="3003" t="s">
        <v>2865</v>
      </c>
      <c r="B19" s="3004"/>
      <c r="C19" s="3004"/>
      <c r="D19" s="3004"/>
      <c r="E19" s="3000" t="e">
        <f t="shared" si="2"/>
        <v>#DIV/0!</v>
      </c>
      <c r="F19" s="3000" t="e">
        <f t="shared" si="4"/>
        <v>#DIV/0!</v>
      </c>
      <c r="G19" s="3004"/>
      <c r="H19" s="3004"/>
      <c r="I19" s="3004"/>
    </row>
    <row r="20" spans="1:10" ht="16.5">
      <c r="A20" s="3003" t="s">
        <v>2866</v>
      </c>
      <c r="B20" s="3004"/>
      <c r="C20" s="3004"/>
      <c r="D20" s="3004"/>
      <c r="E20" s="3000" t="e">
        <f t="shared" si="2"/>
        <v>#DIV/0!</v>
      </c>
      <c r="F20" s="3000" t="e">
        <f t="shared" si="4"/>
        <v>#DIV/0!</v>
      </c>
      <c r="G20" s="3004"/>
      <c r="H20" s="3004"/>
      <c r="I20" s="3004"/>
    </row>
    <row r="21" spans="1:10" ht="16.5">
      <c r="A21" s="3003" t="s">
        <v>2867</v>
      </c>
      <c r="B21" s="3004"/>
      <c r="C21" s="3004"/>
      <c r="D21" s="3004"/>
      <c r="E21" s="3000" t="e">
        <f t="shared" si="2"/>
        <v>#DIV/0!</v>
      </c>
      <c r="F21" s="3000" t="e">
        <f t="shared" si="4"/>
        <v>#DIV/0!</v>
      </c>
      <c r="G21" s="3004"/>
      <c r="H21" s="3004"/>
      <c r="I21" s="3004"/>
    </row>
    <row r="22" spans="1:10" ht="16.5">
      <c r="A22" s="3003" t="s">
        <v>2868</v>
      </c>
      <c r="B22" s="3004"/>
      <c r="C22" s="3004"/>
      <c r="D22" s="3004"/>
      <c r="E22" s="3000" t="e">
        <f t="shared" si="2"/>
        <v>#DIV/0!</v>
      </c>
      <c r="F22" s="3000" t="e">
        <f t="shared" si="4"/>
        <v>#DIV/0!</v>
      </c>
      <c r="G22" s="3004"/>
      <c r="H22" s="3004"/>
      <c r="I22" s="3004"/>
    </row>
    <row r="23" spans="1:10" ht="16.5">
      <c r="A23" s="3003" t="s">
        <v>2869</v>
      </c>
      <c r="B23" s="3004"/>
      <c r="C23" s="3004"/>
      <c r="D23" s="3004"/>
      <c r="E23" s="2996" t="e">
        <f t="shared" si="2"/>
        <v>#DIV/0!</v>
      </c>
      <c r="F23" s="2996" t="e">
        <f t="shared" si="4"/>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6" t="str">
        <f>项目基本情况!K2</f>
        <v>出让国有建设用地使用权</v>
      </c>
      <c r="B2" s="3367"/>
      <c r="C2" s="3368"/>
      <c r="D2" s="3368"/>
      <c r="E2" s="3368"/>
      <c r="F2" s="3368"/>
      <c r="G2" s="3367"/>
      <c r="H2" s="3367"/>
      <c r="I2" s="3369"/>
      <c r="J2" s="2015"/>
      <c r="K2" s="2014"/>
      <c r="L2" s="2014"/>
      <c r="M2" s="2014"/>
      <c r="N2" s="2014"/>
      <c r="O2" s="2014"/>
      <c r="P2" s="2014"/>
      <c r="Q2" s="2014"/>
      <c r="R2" s="2014"/>
      <c r="S2" s="2014"/>
      <c r="T2" s="2014"/>
      <c r="U2" s="2014"/>
      <c r="V2" s="2014"/>
    </row>
    <row r="3" spans="1:22" ht="14.25">
      <c r="A3" s="3377" t="s">
        <v>298</v>
      </c>
      <c r="B3" s="3378"/>
      <c r="C3" s="3378"/>
      <c r="D3" s="3378"/>
      <c r="E3" s="3378"/>
      <c r="F3" s="3378"/>
      <c r="G3" s="3378"/>
      <c r="H3" s="3378"/>
      <c r="I3" s="3378"/>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1" t="s">
        <v>301</v>
      </c>
      <c r="F4" s="3383"/>
      <c r="G4" s="3383"/>
      <c r="H4" s="3383"/>
      <c r="I4" s="334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70" t="s">
        <v>302</v>
      </c>
      <c r="B5" s="3371">
        <v>25</v>
      </c>
      <c r="C5" s="3379"/>
      <c r="D5" s="3382"/>
      <c r="E5" s="261" t="s">
        <v>303</v>
      </c>
      <c r="F5" s="262"/>
      <c r="G5" s="262"/>
      <c r="H5" s="262"/>
      <c r="I5" s="263"/>
      <c r="J5" s="2015"/>
      <c r="K5" s="2014"/>
      <c r="L5" s="2014"/>
      <c r="M5" s="2014"/>
      <c r="N5" s="2014"/>
      <c r="O5" s="2014"/>
      <c r="P5" s="2014"/>
      <c r="Q5" s="2014"/>
      <c r="R5" s="2014"/>
      <c r="S5" s="2014"/>
      <c r="T5" s="2014"/>
      <c r="U5" s="2014"/>
      <c r="V5" s="2014"/>
    </row>
    <row r="6" spans="1:22" ht="14.25">
      <c r="A6" s="3370"/>
      <c r="B6" s="3371"/>
      <c r="C6" s="3380"/>
      <c r="D6" s="3382"/>
      <c r="E6" s="261" t="s">
        <v>304</v>
      </c>
      <c r="F6" s="262"/>
      <c r="G6" s="262"/>
      <c r="H6" s="262"/>
      <c r="I6" s="263"/>
      <c r="J6" s="2015"/>
      <c r="K6" s="2014"/>
      <c r="L6" s="2014"/>
      <c r="M6" s="2014"/>
      <c r="N6" s="2014"/>
      <c r="O6" s="2014"/>
      <c r="P6" s="2014"/>
      <c r="Q6" s="2014"/>
      <c r="R6" s="2014"/>
      <c r="S6" s="2014"/>
      <c r="T6" s="2014"/>
      <c r="U6" s="2014"/>
      <c r="V6" s="2014"/>
    </row>
    <row r="7" spans="1:22" ht="14.25">
      <c r="A7" s="3370"/>
      <c r="B7" s="3371"/>
      <c r="C7" s="3381"/>
      <c r="D7" s="3382"/>
      <c r="E7" s="261" t="s">
        <v>305</v>
      </c>
      <c r="F7" s="262"/>
      <c r="G7" s="262"/>
      <c r="H7" s="262"/>
      <c r="I7" s="263"/>
      <c r="J7" s="2015"/>
      <c r="K7" s="2014"/>
      <c r="L7" s="2014"/>
      <c r="M7" s="2014"/>
      <c r="N7" s="2014"/>
      <c r="O7" s="2014"/>
      <c r="P7" s="2014"/>
      <c r="Q7" s="2014"/>
      <c r="R7" s="2014"/>
      <c r="S7" s="2014"/>
      <c r="T7" s="2014"/>
      <c r="U7" s="2014"/>
      <c r="V7" s="2014"/>
    </row>
    <row r="8" spans="1:22" ht="14.25">
      <c r="A8" s="3370" t="s">
        <v>306</v>
      </c>
      <c r="B8" s="3371">
        <v>15</v>
      </c>
      <c r="C8" s="3379"/>
      <c r="D8" s="3382"/>
      <c r="E8" s="261" t="s">
        <v>307</v>
      </c>
      <c r="F8" s="262"/>
      <c r="G8" s="262"/>
      <c r="H8" s="262"/>
      <c r="I8" s="263"/>
      <c r="J8" s="2015"/>
      <c r="K8" s="2014"/>
      <c r="L8" s="2014"/>
      <c r="M8" s="2014"/>
      <c r="N8" s="2014"/>
      <c r="O8" s="2014"/>
      <c r="P8" s="2014"/>
      <c r="Q8" s="2014"/>
      <c r="R8" s="2014"/>
      <c r="S8" s="2014"/>
      <c r="T8" s="2014"/>
      <c r="U8" s="2014"/>
      <c r="V8" s="2014"/>
    </row>
    <row r="9" spans="1:22" ht="14.25">
      <c r="A9" s="3370"/>
      <c r="B9" s="3371"/>
      <c r="C9" s="3381"/>
      <c r="D9" s="3382"/>
      <c r="E9" s="261" t="s">
        <v>308</v>
      </c>
      <c r="F9" s="262"/>
      <c r="G9" s="262"/>
      <c r="H9" s="262"/>
      <c r="I9" s="263"/>
      <c r="J9" s="2015"/>
      <c r="K9" s="2014"/>
      <c r="L9" s="2014"/>
      <c r="M9" s="2014"/>
      <c r="N9" s="2014"/>
      <c r="O9" s="2014"/>
      <c r="P9" s="2014"/>
      <c r="Q9" s="2014"/>
      <c r="R9" s="2014"/>
      <c r="S9" s="2014"/>
      <c r="T9" s="2014"/>
      <c r="U9" s="2014"/>
      <c r="V9" s="2014"/>
    </row>
    <row r="10" spans="1:22" ht="14.25">
      <c r="A10" s="3370" t="s">
        <v>309</v>
      </c>
      <c r="B10" s="3371">
        <v>15</v>
      </c>
      <c r="C10" s="3379"/>
      <c r="D10" s="338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0"/>
      <c r="B11" s="3371"/>
      <c r="C11" s="3381"/>
      <c r="D11" s="338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0" t="s">
        <v>312</v>
      </c>
      <c r="B12" s="3371">
        <v>15</v>
      </c>
      <c r="C12" s="3379"/>
      <c r="D12" s="338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0"/>
      <c r="B13" s="3371"/>
      <c r="C13" s="3381"/>
      <c r="D13" s="338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0" t="s">
        <v>315</v>
      </c>
      <c r="B14" s="3371">
        <v>30</v>
      </c>
      <c r="C14" s="3379">
        <v>1</v>
      </c>
      <c r="D14" s="3382">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0"/>
      <c r="B15" s="3371"/>
      <c r="C15" s="3380"/>
      <c r="D15" s="338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0"/>
      <c r="B16" s="3371"/>
      <c r="C16" s="3381"/>
      <c r="D16" s="338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5"/>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4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4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5"/>
      <c r="F35" s="301" t="s">
        <v>342</v>
      </c>
      <c r="G35" s="982"/>
      <c r="H35" s="981" t="s">
        <v>343</v>
      </c>
      <c r="I35" s="311"/>
      <c r="J35" s="2014"/>
      <c r="K35" s="3349" t="s">
        <v>350</v>
      </c>
      <c r="L35" s="3349" t="s">
        <v>351</v>
      </c>
      <c r="M35" s="1260" t="s">
        <v>352</v>
      </c>
      <c r="N35" s="3349" t="s">
        <v>353</v>
      </c>
      <c r="O35" s="3349" t="s">
        <v>354</v>
      </c>
      <c r="P35" s="2014"/>
      <c r="V35" s="2014"/>
    </row>
    <row r="36" spans="1:26" ht="16.5" customHeight="1">
      <c r="A36" s="303" t="s">
        <v>344</v>
      </c>
      <c r="B36" s="304" t="s">
        <v>333</v>
      </c>
      <c r="C36" s="305" t="s">
        <v>345</v>
      </c>
      <c r="D36" s="305" t="s">
        <v>346</v>
      </c>
      <c r="E36" s="306" t="s">
        <v>347</v>
      </c>
      <c r="F36" s="311"/>
      <c r="G36" s="311"/>
      <c r="H36" s="311"/>
      <c r="I36" s="311"/>
      <c r="J36" s="2016"/>
      <c r="K36" s="3350"/>
      <c r="L36" s="3350"/>
      <c r="M36" s="1262" t="s">
        <v>355</v>
      </c>
      <c r="N36" s="3350"/>
      <c r="O36" s="3350"/>
      <c r="P36" s="2014"/>
      <c r="V36" s="2014"/>
    </row>
    <row r="37" spans="1:26" ht="16.5" customHeight="1" thickBot="1">
      <c r="A37" s="1256" t="s">
        <v>348</v>
      </c>
      <c r="B37" s="307"/>
      <c r="C37" s="294"/>
      <c r="D37" s="294"/>
      <c r="E37" s="295"/>
      <c r="F37" s="311"/>
      <c r="G37" s="311"/>
      <c r="H37" s="311"/>
      <c r="I37" s="311"/>
      <c r="J37" s="2016"/>
      <c r="K37" s="3351"/>
      <c r="L37" s="3351"/>
      <c r="M37" s="1263"/>
      <c r="N37" s="3351"/>
      <c r="O37" s="3351"/>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6" t="str">
        <f>MID(A44,3,LEN(A44)-2)</f>
        <v/>
      </c>
      <c r="L39" s="3327"/>
      <c r="M39" s="3327"/>
      <c r="N39" s="3328"/>
      <c r="O39" s="1389" t="str">
        <f>C44</f>
        <v>——</v>
      </c>
      <c r="P39" s="2014"/>
      <c r="V39" s="2014"/>
    </row>
    <row r="40" spans="1:26" ht="19.5" thickBot="1">
      <c r="A40" s="104" t="s">
        <v>873</v>
      </c>
      <c r="B40" s="311"/>
      <c r="C40" s="311"/>
      <c r="D40" s="311"/>
      <c r="E40" s="311"/>
      <c r="F40" s="311"/>
      <c r="G40" s="311"/>
      <c r="H40" s="311"/>
      <c r="I40" s="311"/>
      <c r="J40" s="2016"/>
      <c r="K40" s="3326" t="str">
        <f t="shared" ref="K40:K41" si="0">MID(A45,3,LEN(A45)-2)</f>
        <v/>
      </c>
      <c r="L40" s="3327"/>
      <c r="M40" s="3327"/>
      <c r="N40" s="332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6" t="str">
        <f t="shared" si="0"/>
        <v/>
      </c>
      <c r="L41" s="3327"/>
      <c r="M41" s="3327"/>
      <c r="N41" s="3328"/>
      <c r="O41" s="1389" t="str">
        <f>C46</f>
        <v>——</v>
      </c>
      <c r="P41" s="2014"/>
      <c r="V41" s="2014"/>
    </row>
    <row r="42" spans="1:26" ht="29.25">
      <c r="A42" s="3386" t="s">
        <v>2067</v>
      </c>
      <c r="B42" s="3387"/>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6" t="s">
        <v>2730</v>
      </c>
      <c r="B43" s="3397"/>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86" t="str">
        <f>IF(OR(项目基本情况!E8="抵押价格",项目基本情况!E8="已注销及未注销"),"3.抵押价格","——")</f>
        <v>——</v>
      </c>
      <c r="B44" s="338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1" t="str">
        <f>IF(项目基本情况!E8="已注销及未注销","4.抵押担保权已注销时的抵押价格",IF(项目基本情况!E8="已注销","3.抵押担保权已注销时的抵押价格","——"))</f>
        <v>——</v>
      </c>
      <c r="B45" s="339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3" t="s">
        <v>378</v>
      </c>
      <c r="B64" s="3394"/>
      <c r="C64" s="3394"/>
      <c r="D64" s="3394"/>
      <c r="E64" s="3394"/>
      <c r="F64" s="3394"/>
      <c r="G64" s="339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0" t="s">
        <v>386</v>
      </c>
      <c r="B66" s="3361"/>
      <c r="C66" s="3361"/>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30" t="s">
        <v>385</v>
      </c>
      <c r="M66" s="3331"/>
      <c r="N66" s="2423"/>
      <c r="O66" s="2424"/>
      <c r="P66" s="2425"/>
      <c r="Q66" s="2014"/>
      <c r="R66" s="2014"/>
      <c r="S66" s="2014"/>
      <c r="T66" s="2014"/>
      <c r="U66" s="2014"/>
      <c r="V66" s="2014"/>
    </row>
    <row r="67" spans="1:22" ht="25.5" customHeight="1">
      <c r="A67" s="352" t="s">
        <v>390</v>
      </c>
      <c r="B67" s="3373" t="s">
        <v>391</v>
      </c>
      <c r="C67" s="3373"/>
      <c r="D67" s="353">
        <v>0</v>
      </c>
      <c r="E67" s="41" t="s">
        <v>392</v>
      </c>
      <c r="F67" s="62" t="s">
        <v>21</v>
      </c>
      <c r="G67" s="3357"/>
      <c r="H67" s="311"/>
      <c r="I67" s="1288"/>
      <c r="J67" s="2021"/>
      <c r="K67" s="1962">
        <v>2</v>
      </c>
      <c r="L67" s="3329" t="s">
        <v>389</v>
      </c>
      <c r="M67" s="3329"/>
      <c r="N67" s="1321">
        <f>'数据-取费表'!B2</f>
        <v>44435</v>
      </c>
      <c r="O67" s="1321"/>
      <c r="P67" s="1321"/>
      <c r="Q67" s="2014"/>
      <c r="R67" s="2014"/>
      <c r="S67" s="2014"/>
      <c r="T67" s="2014"/>
      <c r="U67" s="2014"/>
      <c r="V67" s="2014"/>
    </row>
    <row r="68" spans="1:22" ht="25.5" customHeight="1">
      <c r="A68" s="354"/>
      <c r="B68" s="3373" t="s">
        <v>394</v>
      </c>
      <c r="C68" s="3373"/>
      <c r="D68" s="355"/>
      <c r="E68" s="77"/>
      <c r="F68" s="356"/>
      <c r="G68" s="3358"/>
      <c r="H68" s="311"/>
      <c r="I68" s="1288"/>
      <c r="J68" s="2021"/>
      <c r="K68" s="1962">
        <v>3</v>
      </c>
      <c r="L68" s="3329" t="s">
        <v>393</v>
      </c>
      <c r="M68" s="3329"/>
      <c r="N68" s="1289" t="e">
        <f ca="1">C42</f>
        <v>#REF!</v>
      </c>
      <c r="O68" s="1289"/>
      <c r="P68" s="1289"/>
      <c r="Q68" s="2014"/>
      <c r="R68" s="2014"/>
      <c r="S68" s="2014"/>
      <c r="T68" s="2014"/>
      <c r="U68" s="2014"/>
      <c r="V68" s="2014"/>
    </row>
    <row r="69" spans="1:22" ht="12" customHeight="1">
      <c r="A69" s="357"/>
      <c r="B69" s="3373" t="s">
        <v>395</v>
      </c>
      <c r="C69" s="3373"/>
      <c r="D69" s="358"/>
      <c r="E69" s="73"/>
      <c r="F69" s="356"/>
      <c r="G69" s="3359"/>
      <c r="H69" s="311"/>
      <c r="I69" s="1288"/>
      <c r="J69" s="2021"/>
      <c r="K69" s="1290">
        <v>4</v>
      </c>
      <c r="L69" s="3335" t="s">
        <v>2883</v>
      </c>
      <c r="M69" s="3336"/>
      <c r="N69" s="1291" t="str">
        <f>C44</f>
        <v>——</v>
      </c>
      <c r="O69" s="1291"/>
      <c r="P69" s="1291"/>
      <c r="Q69" s="2014"/>
      <c r="R69" s="2014"/>
      <c r="S69" s="2014"/>
      <c r="T69" s="2014"/>
      <c r="U69" s="2014"/>
      <c r="V69" s="2014"/>
    </row>
    <row r="70" spans="1:22" ht="24" customHeight="1">
      <c r="A70" s="359" t="s">
        <v>396</v>
      </c>
      <c r="B70" s="3373" t="s">
        <v>397</v>
      </c>
      <c r="C70" s="337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2" t="s">
        <v>405</v>
      </c>
      <c r="C71" s="3384"/>
      <c r="D71" s="358" t="e">
        <f ca="1">ROUND(D63*'数据-取费表'!B41/(1+'数据-取费表'!C42),0)</f>
        <v>#REF!</v>
      </c>
      <c r="E71" s="17" t="s">
        <v>398</v>
      </c>
      <c r="F71" s="360">
        <f>'数据-取费表'!B41</f>
        <v>0</v>
      </c>
      <c r="G71" s="361"/>
      <c r="H71" s="311"/>
      <c r="I71" s="1288"/>
      <c r="J71" s="2021"/>
      <c r="K71" s="3012" t="s">
        <v>399</v>
      </c>
      <c r="L71" s="3337" t="s">
        <v>400</v>
      </c>
      <c r="M71" s="3337"/>
      <c r="N71" s="3012" t="s">
        <v>401</v>
      </c>
      <c r="O71" s="3012" t="s">
        <v>402</v>
      </c>
      <c r="P71" s="3012" t="s">
        <v>403</v>
      </c>
      <c r="Q71" s="2014"/>
      <c r="R71" s="2014"/>
      <c r="S71" s="2014"/>
      <c r="T71" s="2014"/>
      <c r="U71" s="2014"/>
      <c r="V71" s="2014"/>
    </row>
    <row r="72" spans="1:22" ht="12" customHeight="1">
      <c r="A72" s="359" t="s">
        <v>407</v>
      </c>
      <c r="B72" s="3372" t="s">
        <v>408</v>
      </c>
      <c r="C72" s="3384"/>
      <c r="D72" s="358" t="e">
        <f ca="1">C86</f>
        <v>#REF!</v>
      </c>
      <c r="E72" s="73" t="s">
        <v>409</v>
      </c>
      <c r="F72" s="360">
        <f>'数据-取费表'!B41</f>
        <v>0</v>
      </c>
      <c r="G72" s="361"/>
      <c r="H72" s="1294"/>
      <c r="I72" s="1288"/>
      <c r="J72" s="2021"/>
      <c r="K72" s="1962">
        <v>1</v>
      </c>
      <c r="L72" s="3334" t="s">
        <v>406</v>
      </c>
      <c r="M72" s="3334"/>
      <c r="N72" s="1292" t="e">
        <f ca="1">D66</f>
        <v>#REF!</v>
      </c>
      <c r="O72" s="1845" t="str">
        <f>E66</f>
        <v>销售额×税（费）率</v>
      </c>
      <c r="P72" s="1293">
        <f>F66</f>
        <v>0</v>
      </c>
      <c r="Q72" s="2014"/>
      <c r="R72" s="2014"/>
      <c r="S72" s="2014"/>
      <c r="T72" s="2014"/>
      <c r="U72" s="2014"/>
      <c r="V72" s="2014"/>
    </row>
    <row r="73" spans="1:22" ht="24" customHeight="1">
      <c r="A73" s="3360" t="s">
        <v>411</v>
      </c>
      <c r="B73" s="3361"/>
      <c r="C73" s="3361"/>
      <c r="D73" s="362">
        <f>IF(H73="个人住宅",0,ROUND(D63*I73,0))</f>
        <v>0</v>
      </c>
      <c r="E73" s="17" t="s">
        <v>412</v>
      </c>
      <c r="F73" s="360" t="str">
        <f>IF(H73="正常",I73,"免征")</f>
        <v>免征</v>
      </c>
      <c r="G73" s="361"/>
      <c r="H73" s="191" t="s">
        <v>2455</v>
      </c>
      <c r="I73" s="360">
        <f>'数据-取费表'!B49</f>
        <v>0</v>
      </c>
      <c r="J73" s="2021"/>
      <c r="K73" s="1962">
        <v>2</v>
      </c>
      <c r="L73" s="3334" t="s">
        <v>410</v>
      </c>
      <c r="M73" s="3334"/>
      <c r="N73" s="1292">
        <f t="shared" ref="N73:P74" si="1">D73</f>
        <v>0</v>
      </c>
      <c r="O73" s="1845" t="str">
        <f t="shared" si="1"/>
        <v>销售额×税（费）率</v>
      </c>
      <c r="P73" s="1293" t="str">
        <f t="shared" si="1"/>
        <v>免征</v>
      </c>
      <c r="Q73" s="2014"/>
      <c r="R73" s="2014"/>
      <c r="S73" s="2014"/>
      <c r="T73" s="2014"/>
      <c r="U73" s="2014"/>
      <c r="V73" s="2014"/>
    </row>
    <row r="74" spans="1:22" ht="24.75">
      <c r="A74" s="3360" t="s">
        <v>415</v>
      </c>
      <c r="B74" s="3361"/>
      <c r="C74" s="3361"/>
      <c r="D74" s="362" t="e">
        <f ca="1">IF(H74="个人住宅",D75,D76)</f>
        <v>#REF!</v>
      </c>
      <c r="E74" s="17" t="s">
        <v>416</v>
      </c>
      <c r="F74" s="360" t="str">
        <f>IF(H74="正常",F76,"免征")</f>
        <v>——</v>
      </c>
      <c r="G74" s="983" t="s">
        <v>417</v>
      </c>
      <c r="H74" s="363" t="s">
        <v>413</v>
      </c>
      <c r="I74" s="42"/>
      <c r="J74" s="2021"/>
      <c r="K74" s="1962">
        <v>3</v>
      </c>
      <c r="L74" s="3334" t="s">
        <v>414</v>
      </c>
      <c r="M74" s="3334"/>
      <c r="N74" s="1292" t="e">
        <f t="shared" ca="1" si="1"/>
        <v>#REF!</v>
      </c>
      <c r="O74" s="1845" t="str">
        <f t="shared" si="1"/>
        <v>增值额×税（费）率</v>
      </c>
      <c r="P74" s="1295" t="str">
        <f t="shared" si="1"/>
        <v>——</v>
      </c>
      <c r="Q74" s="2014"/>
      <c r="R74" s="2014"/>
      <c r="S74" s="2014"/>
      <c r="T74" s="2014"/>
      <c r="U74" s="2014"/>
      <c r="V74" s="2014"/>
    </row>
    <row r="75" spans="1:22" ht="24">
      <c r="A75" s="359" t="s">
        <v>418</v>
      </c>
      <c r="B75" s="3341" t="s">
        <v>419</v>
      </c>
      <c r="C75" s="3342"/>
      <c r="D75" s="364">
        <v>0</v>
      </c>
      <c r="E75" s="41" t="s">
        <v>420</v>
      </c>
      <c r="F75" s="365"/>
      <c r="G75" s="361"/>
      <c r="H75" s="42"/>
      <c r="I75" s="42"/>
      <c r="J75" s="2021"/>
      <c r="K75" s="3005">
        <f>IF(H77="非个人房产","",4)</f>
        <v>4</v>
      </c>
      <c r="L75" s="3334" t="str">
        <f>IF(H77="非个人房产","——","个人所得税")</f>
        <v>个人所得税</v>
      </c>
      <c r="M75" s="3334"/>
      <c r="N75" s="1296" t="e">
        <f ca="1">D77</f>
        <v>#REF!</v>
      </c>
      <c r="O75" s="1858" t="str">
        <f>E77</f>
        <v>销售额×税（费）率</v>
      </c>
      <c r="P75" s="1297">
        <f>F77</f>
        <v>0.01</v>
      </c>
      <c r="Q75" s="2014"/>
      <c r="R75" s="2014"/>
      <c r="S75" s="2014"/>
      <c r="T75" s="2014"/>
      <c r="U75" s="2014"/>
      <c r="V75" s="2014"/>
    </row>
    <row r="76" spans="1:22" ht="24.75">
      <c r="A76" s="359" t="s">
        <v>396</v>
      </c>
      <c r="B76" s="3341" t="s">
        <v>422</v>
      </c>
      <c r="C76" s="3383"/>
      <c r="D76" s="362" t="e">
        <f ca="1">IF(H76="转让取得",C99,C115)</f>
        <v>#REF!</v>
      </c>
      <c r="E76" s="17" t="s">
        <v>423</v>
      </c>
      <c r="F76" s="53" t="s">
        <v>21</v>
      </c>
      <c r="G76" s="361"/>
      <c r="H76" s="363" t="s">
        <v>424</v>
      </c>
      <c r="I76" s="42"/>
      <c r="J76" s="2021"/>
      <c r="K76" s="3005" t="str">
        <f>IF(项目基本情况!K6="上海银行",IF(K75="",4,K75+1),"")</f>
        <v/>
      </c>
      <c r="L76" s="3322" t="str">
        <f>IF(项目基本情况!K6="上海银行","其他处置费用","")</f>
        <v/>
      </c>
      <c r="M76" s="3323"/>
      <c r="N76" s="1292" t="str">
        <f>IF(项目基本情况!K6="上海银行",N89,"")</f>
        <v/>
      </c>
      <c r="O76" s="3324" t="str">
        <f>IF(项目基本情况!K6="上海银行","包含处置中涉及的律师、诉讼、拍卖、评估等费用","")</f>
        <v/>
      </c>
      <c r="P76" s="3325"/>
      <c r="Q76" s="2014"/>
      <c r="R76" s="2014"/>
      <c r="S76" s="2014"/>
      <c r="T76" s="2014"/>
      <c r="U76" s="2014"/>
      <c r="V76" s="2014"/>
    </row>
    <row r="77" spans="1:22" ht="26.25" thickBot="1">
      <c r="A77" s="3352" t="s">
        <v>426</v>
      </c>
      <c r="B77" s="3353"/>
      <c r="C77" s="3353"/>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8">
        <f>IF(AND(K75="",K76=""),4,IF(项目基本情况!K6="上海银行",K76+1,K75+1))</f>
        <v>5</v>
      </c>
      <c r="L77" s="3334"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8"/>
      <c r="L78" s="3334"/>
      <c r="M78" s="3011" t="s">
        <v>425</v>
      </c>
      <c r="N78" s="1298"/>
      <c r="O78" s="1299" t="str">
        <f ca="1">NUMBERSTRING(INT(O77*10000),2)&amp;"元整"</f>
        <v>零元整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32">
        <f>K77+1</f>
        <v>6</v>
      </c>
      <c r="L79" s="3334" t="s">
        <v>2886</v>
      </c>
      <c r="M79" s="3011" t="s">
        <v>421</v>
      </c>
      <c r="N79" s="1298"/>
      <c r="O79" s="1299" t="e">
        <f ca="1">N69-O77</f>
        <v>#VALUE!</v>
      </c>
      <c r="P79" s="1300"/>
      <c r="Q79" s="2014"/>
      <c r="R79" s="2014"/>
      <c r="S79" s="2014"/>
      <c r="T79" s="2014"/>
      <c r="U79" s="2014"/>
      <c r="V79" s="2014"/>
    </row>
    <row r="80" spans="1:22" ht="12.75">
      <c r="A80" s="3339" t="s">
        <v>428</v>
      </c>
      <c r="B80" s="3340"/>
      <c r="C80" s="994"/>
      <c r="D80" s="994" t="s">
        <v>429</v>
      </c>
      <c r="E80" s="370" t="s">
        <v>430</v>
      </c>
      <c r="F80" s="42"/>
      <c r="G80" s="42"/>
      <c r="H80" s="1003"/>
      <c r="I80" s="311"/>
      <c r="J80" s="2014"/>
      <c r="K80" s="3333"/>
      <c r="L80" s="3334"/>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46" t="s">
        <v>2887</v>
      </c>
      <c r="M81" s="3347"/>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5" t="s">
        <v>437</v>
      </c>
      <c r="B88" s="3376"/>
      <c r="C88" s="3376"/>
      <c r="D88" s="3376"/>
      <c r="E88" s="3376"/>
      <c r="F88" s="3376"/>
      <c r="G88" s="3376"/>
      <c r="H88" s="3376"/>
      <c r="I88" s="1311"/>
      <c r="J88" s="2022"/>
      <c r="K88" s="332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39" t="s">
        <v>428</v>
      </c>
      <c r="B89" s="3340"/>
      <c r="C89" s="994"/>
      <c r="D89" s="994" t="s">
        <v>429</v>
      </c>
      <c r="E89" s="391" t="s">
        <v>438</v>
      </c>
      <c r="F89" s="392"/>
      <c r="G89" s="392"/>
      <c r="H89" s="393"/>
      <c r="I89" s="1312"/>
      <c r="J89" s="2024"/>
      <c r="K89" s="332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2" t="s">
        <v>447</v>
      </c>
      <c r="F94" s="3373"/>
      <c r="G94" s="3373"/>
      <c r="H94" s="337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2" t="s">
        <v>2428</v>
      </c>
      <c r="F96" s="3363"/>
      <c r="G96" s="3363"/>
      <c r="H96" s="336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5" t="s">
        <v>454</v>
      </c>
      <c r="B101" s="3376"/>
      <c r="C101" s="3376"/>
      <c r="D101" s="3376"/>
      <c r="E101" s="3376"/>
      <c r="F101" s="3376"/>
      <c r="G101" s="3376"/>
      <c r="H101" s="337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9" t="s">
        <v>428</v>
      </c>
      <c r="B102" s="334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5" t="s">
        <v>462</v>
      </c>
      <c r="F109" s="3363"/>
      <c r="G109" s="336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5" t="s">
        <v>464</v>
      </c>
      <c r="F110" s="3363"/>
      <c r="G110" s="3363"/>
      <c r="H110" s="336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2" t="s">
        <v>2428</v>
      </c>
      <c r="F111" s="3363"/>
      <c r="G111" s="3363"/>
      <c r="H111" s="336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5" t="s">
        <v>2453</v>
      </c>
      <c r="F112" s="3363"/>
      <c r="G112" s="3363"/>
      <c r="H112" s="336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出让国有建设用地使用权预评估</v>
      </c>
      <c r="C37" s="3233"/>
      <c r="D37" s="3233"/>
      <c r="E37" s="3233"/>
      <c r="F37" s="3233"/>
      <c r="G37" s="3233"/>
      <c r="H37" s="3233"/>
      <c r="I37" s="323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0" t="s">
        <v>522</v>
      </c>
      <c r="D6" s="3421"/>
      <c r="E6" s="3420" t="s">
        <v>523</v>
      </c>
      <c r="F6" s="3421"/>
      <c r="G6" s="3420" t="s">
        <v>524</v>
      </c>
      <c r="H6" s="3421"/>
      <c r="I6" s="3420" t="s">
        <v>525</v>
      </c>
      <c r="J6" s="3421"/>
      <c r="K6" s="514" t="s">
        <v>526</v>
      </c>
      <c r="L6" s="2119"/>
      <c r="M6" s="2118"/>
      <c r="N6" s="2118"/>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30" ht="20.25">
      <c r="A7" s="515"/>
      <c r="B7" s="516"/>
      <c r="C7" s="3431" t="s">
        <v>2931</v>
      </c>
      <c r="D7" s="3432"/>
      <c r="E7" s="3431" t="s">
        <v>2932</v>
      </c>
      <c r="F7" s="3432"/>
      <c r="G7" s="3431" t="s">
        <v>2933</v>
      </c>
      <c r="H7" s="3432"/>
      <c r="I7" s="3431" t="s">
        <v>2934</v>
      </c>
      <c r="J7" s="3432"/>
      <c r="K7" s="514"/>
      <c r="L7" s="2119"/>
      <c r="M7" s="2118"/>
      <c r="N7" s="2118"/>
      <c r="O7" s="2120"/>
      <c r="P7" s="3424"/>
      <c r="Q7" s="3425"/>
      <c r="R7" s="3410"/>
      <c r="S7" s="3411"/>
      <c r="T7" s="3410"/>
      <c r="U7" s="3411"/>
      <c r="V7" s="3428"/>
      <c r="W7" s="3428"/>
      <c r="X7" s="1554"/>
      <c r="Y7" s="3410"/>
      <c r="Z7" s="3411"/>
      <c r="AA7" s="3404"/>
      <c r="AB7" s="3404"/>
      <c r="AC7" s="3404"/>
    </row>
    <row r="8" spans="1:30" ht="21" thickBot="1">
      <c r="A8" s="515"/>
      <c r="B8" s="516"/>
      <c r="C8" s="3433" t="s">
        <v>2935</v>
      </c>
      <c r="D8" s="3434"/>
      <c r="E8" s="3433" t="s">
        <v>2935</v>
      </c>
      <c r="F8" s="3434"/>
      <c r="G8" s="3429" t="s">
        <v>2935</v>
      </c>
      <c r="H8" s="3430"/>
      <c r="I8" s="3429" t="s">
        <v>2935</v>
      </c>
      <c r="J8" s="3430"/>
      <c r="K8" s="514" t="s">
        <v>528</v>
      </c>
      <c r="L8" s="2119"/>
      <c r="M8" s="2118"/>
      <c r="N8" s="2118"/>
      <c r="O8" s="2120"/>
      <c r="P8" s="3426"/>
      <c r="Q8" s="3427"/>
      <c r="R8" s="3410"/>
      <c r="S8" s="3411"/>
      <c r="T8" s="3412"/>
      <c r="U8" s="3413"/>
      <c r="V8" s="3428"/>
      <c r="W8" s="3428"/>
      <c r="X8" s="1554"/>
      <c r="Y8" s="3412"/>
      <c r="Z8" s="3413"/>
      <c r="AA8" s="3405"/>
      <c r="AB8" s="3405"/>
      <c r="AC8" s="3405"/>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14"/>
      <c r="Q12" s="1147" t="str">
        <f t="shared" si="6"/>
        <v>土地使用年限（年）</v>
      </c>
      <c r="R12" s="1555" t="s">
        <v>8</v>
      </c>
      <c r="S12" s="1556">
        <f t="shared" si="0"/>
        <v>126</v>
      </c>
      <c r="T12" s="1555" t="s">
        <v>8</v>
      </c>
      <c r="U12" s="1556">
        <f t="shared" si="1"/>
        <v>126</v>
      </c>
      <c r="V12" s="1555" t="s">
        <v>8</v>
      </c>
      <c r="W12" s="1556">
        <f t="shared" si="2"/>
        <v>126</v>
      </c>
      <c r="X12" s="1557"/>
      <c r="Y12" s="3371"/>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4"/>
      <c r="Q14" s="1147" t="str">
        <f t="shared" si="6"/>
        <v>配建</v>
      </c>
      <c r="R14" s="1555" t="s">
        <v>8</v>
      </c>
      <c r="S14" s="1556">
        <f t="shared" si="0"/>
        <v>100</v>
      </c>
      <c r="T14" s="1555" t="s">
        <v>8</v>
      </c>
      <c r="U14" s="1556">
        <f t="shared" si="1"/>
        <v>100</v>
      </c>
      <c r="V14" s="1555" t="s">
        <v>8</v>
      </c>
      <c r="W14" s="1556">
        <f t="shared" si="2"/>
        <v>100</v>
      </c>
      <c r="X14" s="1557"/>
      <c r="Y14" s="337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6" t="s">
        <v>540</v>
      </c>
      <c r="Q17" s="1559" t="str">
        <f t="shared" si="6"/>
        <v>居住社区成熟度</v>
      </c>
      <c r="R17" s="1560" t="s">
        <v>8</v>
      </c>
      <c r="S17" s="1561">
        <f t="shared" si="0"/>
        <v>100</v>
      </c>
      <c r="T17" s="1560" t="s">
        <v>8</v>
      </c>
      <c r="U17" s="1561">
        <f t="shared" si="1"/>
        <v>100</v>
      </c>
      <c r="V17" s="1560" t="s">
        <v>8</v>
      </c>
      <c r="W17" s="1561">
        <f t="shared" si="2"/>
        <v>100</v>
      </c>
      <c r="X17" s="1554"/>
      <c r="Y17" s="341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7"/>
      <c r="Q18" s="1559"/>
      <c r="R18" s="1560"/>
      <c r="S18" s="1561"/>
      <c r="T18" s="1560"/>
      <c r="U18" s="1561"/>
      <c r="V18" s="1560"/>
      <c r="W18" s="1561"/>
      <c r="X18" s="1554"/>
      <c r="Y18" s="341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7"/>
      <c r="Q19" s="1559" t="str">
        <f>B19</f>
        <v>商业繁华度</v>
      </c>
      <c r="R19" s="1560" t="s">
        <v>8</v>
      </c>
      <c r="S19" s="1561">
        <f>F19</f>
        <v>100</v>
      </c>
      <c r="T19" s="1560" t="s">
        <v>8</v>
      </c>
      <c r="U19" s="1561">
        <f>H19</f>
        <v>100</v>
      </c>
      <c r="V19" s="1560" t="s">
        <v>8</v>
      </c>
      <c r="W19" s="1561">
        <f>J19</f>
        <v>100</v>
      </c>
      <c r="X19" s="1554"/>
      <c r="Y19" s="341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7"/>
      <c r="Q20" s="1559"/>
      <c r="R20" s="1560"/>
      <c r="S20" s="1561"/>
      <c r="T20" s="1560"/>
      <c r="U20" s="1561"/>
      <c r="V20" s="1560"/>
      <c r="W20" s="1561"/>
      <c r="X20" s="1554"/>
      <c r="Y20" s="341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7"/>
      <c r="Q21" s="1559" t="str">
        <f>B21</f>
        <v>办公集聚程度</v>
      </c>
      <c r="R21" s="1560" t="s">
        <v>8</v>
      </c>
      <c r="S21" s="1561">
        <f>F21</f>
        <v>100</v>
      </c>
      <c r="T21" s="1560" t="s">
        <v>8</v>
      </c>
      <c r="U21" s="1561">
        <f>H21</f>
        <v>100</v>
      </c>
      <c r="V21" s="1560" t="s">
        <v>8</v>
      </c>
      <c r="W21" s="1561">
        <f>J21</f>
        <v>100</v>
      </c>
      <c r="X21" s="1554"/>
      <c r="Y21" s="341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7"/>
      <c r="Q22" s="1559"/>
      <c r="R22" s="1560"/>
      <c r="S22" s="1561"/>
      <c r="T22" s="1560"/>
      <c r="U22" s="1561"/>
      <c r="V22" s="1560"/>
      <c r="W22" s="1561"/>
      <c r="X22" s="1554"/>
      <c r="Y22" s="341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7"/>
      <c r="Q23" s="1559" t="str">
        <f>B23</f>
        <v>交通便捷度</v>
      </c>
      <c r="R23" s="1560" t="s">
        <v>8</v>
      </c>
      <c r="S23" s="1561">
        <f>F23</f>
        <v>100</v>
      </c>
      <c r="T23" s="1560" t="s">
        <v>8</v>
      </c>
      <c r="U23" s="1561">
        <f>H23</f>
        <v>100</v>
      </c>
      <c r="V23" s="1560" t="s">
        <v>8</v>
      </c>
      <c r="W23" s="1561">
        <f>J23</f>
        <v>100</v>
      </c>
      <c r="X23" s="1554"/>
      <c r="Y23" s="341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7"/>
      <c r="Q24" s="1559"/>
      <c r="R24" s="1560"/>
      <c r="S24" s="1561"/>
      <c r="T24" s="1560"/>
      <c r="U24" s="1561"/>
      <c r="V24" s="1560"/>
      <c r="W24" s="1561"/>
      <c r="X24" s="1554"/>
      <c r="Y24" s="341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7"/>
      <c r="Q25" s="1559" t="str">
        <f t="shared" ref="Q25:Q39" si="8">B25</f>
        <v>区域土地利用方向</v>
      </c>
      <c r="R25" s="1560" t="s">
        <v>8</v>
      </c>
      <c r="S25" s="1561">
        <f>F25</f>
        <v>100</v>
      </c>
      <c r="T25" s="1560" t="s">
        <v>8</v>
      </c>
      <c r="U25" s="1561">
        <f>H25</f>
        <v>100</v>
      </c>
      <c r="V25" s="1560" t="s">
        <v>8</v>
      </c>
      <c r="W25" s="1561">
        <f>J25</f>
        <v>100</v>
      </c>
      <c r="X25" s="1554"/>
      <c r="Y25" s="341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7"/>
      <c r="Q26" s="1559"/>
      <c r="R26" s="1560"/>
      <c r="S26" s="1561"/>
      <c r="T26" s="1560"/>
      <c r="U26" s="1561"/>
      <c r="V26" s="1560"/>
      <c r="W26" s="1561"/>
      <c r="X26" s="1554"/>
      <c r="Y26" s="341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7"/>
      <c r="Q27" s="1559" t="str">
        <f t="shared" si="8"/>
        <v>自然及人文环境状况</v>
      </c>
      <c r="R27" s="1560" t="s">
        <v>8</v>
      </c>
      <c r="S27" s="1561">
        <f>F27</f>
        <v>100</v>
      </c>
      <c r="T27" s="1560" t="s">
        <v>8</v>
      </c>
      <c r="U27" s="1561">
        <f>H27</f>
        <v>100</v>
      </c>
      <c r="V27" s="1560" t="s">
        <v>8</v>
      </c>
      <c r="W27" s="1561">
        <f>J27</f>
        <v>100</v>
      </c>
      <c r="X27" s="1554"/>
      <c r="Y27" s="341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7"/>
      <c r="Q28" s="1559"/>
      <c r="R28" s="1560"/>
      <c r="S28" s="1561"/>
      <c r="T28" s="1560"/>
      <c r="U28" s="1561"/>
      <c r="V28" s="1560"/>
      <c r="W28" s="1561"/>
      <c r="X28" s="1554"/>
      <c r="Y28" s="341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7"/>
      <c r="Q29" s="1147" t="str">
        <f t="shared" si="8"/>
        <v>公共配套设施</v>
      </c>
      <c r="R29" s="1555" t="s">
        <v>8</v>
      </c>
      <c r="S29" s="1556">
        <f>F29</f>
        <v>100</v>
      </c>
      <c r="T29" s="1555" t="s">
        <v>8</v>
      </c>
      <c r="U29" s="1556">
        <f>H29</f>
        <v>100</v>
      </c>
      <c r="V29" s="1555" t="s">
        <v>8</v>
      </c>
      <c r="W29" s="1556">
        <f>J29</f>
        <v>100</v>
      </c>
      <c r="X29" s="1557"/>
      <c r="Y29" s="341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7"/>
      <c r="Q30" s="1147"/>
      <c r="R30" s="1555"/>
      <c r="S30" s="1556"/>
      <c r="T30" s="1555"/>
      <c r="U30" s="1556"/>
      <c r="V30" s="1555"/>
      <c r="W30" s="1556"/>
      <c r="X30" s="1557"/>
      <c r="Y30" s="341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7"/>
      <c r="Q31" s="2543" t="str">
        <f t="shared" ref="Q31" si="9">B31</f>
        <v>基础设施水平</v>
      </c>
      <c r="R31" s="1555" t="s">
        <v>8</v>
      </c>
      <c r="S31" s="1556">
        <f>F31</f>
        <v>100</v>
      </c>
      <c r="T31" s="1555" t="s">
        <v>8</v>
      </c>
      <c r="U31" s="1556">
        <f>H31</f>
        <v>100</v>
      </c>
      <c r="V31" s="1555" t="s">
        <v>8</v>
      </c>
      <c r="W31" s="1556">
        <f>J31</f>
        <v>100</v>
      </c>
      <c r="X31" s="1557"/>
      <c r="Y31" s="341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7"/>
      <c r="Q32" s="2543"/>
      <c r="R32" s="1555"/>
      <c r="S32" s="1556"/>
      <c r="T32" s="1555"/>
      <c r="U32" s="1556"/>
      <c r="V32" s="1555"/>
      <c r="W32" s="1556"/>
      <c r="X32" s="1557"/>
      <c r="Y32" s="341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7"/>
      <c r="Q34" s="1559" t="str">
        <f t="shared" si="8"/>
        <v>毗邻道路的类型与等级</v>
      </c>
      <c r="R34" s="1560" t="s">
        <v>8</v>
      </c>
      <c r="S34" s="1561">
        <f t="shared" si="10"/>
        <v>100</v>
      </c>
      <c r="T34" s="1560" t="s">
        <v>8</v>
      </c>
      <c r="U34" s="1561">
        <f t="shared" si="11"/>
        <v>100</v>
      </c>
      <c r="V34" s="1560" t="s">
        <v>8</v>
      </c>
      <c r="W34" s="1561">
        <f t="shared" si="12"/>
        <v>100</v>
      </c>
      <c r="X34" s="1554"/>
      <c r="Y34" s="341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7"/>
      <c r="Q35" s="1559"/>
      <c r="R35" s="1560"/>
      <c r="S35" s="1561"/>
      <c r="T35" s="1560"/>
      <c r="U35" s="1561"/>
      <c r="V35" s="1560"/>
      <c r="W35" s="1561"/>
      <c r="X35" s="1554"/>
      <c r="Y35" s="341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7"/>
      <c r="Q36" s="1559" t="str">
        <f t="shared" si="8"/>
        <v>土地级别</v>
      </c>
      <c r="R36" s="1560" t="s">
        <v>8</v>
      </c>
      <c r="S36" s="1561">
        <f t="shared" si="10"/>
        <v>100</v>
      </c>
      <c r="T36" s="1560" t="s">
        <v>8</v>
      </c>
      <c r="U36" s="1561">
        <f t="shared" si="11"/>
        <v>100</v>
      </c>
      <c r="V36" s="1560" t="s">
        <v>8</v>
      </c>
      <c r="W36" s="1561">
        <f t="shared" si="12"/>
        <v>100</v>
      </c>
      <c r="X36" s="1554"/>
      <c r="Y36" s="341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7"/>
      <c r="Q37" s="1559">
        <f t="shared" si="8"/>
        <v>111</v>
      </c>
      <c r="R37" s="1560" t="s">
        <v>8</v>
      </c>
      <c r="S37" s="1561">
        <f t="shared" si="10"/>
        <v>100</v>
      </c>
      <c r="T37" s="1560" t="s">
        <v>8</v>
      </c>
      <c r="U37" s="1561">
        <f t="shared" si="11"/>
        <v>100</v>
      </c>
      <c r="V37" s="1560" t="s">
        <v>8</v>
      </c>
      <c r="W37" s="1561">
        <f t="shared" si="12"/>
        <v>100</v>
      </c>
      <c r="X37" s="1554"/>
      <c r="Y37" s="341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8" t="s">
        <v>550</v>
      </c>
      <c r="Q38" s="1559">
        <f t="shared" si="8"/>
        <v>111</v>
      </c>
      <c r="R38" s="1560" t="s">
        <v>8</v>
      </c>
      <c r="S38" s="1561">
        <f t="shared" si="10"/>
        <v>100</v>
      </c>
      <c r="T38" s="1560" t="s">
        <v>8</v>
      </c>
      <c r="U38" s="1561">
        <f t="shared" si="11"/>
        <v>100</v>
      </c>
      <c r="V38" s="1560" t="s">
        <v>8</v>
      </c>
      <c r="W38" s="1561">
        <f t="shared" si="12"/>
        <v>100</v>
      </c>
      <c r="X38" s="1554"/>
      <c r="Y38" s="341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9"/>
      <c r="Q39" s="1559">
        <f t="shared" si="8"/>
        <v>111</v>
      </c>
      <c r="R39" s="1564" t="s">
        <v>8</v>
      </c>
      <c r="S39" s="1565">
        <f t="shared" si="10"/>
        <v>100</v>
      </c>
      <c r="T39" s="1564" t="s">
        <v>8</v>
      </c>
      <c r="U39" s="1565">
        <f t="shared" si="11"/>
        <v>100</v>
      </c>
      <c r="V39" s="1564" t="s">
        <v>8</v>
      </c>
      <c r="W39" s="1565">
        <f t="shared" si="12"/>
        <v>100</v>
      </c>
      <c r="X39" s="1566"/>
      <c r="Y39" s="3419"/>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9"/>
      <c r="Q40" s="1559" t="str">
        <f>B40</f>
        <v>宗地面积</v>
      </c>
      <c r="R40" s="1560" t="s">
        <v>8</v>
      </c>
      <c r="S40" s="1561" t="e">
        <f t="shared" si="10"/>
        <v>#N/A</v>
      </c>
      <c r="T40" s="1560" t="s">
        <v>8</v>
      </c>
      <c r="U40" s="1561" t="e">
        <f t="shared" si="11"/>
        <v>#N/A</v>
      </c>
      <c r="V40" s="1560" t="s">
        <v>8</v>
      </c>
      <c r="W40" s="1561" t="e">
        <f t="shared" si="12"/>
        <v>#N/A</v>
      </c>
      <c r="X40" s="1554"/>
      <c r="Y40" s="3419"/>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9"/>
      <c r="Q41" s="1559" t="str">
        <f t="shared" ref="Q41:Q47" si="14">B41</f>
        <v>宗地形状</v>
      </c>
      <c r="R41" s="1560" t="s">
        <v>8</v>
      </c>
      <c r="S41" s="1561">
        <f t="shared" si="10"/>
        <v>100</v>
      </c>
      <c r="T41" s="1560" t="s">
        <v>8</v>
      </c>
      <c r="U41" s="1561">
        <f t="shared" si="11"/>
        <v>100</v>
      </c>
      <c r="V41" s="1560" t="s">
        <v>8</v>
      </c>
      <c r="W41" s="1561">
        <f t="shared" si="12"/>
        <v>100</v>
      </c>
      <c r="X41" s="1554"/>
      <c r="Y41" s="341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9"/>
      <c r="Q42" s="1559" t="str">
        <f t="shared" si="14"/>
        <v>临街宽度及深度</v>
      </c>
      <c r="R42" s="1560" t="s">
        <v>8</v>
      </c>
      <c r="S42" s="1561">
        <f t="shared" si="10"/>
        <v>100</v>
      </c>
      <c r="T42" s="1560" t="s">
        <v>8</v>
      </c>
      <c r="U42" s="1561">
        <f t="shared" si="11"/>
        <v>100</v>
      </c>
      <c r="V42" s="1560" t="s">
        <v>8</v>
      </c>
      <c r="W42" s="1561">
        <f t="shared" si="12"/>
        <v>100</v>
      </c>
      <c r="X42" s="1554"/>
      <c r="Y42" s="341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9"/>
      <c r="Q43" s="1559" t="str">
        <f t="shared" si="14"/>
        <v>宗地开发程度</v>
      </c>
      <c r="R43" s="1555" t="s">
        <v>8</v>
      </c>
      <c r="S43" s="1556">
        <f t="shared" si="10"/>
        <v>100</v>
      </c>
      <c r="T43" s="1555" t="s">
        <v>8</v>
      </c>
      <c r="U43" s="1556">
        <f t="shared" si="11"/>
        <v>100</v>
      </c>
      <c r="V43" s="1555" t="s">
        <v>8</v>
      </c>
      <c r="W43" s="1556">
        <f t="shared" si="12"/>
        <v>100</v>
      </c>
      <c r="X43" s="1557"/>
      <c r="Y43" s="341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9" t="s">
        <v>550</v>
      </c>
      <c r="Q44" s="1559" t="str">
        <f t="shared" si="14"/>
        <v>工程地质条件</v>
      </c>
      <c r="R44" s="1560" t="s">
        <v>8</v>
      </c>
      <c r="S44" s="1561">
        <f t="shared" si="10"/>
        <v>100</v>
      </c>
      <c r="T44" s="1560" t="s">
        <v>8</v>
      </c>
      <c r="U44" s="1561">
        <f t="shared" si="11"/>
        <v>100</v>
      </c>
      <c r="V44" s="1560" t="s">
        <v>8</v>
      </c>
      <c r="W44" s="1561">
        <f t="shared" si="12"/>
        <v>100</v>
      </c>
      <c r="X44" s="1554"/>
      <c r="Y44" s="341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9"/>
      <c r="Q45" s="1559">
        <f t="shared" si="14"/>
        <v>111</v>
      </c>
      <c r="R45" s="1560" t="s">
        <v>8</v>
      </c>
      <c r="S45" s="1561">
        <f t="shared" si="10"/>
        <v>100</v>
      </c>
      <c r="T45" s="1560" t="s">
        <v>8</v>
      </c>
      <c r="U45" s="1561">
        <f t="shared" si="11"/>
        <v>100</v>
      </c>
      <c r="V45" s="1560" t="s">
        <v>8</v>
      </c>
      <c r="W45" s="1561">
        <f t="shared" si="12"/>
        <v>100</v>
      </c>
      <c r="X45" s="1554"/>
      <c r="Y45" s="341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9"/>
      <c r="Q46" s="1559">
        <f t="shared" si="14"/>
        <v>111</v>
      </c>
      <c r="R46" s="1560" t="s">
        <v>8</v>
      </c>
      <c r="S46" s="1561">
        <f t="shared" si="10"/>
        <v>100</v>
      </c>
      <c r="T46" s="1560" t="s">
        <v>8</v>
      </c>
      <c r="U46" s="1561">
        <f t="shared" si="11"/>
        <v>100</v>
      </c>
      <c r="V46" s="1560" t="s">
        <v>8</v>
      </c>
      <c r="W46" s="1561">
        <f t="shared" si="12"/>
        <v>100</v>
      </c>
      <c r="X46" s="1554"/>
      <c r="Y46" s="341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9"/>
      <c r="Q47" s="1559">
        <f t="shared" si="14"/>
        <v>111</v>
      </c>
      <c r="R47" s="1564" t="s">
        <v>8</v>
      </c>
      <c r="S47" s="1565">
        <f t="shared" si="10"/>
        <v>100</v>
      </c>
      <c r="T47" s="1564" t="s">
        <v>8</v>
      </c>
      <c r="U47" s="1565">
        <f t="shared" si="11"/>
        <v>100</v>
      </c>
      <c r="V47" s="1564" t="s">
        <v>8</v>
      </c>
      <c r="W47" s="1565">
        <f t="shared" si="12"/>
        <v>100</v>
      </c>
      <c r="X47" s="1566"/>
      <c r="Y47" s="3419"/>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14" t="str">
        <f>A48</f>
        <v>成交单价</v>
      </c>
      <c r="Q48" s="3414"/>
      <c r="R48" s="3428">
        <f>E48</f>
        <v>0</v>
      </c>
      <c r="S48" s="3428"/>
      <c r="T48" s="3428">
        <f>G48</f>
        <v>0</v>
      </c>
      <c r="U48" s="3428"/>
      <c r="V48" s="3428">
        <f>I48</f>
        <v>0</v>
      </c>
      <c r="W48" s="3428"/>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4" t="str">
        <f>A49</f>
        <v>比较价格（元/平方米）</v>
      </c>
      <c r="Q49" s="3414"/>
      <c r="R49" s="3438" t="e">
        <f>ROUND(PRODUCT(R48,AA9:AA47),0)</f>
        <v>#DIV/0!</v>
      </c>
      <c r="S49" s="3438"/>
      <c r="T49" s="3438" t="e">
        <f>ROUND(PRODUCT(T48,AB9:AB47),0)</f>
        <v>#DIV/0!</v>
      </c>
      <c r="U49" s="3438"/>
      <c r="V49" s="3438" t="e">
        <f>ROUND(PRODUCT(V48,AC9:AC47),0)</f>
        <v>#DIV/0!</v>
      </c>
      <c r="W49" s="3438"/>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35" t="str">
        <f>A50</f>
        <v>估价对象XX用房的比较价格（楼面单价，元/平方米）</v>
      </c>
      <c r="Q50" s="3436"/>
      <c r="R50" s="3437" t="e">
        <f>ROUND(AVERAGE(R49:V49),0)</f>
        <v>#DIV/0!</v>
      </c>
      <c r="S50" s="3437"/>
      <c r="T50" s="3437"/>
      <c r="U50" s="3437"/>
      <c r="V50" s="3437"/>
      <c r="W50" s="343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8" t="s">
        <v>2281</v>
      </c>
      <c r="H57" s="339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0" t="s">
        <v>522</v>
      </c>
      <c r="D6" s="3421"/>
      <c r="E6" s="3444" t="s">
        <v>523</v>
      </c>
      <c r="F6" s="3445"/>
      <c r="G6" s="3420" t="s">
        <v>524</v>
      </c>
      <c r="H6" s="3421"/>
      <c r="I6" s="3420" t="s">
        <v>525</v>
      </c>
      <c r="J6" s="3421"/>
      <c r="K6" s="514" t="s">
        <v>526</v>
      </c>
      <c r="L6" s="2119"/>
      <c r="M6" s="2120"/>
      <c r="N6" s="2120"/>
      <c r="O6" s="2120"/>
      <c r="P6" s="3422" t="s">
        <v>527</v>
      </c>
      <c r="Q6" s="3423"/>
      <c r="R6" s="3408" t="s">
        <v>523</v>
      </c>
      <c r="S6" s="3409"/>
      <c r="T6" s="3408" t="s">
        <v>524</v>
      </c>
      <c r="U6" s="3409"/>
      <c r="V6" s="3428" t="s">
        <v>525</v>
      </c>
      <c r="W6" s="3428"/>
      <c r="X6" s="1554"/>
      <c r="Y6" s="3408" t="s">
        <v>527</v>
      </c>
      <c r="Z6" s="3409"/>
      <c r="AA6" s="3403" t="s">
        <v>523</v>
      </c>
      <c r="AB6" s="3404" t="s">
        <v>524</v>
      </c>
      <c r="AC6" s="3403" t="s">
        <v>525</v>
      </c>
    </row>
    <row r="7" spans="1:29" ht="15">
      <c r="A7" s="515"/>
      <c r="B7" s="516"/>
      <c r="C7" s="3431" t="s">
        <v>2931</v>
      </c>
      <c r="D7" s="3432"/>
      <c r="E7" s="3446" t="s">
        <v>2932</v>
      </c>
      <c r="F7" s="3447"/>
      <c r="G7" s="3431" t="s">
        <v>2933</v>
      </c>
      <c r="H7" s="3432"/>
      <c r="I7" s="3431" t="s">
        <v>2934</v>
      </c>
      <c r="J7" s="3432"/>
      <c r="K7" s="514"/>
      <c r="L7" s="2119"/>
      <c r="M7" s="2120"/>
      <c r="N7" s="2120"/>
      <c r="O7" s="2120"/>
      <c r="P7" s="3424"/>
      <c r="Q7" s="3425"/>
      <c r="R7" s="3410"/>
      <c r="S7" s="3411"/>
      <c r="T7" s="3410"/>
      <c r="U7" s="3411"/>
      <c r="V7" s="3428"/>
      <c r="W7" s="3428"/>
      <c r="X7" s="1554"/>
      <c r="Y7" s="3410"/>
      <c r="Z7" s="3411"/>
      <c r="AA7" s="3404"/>
      <c r="AB7" s="3404"/>
      <c r="AC7" s="3404"/>
    </row>
    <row r="8" spans="1:29" ht="15.75" thickBot="1">
      <c r="A8" s="517"/>
      <c r="B8" s="518"/>
      <c r="C8" s="3429" t="s">
        <v>2935</v>
      </c>
      <c r="D8" s="3430"/>
      <c r="E8" s="3448" t="s">
        <v>2935</v>
      </c>
      <c r="F8" s="3449"/>
      <c r="G8" s="3429" t="s">
        <v>2935</v>
      </c>
      <c r="H8" s="3430"/>
      <c r="I8" s="3429" t="s">
        <v>2935</v>
      </c>
      <c r="J8" s="3430"/>
      <c r="K8" s="514" t="s">
        <v>528</v>
      </c>
      <c r="L8" s="2119"/>
      <c r="M8" s="2120"/>
      <c r="N8" s="2120"/>
      <c r="O8" s="2120"/>
      <c r="P8" s="3426"/>
      <c r="Q8" s="3427"/>
      <c r="R8" s="3410"/>
      <c r="S8" s="3411"/>
      <c r="T8" s="3412"/>
      <c r="U8" s="3413"/>
      <c r="V8" s="3428"/>
      <c r="W8" s="3428"/>
      <c r="X8" s="1554"/>
      <c r="Y8" s="3412"/>
      <c r="Z8" s="3413"/>
      <c r="AA8" s="3405"/>
      <c r="AB8" s="3405"/>
      <c r="AC8" s="3405"/>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6" t="s">
        <v>530</v>
      </c>
      <c r="Q9" s="3415"/>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4" t="s">
        <v>535</v>
      </c>
      <c r="Q11" s="1147" t="str">
        <f t="shared" ref="Q11:Q17" si="6">B11</f>
        <v>用途</v>
      </c>
      <c r="R11" s="1555" t="s">
        <v>8</v>
      </c>
      <c r="S11" s="1556">
        <f t="shared" si="0"/>
        <v>100</v>
      </c>
      <c r="T11" s="1555" t="s">
        <v>8</v>
      </c>
      <c r="U11" s="1556">
        <f t="shared" si="1"/>
        <v>100</v>
      </c>
      <c r="V11" s="1555" t="s">
        <v>8</v>
      </c>
      <c r="W11" s="1556">
        <f t="shared" si="2"/>
        <v>100</v>
      </c>
      <c r="X11" s="1557"/>
      <c r="Y11" s="337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14"/>
      <c r="Q12" s="1147" t="str">
        <f t="shared" si="6"/>
        <v>土地使用年限（年）</v>
      </c>
      <c r="R12" s="1555" t="s">
        <v>8</v>
      </c>
      <c r="S12" s="1556">
        <f t="shared" si="0"/>
        <v>126</v>
      </c>
      <c r="T12" s="1555" t="s">
        <v>8</v>
      </c>
      <c r="U12" s="1556">
        <f t="shared" si="1"/>
        <v>126</v>
      </c>
      <c r="V12" s="1555" t="s">
        <v>8</v>
      </c>
      <c r="W12" s="1556">
        <f t="shared" si="2"/>
        <v>126</v>
      </c>
      <c r="X12" s="1557"/>
      <c r="Y12" s="3371"/>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4"/>
      <c r="Q13" s="1147" t="str">
        <f t="shared" si="6"/>
        <v>容积率</v>
      </c>
      <c r="R13" s="1555" t="s">
        <v>8</v>
      </c>
      <c r="S13" s="1556" t="e">
        <f t="shared" si="0"/>
        <v>#N/A</v>
      </c>
      <c r="T13" s="1555" t="s">
        <v>8</v>
      </c>
      <c r="U13" s="1556" t="e">
        <f t="shared" si="1"/>
        <v>#N/A</v>
      </c>
      <c r="V13" s="1555" t="s">
        <v>8</v>
      </c>
      <c r="W13" s="1556" t="e">
        <f t="shared" si="2"/>
        <v>#N/A</v>
      </c>
      <c r="X13" s="1557"/>
      <c r="Y13" s="337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4"/>
      <c r="Q15" s="1147">
        <f t="shared" si="6"/>
        <v>111</v>
      </c>
      <c r="R15" s="1555" t="s">
        <v>8</v>
      </c>
      <c r="S15" s="1556">
        <f t="shared" si="0"/>
        <v>100</v>
      </c>
      <c r="T15" s="1555" t="s">
        <v>8</v>
      </c>
      <c r="U15" s="1556">
        <f t="shared" si="1"/>
        <v>100</v>
      </c>
      <c r="V15" s="1555" t="s">
        <v>8</v>
      </c>
      <c r="W15" s="1556">
        <f t="shared" si="2"/>
        <v>100</v>
      </c>
      <c r="X15" s="1557"/>
      <c r="Y15" s="337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4"/>
      <c r="Q16" s="1147">
        <f t="shared" si="6"/>
        <v>111</v>
      </c>
      <c r="R16" s="1555" t="s">
        <v>8</v>
      </c>
      <c r="S16" s="1556">
        <f t="shared" si="0"/>
        <v>100</v>
      </c>
      <c r="T16" s="1555" t="s">
        <v>8</v>
      </c>
      <c r="U16" s="1556">
        <f t="shared" si="1"/>
        <v>100</v>
      </c>
      <c r="V16" s="1555" t="s">
        <v>8</v>
      </c>
      <c r="W16" s="1556">
        <f t="shared" si="2"/>
        <v>100</v>
      </c>
      <c r="X16" s="1557"/>
      <c r="Y16" s="337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6" t="s">
        <v>540</v>
      </c>
      <c r="Q17" s="1559" t="str">
        <f t="shared" si="6"/>
        <v>产业集聚程度</v>
      </c>
      <c r="R17" s="1560" t="s">
        <v>8</v>
      </c>
      <c r="S17" s="1561">
        <f t="shared" si="0"/>
        <v>100</v>
      </c>
      <c r="T17" s="1560" t="s">
        <v>8</v>
      </c>
      <c r="U17" s="1561">
        <f t="shared" si="1"/>
        <v>100</v>
      </c>
      <c r="V17" s="1560" t="s">
        <v>8</v>
      </c>
      <c r="W17" s="1561">
        <f t="shared" si="2"/>
        <v>100</v>
      </c>
      <c r="X17" s="1554"/>
      <c r="Y17" s="341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7"/>
      <c r="Q18" s="1559"/>
      <c r="R18" s="1560"/>
      <c r="S18" s="1561"/>
      <c r="T18" s="1560"/>
      <c r="U18" s="1561"/>
      <c r="V18" s="1560"/>
      <c r="W18" s="1561"/>
      <c r="X18" s="1554"/>
      <c r="Y18" s="341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7"/>
      <c r="Q19" s="1559" t="str">
        <f>B19</f>
        <v>交通便捷度</v>
      </c>
      <c r="R19" s="1560" t="s">
        <v>8</v>
      </c>
      <c r="S19" s="1561">
        <f>F19</f>
        <v>100</v>
      </c>
      <c r="T19" s="1560" t="s">
        <v>8</v>
      </c>
      <c r="U19" s="1561">
        <f>H19</f>
        <v>100</v>
      </c>
      <c r="V19" s="1560" t="s">
        <v>8</v>
      </c>
      <c r="W19" s="1561">
        <f>J19</f>
        <v>100</v>
      </c>
      <c r="X19" s="1554"/>
      <c r="Y19" s="341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7"/>
      <c r="Q21" s="1559" t="str">
        <f t="shared" ref="Q21:Q35" si="8">B21</f>
        <v>区域土地利用方向</v>
      </c>
      <c r="R21" s="1560" t="s">
        <v>8</v>
      </c>
      <c r="S21" s="1561">
        <f>F21</f>
        <v>100</v>
      </c>
      <c r="T21" s="1560" t="s">
        <v>8</v>
      </c>
      <c r="U21" s="1561">
        <f>H21</f>
        <v>100</v>
      </c>
      <c r="V21" s="1560" t="s">
        <v>8</v>
      </c>
      <c r="W21" s="1561">
        <f>J21</f>
        <v>100</v>
      </c>
      <c r="X21" s="1554"/>
      <c r="Y21" s="341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7"/>
      <c r="Q22" s="1559"/>
      <c r="R22" s="1560"/>
      <c r="S22" s="1561"/>
      <c r="T22" s="1560"/>
      <c r="U22" s="1561"/>
      <c r="V22" s="1560"/>
      <c r="W22" s="1561"/>
      <c r="X22" s="1554"/>
      <c r="Y22" s="341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7"/>
      <c r="Q23" s="1559" t="str">
        <f t="shared" si="8"/>
        <v>环境状况</v>
      </c>
      <c r="R23" s="1560" t="s">
        <v>8</v>
      </c>
      <c r="S23" s="1561">
        <f>F23</f>
        <v>100</v>
      </c>
      <c r="T23" s="1560" t="s">
        <v>8</v>
      </c>
      <c r="U23" s="1561">
        <f>H23</f>
        <v>100</v>
      </c>
      <c r="V23" s="1560" t="s">
        <v>8</v>
      </c>
      <c r="W23" s="1561">
        <f>J23</f>
        <v>100</v>
      </c>
      <c r="X23" s="1554"/>
      <c r="Y23" s="341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7"/>
      <c r="Q24" s="1559"/>
      <c r="R24" s="1560"/>
      <c r="S24" s="1561"/>
      <c r="T24" s="1560"/>
      <c r="U24" s="1561"/>
      <c r="V24" s="1560"/>
      <c r="W24" s="1561"/>
      <c r="X24" s="1554"/>
      <c r="Y24" s="341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7"/>
      <c r="Q25" s="1147" t="str">
        <f t="shared" si="8"/>
        <v>公共配套设施</v>
      </c>
      <c r="R25" s="1555" t="s">
        <v>8</v>
      </c>
      <c r="S25" s="1556">
        <f>F25</f>
        <v>100</v>
      </c>
      <c r="T25" s="1555" t="s">
        <v>8</v>
      </c>
      <c r="U25" s="1556">
        <f>H25</f>
        <v>100</v>
      </c>
      <c r="V25" s="1555" t="s">
        <v>8</v>
      </c>
      <c r="W25" s="1556">
        <f>J25</f>
        <v>100</v>
      </c>
      <c r="X25" s="1557"/>
      <c r="Y25" s="341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7"/>
      <c r="Q26" s="1147"/>
      <c r="R26" s="1555"/>
      <c r="S26" s="1556"/>
      <c r="T26" s="1555"/>
      <c r="U26" s="1556"/>
      <c r="V26" s="1555"/>
      <c r="W26" s="1556"/>
      <c r="X26" s="1557"/>
      <c r="Y26" s="341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7"/>
      <c r="Q27" s="2543" t="str">
        <f t="shared" ref="Q27" si="9">B27</f>
        <v>基础设施水平</v>
      </c>
      <c r="R27" s="1555" t="s">
        <v>8</v>
      </c>
      <c r="S27" s="1556">
        <f>F27</f>
        <v>100</v>
      </c>
      <c r="T27" s="1555" t="s">
        <v>8</v>
      </c>
      <c r="U27" s="1556">
        <f>H27</f>
        <v>100</v>
      </c>
      <c r="V27" s="1555" t="s">
        <v>8</v>
      </c>
      <c r="W27" s="1556">
        <f>J27</f>
        <v>100</v>
      </c>
      <c r="X27" s="1557"/>
      <c r="Y27" s="341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7"/>
      <c r="Q28" s="2543"/>
      <c r="R28" s="1555"/>
      <c r="S28" s="1556"/>
      <c r="T28" s="1555"/>
      <c r="U28" s="1556"/>
      <c r="V28" s="1555"/>
      <c r="W28" s="1556"/>
      <c r="X28" s="1557"/>
      <c r="Y28" s="341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7"/>
      <c r="Q30" s="1559" t="str">
        <f t="shared" si="8"/>
        <v>毗邻道路的类型与等级</v>
      </c>
      <c r="R30" s="1560" t="s">
        <v>8</v>
      </c>
      <c r="S30" s="1561">
        <f t="shared" si="10"/>
        <v>100</v>
      </c>
      <c r="T30" s="1560" t="s">
        <v>8</v>
      </c>
      <c r="U30" s="1561">
        <f t="shared" si="11"/>
        <v>100</v>
      </c>
      <c r="V30" s="1560" t="s">
        <v>8</v>
      </c>
      <c r="W30" s="1561">
        <f t="shared" si="12"/>
        <v>100</v>
      </c>
      <c r="X30" s="1554"/>
      <c r="Y30" s="341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7"/>
      <c r="Q31" s="1559"/>
      <c r="R31" s="1560"/>
      <c r="S31" s="1561"/>
      <c r="T31" s="1560"/>
      <c r="U31" s="1561"/>
      <c r="V31" s="1560"/>
      <c r="W31" s="1561"/>
      <c r="X31" s="1554"/>
      <c r="Y31" s="341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7"/>
      <c r="Q32" s="1559" t="str">
        <f t="shared" si="8"/>
        <v>土地级别</v>
      </c>
      <c r="R32" s="1560" t="s">
        <v>8</v>
      </c>
      <c r="S32" s="1561">
        <f t="shared" si="10"/>
        <v>100</v>
      </c>
      <c r="T32" s="1560" t="s">
        <v>8</v>
      </c>
      <c r="U32" s="1561">
        <f t="shared" si="11"/>
        <v>100</v>
      </c>
      <c r="V32" s="1560" t="s">
        <v>8</v>
      </c>
      <c r="W32" s="1561">
        <f t="shared" si="12"/>
        <v>100</v>
      </c>
      <c r="X32" s="1554"/>
      <c r="Y32" s="341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7"/>
      <c r="Q33" s="1559">
        <f t="shared" si="8"/>
        <v>111</v>
      </c>
      <c r="R33" s="1560" t="s">
        <v>8</v>
      </c>
      <c r="S33" s="1561">
        <f t="shared" si="10"/>
        <v>100</v>
      </c>
      <c r="T33" s="1560" t="s">
        <v>8</v>
      </c>
      <c r="U33" s="1561">
        <f t="shared" si="11"/>
        <v>100</v>
      </c>
      <c r="V33" s="1560" t="s">
        <v>8</v>
      </c>
      <c r="W33" s="1561">
        <f t="shared" si="12"/>
        <v>100</v>
      </c>
      <c r="X33" s="1554"/>
      <c r="Y33" s="341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8" t="s">
        <v>550</v>
      </c>
      <c r="Q34" s="1559">
        <f t="shared" si="8"/>
        <v>111</v>
      </c>
      <c r="R34" s="1560" t="s">
        <v>8</v>
      </c>
      <c r="S34" s="1561">
        <f t="shared" si="10"/>
        <v>100</v>
      </c>
      <c r="T34" s="1560" t="s">
        <v>8</v>
      </c>
      <c r="U34" s="1561">
        <f t="shared" si="11"/>
        <v>100</v>
      </c>
      <c r="V34" s="1560" t="s">
        <v>8</v>
      </c>
      <c r="W34" s="1561">
        <f t="shared" si="12"/>
        <v>100</v>
      </c>
      <c r="X34" s="1554"/>
      <c r="Y34" s="341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9"/>
      <c r="Q35" s="1559">
        <f t="shared" si="8"/>
        <v>111</v>
      </c>
      <c r="R35" s="1564" t="s">
        <v>8</v>
      </c>
      <c r="S35" s="1565">
        <f t="shared" si="10"/>
        <v>100</v>
      </c>
      <c r="T35" s="1564" t="s">
        <v>8</v>
      </c>
      <c r="U35" s="1565">
        <f t="shared" si="11"/>
        <v>100</v>
      </c>
      <c r="V35" s="1564" t="s">
        <v>8</v>
      </c>
      <c r="W35" s="1565">
        <f t="shared" si="12"/>
        <v>100</v>
      </c>
      <c r="X35" s="1566"/>
      <c r="Y35" s="341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9"/>
      <c r="Q36" s="1559" t="str">
        <f>B36</f>
        <v>宗地面积</v>
      </c>
      <c r="R36" s="1560" t="s">
        <v>8</v>
      </c>
      <c r="S36" s="1561" t="e">
        <f t="shared" si="10"/>
        <v>#N/A</v>
      </c>
      <c r="T36" s="1560" t="s">
        <v>8</v>
      </c>
      <c r="U36" s="1561" t="e">
        <f t="shared" si="11"/>
        <v>#N/A</v>
      </c>
      <c r="V36" s="1560" t="s">
        <v>8</v>
      </c>
      <c r="W36" s="1561" t="e">
        <f t="shared" si="12"/>
        <v>#N/A</v>
      </c>
      <c r="X36" s="1554"/>
      <c r="Y36" s="341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9"/>
      <c r="Q37" s="1559" t="str">
        <f t="shared" ref="Q37:Q42" si="14">B37</f>
        <v>宗地形状</v>
      </c>
      <c r="R37" s="1560" t="s">
        <v>8</v>
      </c>
      <c r="S37" s="1561">
        <f t="shared" si="10"/>
        <v>100</v>
      </c>
      <c r="T37" s="1560" t="s">
        <v>8</v>
      </c>
      <c r="U37" s="1561">
        <f t="shared" si="11"/>
        <v>100</v>
      </c>
      <c r="V37" s="1560" t="s">
        <v>8</v>
      </c>
      <c r="W37" s="1561">
        <f t="shared" si="12"/>
        <v>100</v>
      </c>
      <c r="X37" s="1554"/>
      <c r="Y37" s="341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9"/>
      <c r="Q38" s="1559" t="str">
        <f t="shared" si="14"/>
        <v>宗地开发程度</v>
      </c>
      <c r="R38" s="1555" t="s">
        <v>8</v>
      </c>
      <c r="S38" s="1556">
        <f t="shared" si="10"/>
        <v>100</v>
      </c>
      <c r="T38" s="1555" t="s">
        <v>8</v>
      </c>
      <c r="U38" s="1556">
        <f t="shared" si="11"/>
        <v>100</v>
      </c>
      <c r="V38" s="1555" t="s">
        <v>8</v>
      </c>
      <c r="W38" s="1556">
        <f t="shared" si="12"/>
        <v>100</v>
      </c>
      <c r="X38" s="1557"/>
      <c r="Y38" s="341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t="s">
        <v>601</v>
      </c>
      <c r="Q39" s="1559" t="str">
        <f t="shared" si="14"/>
        <v>工程地质条件</v>
      </c>
      <c r="R39" s="1560" t="s">
        <v>8</v>
      </c>
      <c r="S39" s="1561">
        <f t="shared" si="10"/>
        <v>100</v>
      </c>
      <c r="T39" s="1560" t="s">
        <v>8</v>
      </c>
      <c r="U39" s="1561">
        <f t="shared" si="11"/>
        <v>100</v>
      </c>
      <c r="V39" s="1560" t="s">
        <v>8</v>
      </c>
      <c r="W39" s="1561">
        <f t="shared" si="12"/>
        <v>100</v>
      </c>
      <c r="X39" s="1554"/>
      <c r="Y39" s="341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9"/>
      <c r="Q40" s="1559">
        <f t="shared" si="14"/>
        <v>111</v>
      </c>
      <c r="R40" s="1560" t="s">
        <v>8</v>
      </c>
      <c r="S40" s="1561">
        <f t="shared" si="10"/>
        <v>100</v>
      </c>
      <c r="T40" s="1560" t="s">
        <v>8</v>
      </c>
      <c r="U40" s="1561">
        <f t="shared" si="11"/>
        <v>100</v>
      </c>
      <c r="V40" s="1560" t="s">
        <v>8</v>
      </c>
      <c r="W40" s="1561">
        <f t="shared" si="12"/>
        <v>100</v>
      </c>
      <c r="X40" s="1554"/>
      <c r="Y40" s="341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9"/>
      <c r="Q41" s="1559">
        <f t="shared" si="14"/>
        <v>111</v>
      </c>
      <c r="R41" s="1560" t="s">
        <v>8</v>
      </c>
      <c r="S41" s="1561">
        <f t="shared" si="10"/>
        <v>100</v>
      </c>
      <c r="T41" s="1560" t="s">
        <v>8</v>
      </c>
      <c r="U41" s="1561">
        <f t="shared" si="11"/>
        <v>100</v>
      </c>
      <c r="V41" s="1560" t="s">
        <v>8</v>
      </c>
      <c r="W41" s="1561">
        <f t="shared" si="12"/>
        <v>100</v>
      </c>
      <c r="X41" s="1554"/>
      <c r="Y41" s="341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9"/>
      <c r="Q42" s="1559">
        <f t="shared" si="14"/>
        <v>111</v>
      </c>
      <c r="R42" s="1564" t="s">
        <v>8</v>
      </c>
      <c r="S42" s="1565">
        <f t="shared" si="10"/>
        <v>100</v>
      </c>
      <c r="T42" s="1564" t="s">
        <v>8</v>
      </c>
      <c r="U42" s="1565">
        <f t="shared" si="11"/>
        <v>100</v>
      </c>
      <c r="V42" s="1564" t="s">
        <v>8</v>
      </c>
      <c r="W42" s="1565">
        <f t="shared" si="12"/>
        <v>100</v>
      </c>
      <c r="X42" s="1566"/>
      <c r="Y42" s="341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4" t="str">
        <f>A43</f>
        <v>成交单价</v>
      </c>
      <c r="Q43" s="3414"/>
      <c r="R43" s="3428">
        <f>E43</f>
        <v>0</v>
      </c>
      <c r="S43" s="3428"/>
      <c r="T43" s="3428">
        <f>G43</f>
        <v>0</v>
      </c>
      <c r="U43" s="3428"/>
      <c r="V43" s="3428">
        <f>I43</f>
        <v>0</v>
      </c>
      <c r="W43" s="342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4" t="str">
        <f>A44</f>
        <v>比较价格（元/平方米）</v>
      </c>
      <c r="Q44" s="3414"/>
      <c r="R44" s="3438" t="e">
        <f>ROUND(PRODUCT(R43,AA9:AA42),0)</f>
        <v>#DIV/0!</v>
      </c>
      <c r="S44" s="3438"/>
      <c r="T44" s="3438" t="e">
        <f>ROUND(PRODUCT(T43,AB9:AB42),0)</f>
        <v>#DIV/0!</v>
      </c>
      <c r="U44" s="3438"/>
      <c r="V44" s="3438" t="e">
        <f>ROUND(PRODUCT(V43,AC9:AC42),0)</f>
        <v>#DIV/0!</v>
      </c>
      <c r="W44" s="343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5" t="str">
        <f>A45</f>
        <v>估价对象XX用房的比较价格（楼面单价，元/平方米）</v>
      </c>
      <c r="Q45" s="3436"/>
      <c r="R45" s="3437" t="e">
        <f>ROUND(AVERAGE(R44:V44),0)</f>
        <v>#DIV/0!</v>
      </c>
      <c r="S45" s="3437"/>
      <c r="T45" s="3437"/>
      <c r="U45" s="3437"/>
      <c r="V45" s="3437"/>
      <c r="W45" s="343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9" t="s">
        <v>2284</v>
      </c>
      <c r="H52" s="344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1"/>
      <c r="H53" s="344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2" t="s">
        <v>2783</v>
      </c>
      <c r="X8" s="346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1"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1" t="s">
        <v>1838</v>
      </c>
      <c r="B16" s="1424" t="s">
        <v>950</v>
      </c>
      <c r="C16" s="1052" t="e">
        <f>ROUND(IF(F17="与级别开发程度一致",0,(G17-E17)/C17),0)</f>
        <v>#DIV/0!</v>
      </c>
      <c r="D16" s="3469" t="s">
        <v>954</v>
      </c>
      <c r="E16" s="3470"/>
      <c r="F16" s="3469" t="s">
        <v>951</v>
      </c>
      <c r="G16" s="3470"/>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5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8"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9"/>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9"/>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0"/>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6" t="s">
        <v>1633</v>
      </c>
      <c r="B90" s="3456"/>
      <c r="C90" s="3456"/>
      <c r="D90" s="3456"/>
      <c r="E90" s="3456"/>
      <c r="F90" s="3456"/>
      <c r="G90" s="3456"/>
      <c r="H90" s="3456"/>
      <c r="I90" s="3456"/>
      <c r="J90" s="3456"/>
      <c r="K90" s="2415"/>
      <c r="L90" s="2415"/>
      <c r="M90" s="2415"/>
      <c r="N90" s="2415"/>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7" t="s">
        <v>1007</v>
      </c>
      <c r="B18" s="1150" t="s">
        <v>1446</v>
      </c>
      <c r="C18" s="1127" t="s">
        <v>1447</v>
      </c>
      <c r="D18" s="1128"/>
      <c r="E18" s="1150">
        <v>1</v>
      </c>
      <c r="F18" s="1129" t="s">
        <v>1448</v>
      </c>
      <c r="G18" s="1130"/>
      <c r="H18" s="1101"/>
      <c r="I18" s="1101"/>
    </row>
    <row r="19" spans="1:9" s="1585" customFormat="1" ht="19.5" customHeight="1">
      <c r="A19" s="3457"/>
      <c r="B19" s="3457" t="s">
        <v>1449</v>
      </c>
      <c r="C19" s="1127" t="s">
        <v>1450</v>
      </c>
      <c r="D19" s="1128"/>
      <c r="E19" s="1150">
        <v>0.9</v>
      </c>
      <c r="F19" s="1129" t="s">
        <v>1451</v>
      </c>
      <c r="G19" s="1130"/>
      <c r="H19" s="1101"/>
      <c r="I19" s="1101"/>
    </row>
    <row r="20" spans="1:9" s="1585" customFormat="1" ht="19.5" customHeight="1">
      <c r="A20" s="3457"/>
      <c r="B20" s="3457"/>
      <c r="C20" s="1127" t="s">
        <v>1452</v>
      </c>
      <c r="D20" s="1128"/>
      <c r="E20" s="1150">
        <v>1.1000000000000001</v>
      </c>
      <c r="F20" s="1129" t="s">
        <v>1453</v>
      </c>
      <c r="G20" s="1130"/>
      <c r="H20" s="1101"/>
      <c r="I20" s="1101"/>
    </row>
    <row r="21" spans="1:9" s="1585" customFormat="1" ht="19.5" customHeight="1">
      <c r="A21" s="3457"/>
      <c r="B21" s="3457"/>
      <c r="C21" s="1127" t="s">
        <v>1454</v>
      </c>
      <c r="D21" s="1128"/>
      <c r="E21" s="1150">
        <v>0.8</v>
      </c>
      <c r="F21" s="1129" t="s">
        <v>1455</v>
      </c>
      <c r="G21" s="1130"/>
      <c r="H21" s="1101"/>
      <c r="I21" s="1101"/>
    </row>
    <row r="22" spans="1:9" s="1585" customFormat="1" ht="19.5" customHeight="1">
      <c r="A22" s="3457"/>
      <c r="B22" s="3457"/>
      <c r="C22" s="1127" t="s">
        <v>1456</v>
      </c>
      <c r="D22" s="1128"/>
      <c r="E22" s="1150">
        <v>0.5</v>
      </c>
      <c r="F22" s="1129"/>
      <c r="G22" s="1130"/>
      <c r="H22" s="1101"/>
      <c r="I22" s="1101"/>
    </row>
    <row r="23" spans="1:9" s="1585" customFormat="1" ht="19.5" customHeight="1">
      <c r="A23" s="3457" t="s">
        <v>1029</v>
      </c>
      <c r="B23" s="1150" t="s">
        <v>1446</v>
      </c>
      <c r="C23" s="1127" t="s">
        <v>1457</v>
      </c>
      <c r="D23" s="1128"/>
      <c r="E23" s="1150">
        <v>1</v>
      </c>
      <c r="F23" s="1129" t="s">
        <v>1458</v>
      </c>
      <c r="G23" s="1130"/>
      <c r="H23" s="1101"/>
      <c r="I23" s="1101"/>
    </row>
    <row r="24" spans="1:9" s="1585" customFormat="1" ht="19.5" customHeight="1">
      <c r="A24" s="3457"/>
      <c r="B24" s="3457" t="s">
        <v>1449</v>
      </c>
      <c r="C24" s="1127" t="s">
        <v>1459</v>
      </c>
      <c r="D24" s="1128"/>
      <c r="E24" s="1150">
        <v>0.5</v>
      </c>
      <c r="F24" s="1129"/>
      <c r="G24" s="1130"/>
      <c r="H24" s="1101"/>
      <c r="I24" s="1101"/>
    </row>
    <row r="25" spans="1:9" s="1585" customFormat="1" ht="19.5" customHeight="1">
      <c r="A25" s="3457"/>
      <c r="B25" s="3457"/>
      <c r="C25" s="1127" t="s">
        <v>1460</v>
      </c>
      <c r="D25" s="1128"/>
      <c r="E25" s="1150">
        <v>1.1000000000000001</v>
      </c>
      <c r="F25" s="1129"/>
      <c r="G25" s="1130"/>
      <c r="H25" s="1101"/>
      <c r="I25" s="1101"/>
    </row>
    <row r="26" spans="1:9" s="1585" customFormat="1" ht="19.5" customHeight="1">
      <c r="A26" s="3457"/>
      <c r="B26" s="3457"/>
      <c r="C26" s="1127" t="s">
        <v>1461</v>
      </c>
      <c r="D26" s="1128"/>
      <c r="E26" s="1150">
        <v>1.1000000000000001</v>
      </c>
      <c r="F26" s="1129"/>
      <c r="G26" s="1130"/>
      <c r="H26" s="1101"/>
      <c r="I26" s="1101"/>
    </row>
    <row r="27" spans="1:9" s="1585" customFormat="1" ht="19.5" customHeight="1">
      <c r="A27" s="3457"/>
      <c r="B27" s="3457"/>
      <c r="C27" s="1127" t="s">
        <v>1462</v>
      </c>
      <c r="D27" s="1128"/>
      <c r="E27" s="1150">
        <v>0.9</v>
      </c>
      <c r="F27" s="1129" t="s">
        <v>1463</v>
      </c>
      <c r="G27" s="1130"/>
      <c r="H27" s="1101"/>
      <c r="I27" s="1101"/>
    </row>
    <row r="28" spans="1:9" s="1585" customFormat="1" ht="19.5" customHeight="1">
      <c r="A28" s="3457"/>
      <c r="B28" s="3457"/>
      <c r="C28" s="1127" t="s">
        <v>1464</v>
      </c>
      <c r="D28" s="1128"/>
      <c r="E28" s="1150">
        <v>0.9</v>
      </c>
      <c r="F28" s="1129" t="s">
        <v>1465</v>
      </c>
      <c r="G28" s="1130"/>
      <c r="H28" s="1101"/>
      <c r="I28" s="1101"/>
    </row>
    <row r="29" spans="1:9" s="1585" customFormat="1" ht="19.5" customHeight="1">
      <c r="A29" s="3457"/>
      <c r="B29" s="3457"/>
      <c r="C29" s="1127" t="s">
        <v>1466</v>
      </c>
      <c r="D29" s="1128"/>
      <c r="E29" s="1150">
        <v>0.9</v>
      </c>
      <c r="F29" s="1129" t="s">
        <v>1467</v>
      </c>
      <c r="G29" s="1130"/>
      <c r="H29" s="1101"/>
      <c r="I29" s="1101"/>
    </row>
    <row r="30" spans="1:9" s="1585" customFormat="1" ht="19.5" customHeight="1">
      <c r="A30" s="3457"/>
      <c r="B30" s="3457"/>
      <c r="C30" s="1127" t="s">
        <v>1468</v>
      </c>
      <c r="D30" s="1128"/>
      <c r="E30" s="1150">
        <v>0.9</v>
      </c>
      <c r="F30" s="1129" t="s">
        <v>1469</v>
      </c>
      <c r="G30" s="1130"/>
      <c r="H30" s="1101"/>
      <c r="I30" s="1101"/>
    </row>
    <row r="31" spans="1:9" s="1585" customFormat="1" ht="19.5" customHeight="1">
      <c r="A31" s="3457"/>
      <c r="B31" s="3457"/>
      <c r="C31" s="1127" t="s">
        <v>1470</v>
      </c>
      <c r="D31" s="1128"/>
      <c r="E31" s="1150">
        <v>0.8</v>
      </c>
      <c r="F31" s="1129" t="s">
        <v>1471</v>
      </c>
      <c r="G31" s="1130"/>
      <c r="H31" s="1101"/>
      <c r="I31" s="1101"/>
    </row>
    <row r="32" spans="1:9" s="1585" customFormat="1" ht="19.5" customHeight="1">
      <c r="A32" s="3457"/>
      <c r="B32" s="3457"/>
      <c r="C32" s="1127" t="s">
        <v>1472</v>
      </c>
      <c r="D32" s="1128"/>
      <c r="E32" s="1150">
        <v>0.8</v>
      </c>
      <c r="F32" s="1129" t="s">
        <v>1473</v>
      </c>
      <c r="G32" s="1130"/>
      <c r="H32" s="1101"/>
      <c r="I32" s="1101"/>
    </row>
    <row r="33" spans="1:9" s="1585" customFormat="1" ht="19.5" customHeight="1">
      <c r="A33" s="3457" t="s">
        <v>1474</v>
      </c>
      <c r="B33" s="1150" t="s">
        <v>1446</v>
      </c>
      <c r="C33" s="1127" t="s">
        <v>1475</v>
      </c>
      <c r="D33" s="1128"/>
      <c r="E33" s="1150">
        <v>1</v>
      </c>
      <c r="F33" s="1129" t="s">
        <v>1476</v>
      </c>
      <c r="G33" s="1130"/>
      <c r="H33" s="1101"/>
      <c r="I33" s="1101"/>
    </row>
    <row r="34" spans="1:9" s="1585" customFormat="1" ht="19.5" customHeight="1">
      <c r="A34" s="3457"/>
      <c r="B34" s="1150" t="s">
        <v>1449</v>
      </c>
      <c r="C34" s="1127" t="s">
        <v>1477</v>
      </c>
      <c r="D34" s="1128"/>
      <c r="E34" s="1150">
        <v>1.5</v>
      </c>
      <c r="F34" s="1129" t="s">
        <v>1478</v>
      </c>
      <c r="G34" s="1130"/>
      <c r="H34" s="1101"/>
      <c r="I34" s="1101"/>
    </row>
    <row r="35" spans="1:9" s="1585" customFormat="1" ht="19.5" customHeight="1">
      <c r="A35" s="3457" t="s">
        <v>1432</v>
      </c>
      <c r="B35" s="1150" t="s">
        <v>1446</v>
      </c>
      <c r="C35" s="1127" t="s">
        <v>1479</v>
      </c>
      <c r="D35" s="1128"/>
      <c r="E35" s="1150">
        <v>1</v>
      </c>
      <c r="F35" s="1129" t="s">
        <v>1480</v>
      </c>
      <c r="G35" s="1130"/>
      <c r="H35" s="1101"/>
      <c r="I35" s="1101"/>
    </row>
    <row r="36" spans="1:9" s="1585" customFormat="1" ht="19.5" customHeight="1">
      <c r="A36" s="3457"/>
      <c r="B36" s="3457" t="s">
        <v>1449</v>
      </c>
      <c r="C36" s="1127" t="s">
        <v>1481</v>
      </c>
      <c r="D36" s="1128"/>
      <c r="E36" s="1150">
        <v>1</v>
      </c>
      <c r="F36" s="1129" t="s">
        <v>1482</v>
      </c>
      <c r="G36" s="1130"/>
      <c r="H36" s="1101"/>
      <c r="I36" s="1101"/>
    </row>
    <row r="37" spans="1:9" s="1585" customFormat="1" ht="19.5" customHeight="1">
      <c r="A37" s="3457"/>
      <c r="B37" s="3457"/>
      <c r="C37" s="1127" t="s">
        <v>1483</v>
      </c>
      <c r="D37" s="1128"/>
      <c r="E37" s="1150">
        <v>1.5</v>
      </c>
      <c r="F37" s="1129" t="s">
        <v>1484</v>
      </c>
      <c r="G37" s="1130"/>
      <c r="H37" s="1101"/>
      <c r="I37" s="1101"/>
    </row>
    <row r="38" spans="1:9" s="1585" customFormat="1" ht="19.5" customHeight="1">
      <c r="A38" s="3457"/>
      <c r="B38" s="3457"/>
      <c r="C38" s="1127" t="s">
        <v>1485</v>
      </c>
      <c r="D38" s="1128"/>
      <c r="E38" s="1150">
        <v>1</v>
      </c>
      <c r="F38" s="1129" t="s">
        <v>1486</v>
      </c>
      <c r="G38" s="1130"/>
      <c r="H38" s="1101"/>
      <c r="I38" s="1101"/>
    </row>
    <row r="39" spans="1:9" s="1585" customFormat="1" ht="19.5" customHeight="1">
      <c r="A39" s="3457"/>
      <c r="B39" s="345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8" t="s">
        <v>2576</v>
      </c>
      <c r="C1" s="3478"/>
      <c r="D1" s="3478"/>
      <c r="E1" s="3478"/>
      <c r="F1" s="3478"/>
      <c r="G1" s="3477" t="s">
        <v>2577</v>
      </c>
      <c r="H1" s="3477"/>
      <c r="I1" s="3477"/>
      <c r="J1" s="3477"/>
      <c r="K1" s="3477"/>
      <c r="L1" s="3477"/>
      <c r="N1" s="3477" t="s">
        <v>2578</v>
      </c>
      <c r="O1" s="3477"/>
      <c r="P1" s="3477"/>
      <c r="Q1" s="3477"/>
      <c r="R1" s="2619"/>
      <c r="S1" s="3477" t="s">
        <v>2579</v>
      </c>
      <c r="T1" s="3477"/>
      <c r="U1" s="3477"/>
      <c r="V1" s="3477"/>
      <c r="X1" s="3476" t="s">
        <v>2639</v>
      </c>
      <c r="Y1" s="3477"/>
      <c r="Z1" s="3477"/>
      <c r="AA1" s="3477"/>
      <c r="AB1" s="3477"/>
      <c r="AD1" s="3476" t="s">
        <v>2643</v>
      </c>
      <c r="AE1" s="3477"/>
      <c r="AF1" s="3477"/>
      <c r="AG1" s="3477"/>
      <c r="AH1" s="347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8" t="s">
        <v>2463</v>
      </c>
      <c r="C8" s="1811">
        <f ca="1">ROUND(F8*F10*F9*(1-F11)/10000,0)</f>
        <v>0</v>
      </c>
      <c r="D8" s="1808" t="s">
        <v>2534</v>
      </c>
      <c r="E8" s="61" t="s">
        <v>637</v>
      </c>
      <c r="F8" s="785">
        <f ca="1">INDIRECT("'数据-取费表'!u"&amp;$G$1)</f>
        <v>0</v>
      </c>
      <c r="G8" s="1579"/>
      <c r="H8" s="2469" t="s">
        <v>1824</v>
      </c>
      <c r="I8" s="3488" t="s">
        <v>2463</v>
      </c>
      <c r="J8" s="783">
        <f ca="1">ROUND(M8*M10*M9*(1-M11)/10000,0)</f>
        <v>0</v>
      </c>
      <c r="K8" s="341" t="s">
        <v>2534</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2"/>
      <c r="L54" s="3493"/>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8" t="s">
        <v>2463</v>
      </c>
      <c r="C6" s="783">
        <f ca="1">ROUND(F6*F8*F7*(1-F9)/10000,0)</f>
        <v>0</v>
      </c>
      <c r="D6" s="2462" t="s">
        <v>2462</v>
      </c>
      <c r="E6" s="784" t="s">
        <v>1738</v>
      </c>
      <c r="F6" s="785">
        <f ca="1">INDIRECT("'数据-取费表'!u"&amp;$G$1)</f>
        <v>0</v>
      </c>
      <c r="G6" s="1579"/>
      <c r="H6" s="2469" t="s">
        <v>2468</v>
      </c>
      <c r="I6" s="3488" t="s">
        <v>2463</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0</v>
      </c>
      <c r="G7" s="1579"/>
      <c r="H7" s="2454"/>
      <c r="I7" s="3489"/>
      <c r="J7" s="788"/>
      <c r="K7" s="789"/>
      <c r="L7" s="784" t="s">
        <v>1739</v>
      </c>
      <c r="M7" s="785">
        <f ca="1">F7</f>
        <v>0</v>
      </c>
    </row>
    <row r="8" spans="1:33" ht="18" customHeight="1">
      <c r="A8" s="2458"/>
      <c r="B8" s="3490"/>
      <c r="C8" s="788"/>
      <c r="D8" s="789"/>
      <c r="E8" s="784" t="s">
        <v>1740</v>
      </c>
      <c r="F8" s="785">
        <f ca="1">INDIRECT("'数据-取费表'!ai"&amp;$G$1)</f>
        <v>0</v>
      </c>
      <c r="G8" s="1579"/>
      <c r="H8" s="2454"/>
      <c r="I8" s="3490"/>
      <c r="J8" s="788"/>
      <c r="K8" s="789"/>
      <c r="L8" s="784" t="s">
        <v>1740</v>
      </c>
      <c r="M8" s="785">
        <f ca="1">INDIRECT("'数据-取费表'!ai"&amp;$G$1)</f>
        <v>0</v>
      </c>
    </row>
    <row r="9" spans="1:33" ht="18" customHeight="1">
      <c r="A9" s="786"/>
      <c r="B9" s="3491"/>
      <c r="C9" s="788"/>
      <c r="D9" s="789"/>
      <c r="E9" s="784" t="s">
        <v>1741</v>
      </c>
      <c r="F9" s="794">
        <f ca="1">INDIRECT("'数据-取费表'!w"&amp;$G$1)</f>
        <v>0</v>
      </c>
      <c r="G9" s="1579"/>
      <c r="H9" s="2470"/>
      <c r="I9" s="349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4" t="s">
        <v>2967</v>
      </c>
      <c r="L53" s="349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12" t="s">
        <v>2471</v>
      </c>
      <c r="B1" s="3513"/>
      <c r="C1" s="3514"/>
      <c r="D1" s="3515">
        <f>SUM(I10,I15,I20,I21,I23)</f>
        <v>0</v>
      </c>
      <c r="E1" s="3515"/>
      <c r="F1" s="3515"/>
      <c r="G1" s="3515"/>
      <c r="H1" s="3515"/>
      <c r="I1" s="3516"/>
    </row>
    <row r="2" spans="1:9">
      <c r="A2" s="3502" t="s">
        <v>2472</v>
      </c>
      <c r="B2" s="3503" t="s">
        <v>2473</v>
      </c>
      <c r="C2" s="3503"/>
      <c r="D2" s="2472" t="s">
        <v>2474</v>
      </c>
      <c r="E2" s="2472" t="s">
        <v>2475</v>
      </c>
      <c r="F2" s="2472" t="s">
        <v>2476</v>
      </c>
      <c r="G2" s="2472" t="s">
        <v>2477</v>
      </c>
      <c r="H2" s="2472" t="s">
        <v>2478</v>
      </c>
      <c r="I2" s="2473" t="s">
        <v>2479</v>
      </c>
    </row>
    <row r="3" spans="1:9">
      <c r="A3" s="3502"/>
      <c r="B3" s="3503" t="s">
        <v>2480</v>
      </c>
      <c r="C3" s="3503"/>
      <c r="D3" s="2474"/>
      <c r="E3" s="2472"/>
      <c r="F3" s="2475"/>
      <c r="G3" s="2475"/>
      <c r="H3" s="2476"/>
      <c r="I3" s="2477">
        <f>ROUND(D3*E3*F3*G3*H3/10000,0)</f>
        <v>0</v>
      </c>
    </row>
    <row r="4" spans="1:9">
      <c r="A4" s="3502"/>
      <c r="B4" s="3503" t="s">
        <v>2481</v>
      </c>
      <c r="C4" s="3503"/>
      <c r="D4" s="2474"/>
      <c r="E4" s="2472"/>
      <c r="F4" s="2475"/>
      <c r="G4" s="2475"/>
      <c r="H4" s="2476"/>
      <c r="I4" s="2477">
        <f t="shared" ref="I4:I9" si="0">ROUND(D4*E4*F4*G4*H4/10000,0)</f>
        <v>0</v>
      </c>
    </row>
    <row r="5" spans="1:9">
      <c r="A5" s="3502"/>
      <c r="B5" s="3503" t="s">
        <v>2482</v>
      </c>
      <c r="C5" s="3503"/>
      <c r="D5" s="2474"/>
      <c r="E5" s="2472"/>
      <c r="F5" s="2475"/>
      <c r="G5" s="2475"/>
      <c r="H5" s="2476"/>
      <c r="I5" s="2477">
        <f t="shared" si="0"/>
        <v>0</v>
      </c>
    </row>
    <row r="6" spans="1:9">
      <c r="A6" s="3502"/>
      <c r="B6" s="3503" t="s">
        <v>2483</v>
      </c>
      <c r="C6" s="3503"/>
      <c r="D6" s="2474"/>
      <c r="E6" s="2472"/>
      <c r="F6" s="2475"/>
      <c r="G6" s="2475"/>
      <c r="H6" s="2476"/>
      <c r="I6" s="2477">
        <f t="shared" si="0"/>
        <v>0</v>
      </c>
    </row>
    <row r="7" spans="1:9">
      <c r="A7" s="3502"/>
      <c r="B7" s="3503" t="s">
        <v>2484</v>
      </c>
      <c r="C7" s="3503"/>
      <c r="D7" s="2474"/>
      <c r="E7" s="2472"/>
      <c r="F7" s="2475"/>
      <c r="G7" s="2475"/>
      <c r="H7" s="2476"/>
      <c r="I7" s="2477">
        <f t="shared" si="0"/>
        <v>0</v>
      </c>
    </row>
    <row r="8" spans="1:9">
      <c r="A8" s="3502"/>
      <c r="B8" s="3503" t="s">
        <v>2485</v>
      </c>
      <c r="C8" s="3503"/>
      <c r="D8" s="2474"/>
      <c r="E8" s="2472"/>
      <c r="F8" s="2475"/>
      <c r="G8" s="2475"/>
      <c r="H8" s="2476"/>
      <c r="I8" s="2477">
        <f t="shared" si="0"/>
        <v>0</v>
      </c>
    </row>
    <row r="9" spans="1:9">
      <c r="A9" s="3502"/>
      <c r="B9" s="3503" t="s">
        <v>2486</v>
      </c>
      <c r="C9" s="3503"/>
      <c r="D9" s="2474"/>
      <c r="E9" s="2472"/>
      <c r="F9" s="2475"/>
      <c r="G9" s="2475"/>
      <c r="H9" s="2476"/>
      <c r="I9" s="2477">
        <f t="shared" si="0"/>
        <v>0</v>
      </c>
    </row>
    <row r="10" spans="1:9">
      <c r="A10" s="3502"/>
      <c r="B10" s="3504" t="s">
        <v>2487</v>
      </c>
      <c r="C10" s="3504"/>
      <c r="D10" s="2478">
        <v>527</v>
      </c>
      <c r="E10" s="2478" t="e">
        <f>ROUND(D1*10000/D10/H9,0)</f>
        <v>#DIV/0!</v>
      </c>
      <c r="F10" s="2479"/>
      <c r="G10" s="2479"/>
      <c r="H10" s="2480"/>
      <c r="I10" s="2481">
        <f>SUM(I3:I9)</f>
        <v>0</v>
      </c>
    </row>
    <row r="11" spans="1:9" ht="14.25">
      <c r="A11" s="3502" t="s">
        <v>2488</v>
      </c>
      <c r="B11" s="3503" t="s">
        <v>2489</v>
      </c>
      <c r="C11" s="3503"/>
      <c r="D11" s="2474" t="s">
        <v>2490</v>
      </c>
      <c r="E11" s="2474" t="s">
        <v>2491</v>
      </c>
      <c r="F11" s="2475" t="s">
        <v>2492</v>
      </c>
      <c r="G11" s="2475" t="s">
        <v>2493</v>
      </c>
      <c r="H11" s="2482" t="s">
        <v>2494</v>
      </c>
      <c r="I11" s="2473" t="s">
        <v>2495</v>
      </c>
    </row>
    <row r="12" spans="1:9">
      <c r="A12" s="3502"/>
      <c r="B12" s="3503" t="s">
        <v>2496</v>
      </c>
      <c r="C12" s="3503"/>
      <c r="D12" s="2474"/>
      <c r="E12" s="2474"/>
      <c r="F12" s="2475"/>
      <c r="G12" s="2476"/>
      <c r="H12" s="2483"/>
      <c r="I12" s="2473">
        <f>ROUND(D12*E12*F12*G12/10000,0)</f>
        <v>0</v>
      </c>
    </row>
    <row r="13" spans="1:9">
      <c r="A13" s="3502"/>
      <c r="B13" s="3503" t="s">
        <v>2497</v>
      </c>
      <c r="C13" s="3503"/>
      <c r="D13" s="2474"/>
      <c r="E13" s="2474"/>
      <c r="F13" s="2475"/>
      <c r="G13" s="2476"/>
      <c r="H13" s="2483"/>
      <c r="I13" s="2473">
        <f>ROUND(D13*E13*F13*G13/10000,0)</f>
        <v>0</v>
      </c>
    </row>
    <row r="14" spans="1:9">
      <c r="A14" s="3502"/>
      <c r="B14" s="3503" t="s">
        <v>2498</v>
      </c>
      <c r="C14" s="3503"/>
      <c r="D14" s="2474"/>
      <c r="E14" s="2474"/>
      <c r="F14" s="2475"/>
      <c r="G14" s="2476"/>
      <c r="H14" s="2483"/>
      <c r="I14" s="2473">
        <f>ROUND(D14*E14*F14*G14/10000,0)</f>
        <v>0</v>
      </c>
    </row>
    <row r="15" spans="1:9">
      <c r="A15" s="3502"/>
      <c r="B15" s="3504" t="s">
        <v>2487</v>
      </c>
      <c r="C15" s="3504"/>
      <c r="D15" s="2478"/>
      <c r="E15" s="2478">
        <f>SUM(E12:E14)</f>
        <v>0</v>
      </c>
      <c r="F15" s="2479"/>
      <c r="G15" s="2476"/>
      <c r="H15" s="2483"/>
      <c r="I15" s="2484">
        <f>SUM(I12:I14)</f>
        <v>0</v>
      </c>
    </row>
    <row r="16" spans="1:9" ht="24">
      <c r="A16" s="3502" t="s">
        <v>2499</v>
      </c>
      <c r="B16" s="3503" t="s">
        <v>2500</v>
      </c>
      <c r="C16" s="3503"/>
      <c r="D16" s="2474" t="s">
        <v>2501</v>
      </c>
      <c r="E16" s="2485" t="s">
        <v>2502</v>
      </c>
      <c r="F16" s="2475" t="s">
        <v>2503</v>
      </c>
      <c r="G16" s="2476" t="s">
        <v>2493</v>
      </c>
      <c r="H16" s="2482" t="s">
        <v>2494</v>
      </c>
      <c r="I16" s="2473" t="s">
        <v>2495</v>
      </c>
    </row>
    <row r="17" spans="1:9" ht="14.25">
      <c r="A17" s="3502"/>
      <c r="B17" s="3503" t="s">
        <v>2504</v>
      </c>
      <c r="C17" s="3503"/>
      <c r="D17" s="2474"/>
      <c r="E17" s="2474"/>
      <c r="F17" s="2475"/>
      <c r="G17" s="2476"/>
      <c r="H17" s="2486"/>
      <c r="I17" s="2487">
        <f>ROUND(D17*E17*F17*G17/10000,0)</f>
        <v>0</v>
      </c>
    </row>
    <row r="18" spans="1:9" ht="14.25">
      <c r="A18" s="3502"/>
      <c r="B18" s="3503" t="s">
        <v>2505</v>
      </c>
      <c r="C18" s="3503"/>
      <c r="D18" s="2474"/>
      <c r="E18" s="2474"/>
      <c r="F18" s="2475"/>
      <c r="G18" s="2476"/>
      <c r="H18" s="2486"/>
      <c r="I18" s="2487">
        <f>ROUND(D18*E18*F18*G18/10000,0)</f>
        <v>0</v>
      </c>
    </row>
    <row r="19" spans="1:9" ht="14.25">
      <c r="A19" s="3502"/>
      <c r="B19" s="3503" t="s">
        <v>2506</v>
      </c>
      <c r="C19" s="3503"/>
      <c r="D19" s="2474"/>
      <c r="E19" s="2474"/>
      <c r="F19" s="2475"/>
      <c r="G19" s="2476"/>
      <c r="H19" s="2486"/>
      <c r="I19" s="2487">
        <f>ROUND(D19*E19*F19*G19/10000,0)</f>
        <v>0</v>
      </c>
    </row>
    <row r="20" spans="1:9">
      <c r="A20" s="3502"/>
      <c r="B20" s="3504" t="s">
        <v>2487</v>
      </c>
      <c r="C20" s="3504"/>
      <c r="D20" s="2478">
        <f>SUM(D17:D19)</f>
        <v>0</v>
      </c>
      <c r="E20" s="2478"/>
      <c r="F20" s="2479"/>
      <c r="G20" s="2476"/>
      <c r="H20" s="2483"/>
      <c r="I20" s="2484">
        <f>SUM(I17:I19)</f>
        <v>0</v>
      </c>
    </row>
    <row r="21" spans="1:9">
      <c r="A21" s="3502" t="s">
        <v>2507</v>
      </c>
      <c r="B21" s="3505"/>
      <c r="C21" s="3505"/>
      <c r="D21" s="3505"/>
      <c r="E21" s="3505"/>
      <c r="F21" s="3505"/>
      <c r="G21" s="3505"/>
      <c r="H21" s="2488">
        <v>0.1</v>
      </c>
      <c r="I21" s="2481">
        <f>ROUND(I10*H21,0)</f>
        <v>0</v>
      </c>
    </row>
    <row r="22" spans="1:9" ht="14.25">
      <c r="A22" s="3506" t="s">
        <v>2508</v>
      </c>
      <c r="B22" s="3507"/>
      <c r="C22" s="3508"/>
      <c r="D22" s="2489" t="s">
        <v>2509</v>
      </c>
      <c r="E22" s="2489" t="s">
        <v>2510</v>
      </c>
      <c r="F22" s="2490" t="s">
        <v>2511</v>
      </c>
      <c r="G22" s="2490" t="s">
        <v>2512</v>
      </c>
      <c r="H22" s="2482" t="s">
        <v>2513</v>
      </c>
      <c r="I22" s="2473" t="s">
        <v>2514</v>
      </c>
    </row>
    <row r="23" spans="1:9" ht="14.25" thickBot="1">
      <c r="A23" s="3509"/>
      <c r="B23" s="3510"/>
      <c r="C23" s="3511"/>
      <c r="D23" s="2491"/>
      <c r="E23" s="2491"/>
      <c r="F23" s="2491"/>
      <c r="G23" s="2492"/>
      <c r="H23" s="2493"/>
      <c r="I23" s="2494">
        <f>ROUND(E23*D23*F23*(1-G23)/10000,0)</f>
        <v>0</v>
      </c>
    </row>
    <row r="26" spans="1:9">
      <c r="A26" s="2495" t="s">
        <v>2515</v>
      </c>
      <c r="B26" s="2495"/>
      <c r="C26" s="2495"/>
      <c r="D26" s="2495"/>
      <c r="E26" s="3499">
        <f>C27-C30-C31-C32</f>
        <v>0</v>
      </c>
      <c r="F26" s="3499"/>
      <c r="G26" s="3499"/>
      <c r="H26" s="2995" t="s">
        <v>2843</v>
      </c>
    </row>
    <row r="27" spans="1:9">
      <c r="A27" s="2496">
        <v>1</v>
      </c>
      <c r="B27" s="2497" t="s">
        <v>2516</v>
      </c>
      <c r="C27" s="2497"/>
      <c r="D27" s="2497"/>
      <c r="E27" s="3500"/>
      <c r="F27" s="3500"/>
      <c r="G27" s="3500"/>
    </row>
    <row r="28" spans="1:9">
      <c r="A28" s="2498" t="s">
        <v>2517</v>
      </c>
      <c r="B28" s="2497" t="s">
        <v>2518</v>
      </c>
      <c r="C28" s="2497"/>
      <c r="D28" s="2497"/>
      <c r="E28" s="3500"/>
      <c r="F28" s="3500"/>
      <c r="G28" s="350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1"/>
      <c r="F32" s="3501"/>
      <c r="G32" s="3501"/>
    </row>
    <row r="33" spans="1:7" hidden="1">
      <c r="A33" s="3496" t="s">
        <v>2526</v>
      </c>
      <c r="B33" s="3497"/>
      <c r="C33" s="3497"/>
      <c r="D33" s="3498"/>
      <c r="E33" s="3499"/>
      <c r="F33" s="3499"/>
      <c r="G33" s="3499"/>
    </row>
    <row r="34" spans="1:7" hidden="1">
      <c r="A34" s="2500">
        <v>1</v>
      </c>
      <c r="B34" s="2497" t="s">
        <v>2527</v>
      </c>
      <c r="C34" s="2497"/>
      <c r="D34" s="2497"/>
      <c r="E34" s="3500"/>
      <c r="F34" s="3500"/>
      <c r="G34" s="3500"/>
    </row>
    <row r="35" spans="1:7" hidden="1">
      <c r="A35" s="2500">
        <v>2</v>
      </c>
      <c r="B35" s="2497" t="s">
        <v>2528</v>
      </c>
      <c r="C35" s="2497"/>
      <c r="D35" s="2497"/>
      <c r="E35" s="3500"/>
      <c r="F35" s="3500"/>
      <c r="G35" s="3500"/>
    </row>
    <row r="36" spans="1:7" hidden="1">
      <c r="A36" s="2500">
        <v>3</v>
      </c>
      <c r="B36" s="2497" t="s">
        <v>2529</v>
      </c>
      <c r="C36" s="2497"/>
      <c r="D36" s="2497"/>
      <c r="E36" s="3500"/>
      <c r="F36" s="3500"/>
      <c r="G36" s="3500"/>
    </row>
    <row r="37" spans="1:7" hidden="1">
      <c r="A37" s="2500">
        <v>4</v>
      </c>
      <c r="B37" s="2497" t="s">
        <v>2530</v>
      </c>
      <c r="C37" s="2497"/>
      <c r="D37" s="2497"/>
      <c r="E37" s="3500"/>
      <c r="F37" s="3500"/>
      <c r="G37" s="3500"/>
    </row>
    <row r="38" spans="1:7" hidden="1">
      <c r="A38" s="3496" t="s">
        <v>2531</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0" t="s">
        <v>522</v>
      </c>
      <c r="D4" s="3421"/>
      <c r="E4" s="3444" t="s">
        <v>523</v>
      </c>
      <c r="F4" s="3445"/>
      <c r="G4" s="3420" t="s">
        <v>524</v>
      </c>
      <c r="H4" s="3421"/>
      <c r="I4" s="3420" t="s">
        <v>525</v>
      </c>
      <c r="J4" s="3421"/>
      <c r="K4" s="853"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85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85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6" t="s">
        <v>530</v>
      </c>
      <c r="Q7" s="3415"/>
      <c r="R7" s="1555" t="s">
        <v>13</v>
      </c>
      <c r="S7" s="1556">
        <f t="shared" ref="S7:S15" si="0">F7</f>
        <v>0</v>
      </c>
      <c r="T7" s="1555" t="s">
        <v>13</v>
      </c>
      <c r="U7" s="1556">
        <f t="shared" ref="U7:U15" si="1">H7</f>
        <v>0</v>
      </c>
      <c r="V7" s="1555" t="s">
        <v>13</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6" t="s">
        <v>533</v>
      </c>
      <c r="Q8" s="3407"/>
      <c r="R8" s="1555" t="s">
        <v>13</v>
      </c>
      <c r="S8" s="1556">
        <f t="shared" si="0"/>
        <v>0</v>
      </c>
      <c r="T8" s="1555" t="s">
        <v>13</v>
      </c>
      <c r="U8" s="1556">
        <f t="shared" si="1"/>
        <v>0</v>
      </c>
      <c r="V8" s="1555" t="s">
        <v>13</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4"/>
      <c r="Q11" s="1147" t="str">
        <f t="shared" si="6"/>
        <v>容积率</v>
      </c>
      <c r="R11" s="1555" t="s">
        <v>11</v>
      </c>
      <c r="S11" s="1556" t="e">
        <f t="shared" si="0"/>
        <v>#N/A</v>
      </c>
      <c r="T11" s="1555" t="s">
        <v>11</v>
      </c>
      <c r="U11" s="1556" t="e">
        <f t="shared" si="1"/>
        <v>#N/A</v>
      </c>
      <c r="V11" s="1555" t="s">
        <v>11</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4"/>
      <c r="Q12" s="1147">
        <f t="shared" si="6"/>
        <v>111</v>
      </c>
      <c r="R12" s="1555" t="s">
        <v>11</v>
      </c>
      <c r="S12" s="1556">
        <f t="shared" si="0"/>
        <v>100</v>
      </c>
      <c r="T12" s="1555" t="s">
        <v>11</v>
      </c>
      <c r="U12" s="1556">
        <f t="shared" si="1"/>
        <v>100</v>
      </c>
      <c r="V12" s="1555" t="s">
        <v>11</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4"/>
      <c r="Q13" s="1147">
        <f t="shared" si="6"/>
        <v>111</v>
      </c>
      <c r="R13" s="1555" t="s">
        <v>11</v>
      </c>
      <c r="S13" s="1556">
        <f t="shared" si="0"/>
        <v>100</v>
      </c>
      <c r="T13" s="1555" t="s">
        <v>11</v>
      </c>
      <c r="U13" s="1556">
        <f t="shared" si="1"/>
        <v>100</v>
      </c>
      <c r="V13" s="1555" t="s">
        <v>11</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4"/>
      <c r="Q14" s="1147">
        <f t="shared" si="6"/>
        <v>111</v>
      </c>
      <c r="R14" s="1555" t="s">
        <v>11</v>
      </c>
      <c r="S14" s="1556">
        <f t="shared" si="0"/>
        <v>100</v>
      </c>
      <c r="T14" s="1555" t="s">
        <v>11</v>
      </c>
      <c r="U14" s="1556">
        <f t="shared" si="1"/>
        <v>100</v>
      </c>
      <c r="V14" s="1555" t="s">
        <v>11</v>
      </c>
      <c r="W14" s="1556">
        <f t="shared" si="2"/>
        <v>100</v>
      </c>
      <c r="X14" s="1557"/>
      <c r="Y14" s="337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6" t="s">
        <v>540</v>
      </c>
      <c r="Q15" s="1559" t="str">
        <f t="shared" si="6"/>
        <v>居住社区成熟度</v>
      </c>
      <c r="R15" s="1560" t="s">
        <v>11</v>
      </c>
      <c r="S15" s="1561">
        <f t="shared" si="0"/>
        <v>100</v>
      </c>
      <c r="T15" s="1560" t="s">
        <v>11</v>
      </c>
      <c r="U15" s="1561">
        <f t="shared" si="1"/>
        <v>100</v>
      </c>
      <c r="V15" s="1560" t="s">
        <v>11</v>
      </c>
      <c r="W15" s="1561">
        <f t="shared" si="2"/>
        <v>100</v>
      </c>
      <c r="X15" s="1554"/>
      <c r="Y15" s="341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7"/>
      <c r="Q17" s="1559" t="str">
        <f>B17</f>
        <v>交通便捷度</v>
      </c>
      <c r="R17" s="1560" t="s">
        <v>11</v>
      </c>
      <c r="S17" s="1561">
        <f>F17</f>
        <v>100</v>
      </c>
      <c r="T17" s="1560" t="s">
        <v>11</v>
      </c>
      <c r="U17" s="1561">
        <f>H17</f>
        <v>100</v>
      </c>
      <c r="V17" s="1560" t="s">
        <v>11</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7"/>
      <c r="Q19" s="1559" t="str">
        <f>B19</f>
        <v>公共配套设施</v>
      </c>
      <c r="R19" s="1560" t="s">
        <v>11</v>
      </c>
      <c r="S19" s="1561">
        <f>F19</f>
        <v>100</v>
      </c>
      <c r="T19" s="1560" t="s">
        <v>11</v>
      </c>
      <c r="U19" s="1561">
        <f>H19</f>
        <v>100</v>
      </c>
      <c r="V19" s="1560" t="s">
        <v>11</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7"/>
      <c r="Q21" s="2544" t="str">
        <f>B21</f>
        <v>基础设施水平</v>
      </c>
      <c r="R21" s="1560" t="s">
        <v>11</v>
      </c>
      <c r="S21" s="1561">
        <f>F21</f>
        <v>100</v>
      </c>
      <c r="T21" s="1560" t="s">
        <v>11</v>
      </c>
      <c r="U21" s="1561">
        <f>H21</f>
        <v>100</v>
      </c>
      <c r="V21" s="1560" t="s">
        <v>11</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7"/>
      <c r="Q23" s="1559" t="str">
        <f>B23</f>
        <v>自然及人文环境</v>
      </c>
      <c r="R23" s="1560" t="s">
        <v>11</v>
      </c>
      <c r="S23" s="1561">
        <f>F23</f>
        <v>100</v>
      </c>
      <c r="T23" s="1560" t="s">
        <v>11</v>
      </c>
      <c r="U23" s="1561">
        <f>H23</f>
        <v>100</v>
      </c>
      <c r="V23" s="1560" t="s">
        <v>11</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7"/>
      <c r="Q25" s="1559" t="str">
        <f t="shared" ref="Q25:Q46" si="11">B25</f>
        <v>楼层-1</v>
      </c>
      <c r="R25" s="1560" t="s">
        <v>11</v>
      </c>
      <c r="S25" s="1561">
        <f>F25</f>
        <v>100</v>
      </c>
      <c r="T25" s="1560" t="s">
        <v>11</v>
      </c>
      <c r="U25" s="1561">
        <f>H25</f>
        <v>100</v>
      </c>
      <c r="V25" s="1560" t="s">
        <v>11</v>
      </c>
      <c r="W25" s="1561">
        <f>J25</f>
        <v>100</v>
      </c>
      <c r="X25" s="1554"/>
      <c r="Y25" s="341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7"/>
      <c r="Q26" s="1559" t="str">
        <f t="shared" si="11"/>
        <v>朝向</v>
      </c>
      <c r="R26" s="1560" t="s">
        <v>11</v>
      </c>
      <c r="S26" s="1561">
        <f>F26</f>
        <v>100</v>
      </c>
      <c r="T26" s="1560" t="s">
        <v>11</v>
      </c>
      <c r="U26" s="1561">
        <f>H26</f>
        <v>100</v>
      </c>
      <c r="V26" s="1560" t="s">
        <v>11</v>
      </c>
      <c r="W26" s="1561">
        <f>J26</f>
        <v>100</v>
      </c>
      <c r="X26" s="1554"/>
      <c r="Y26" s="341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7"/>
      <c r="Q27" s="1147" t="str">
        <f t="shared" si="11"/>
        <v>道路级别</v>
      </c>
      <c r="R27" s="1555" t="s">
        <v>11</v>
      </c>
      <c r="S27" s="1556">
        <f>F27</f>
        <v>100</v>
      </c>
      <c r="T27" s="1555" t="s">
        <v>11</v>
      </c>
      <c r="U27" s="1556">
        <f>H27</f>
        <v>100</v>
      </c>
      <c r="V27" s="1555" t="s">
        <v>11</v>
      </c>
      <c r="W27" s="1556">
        <f>J27</f>
        <v>100</v>
      </c>
      <c r="X27" s="1557"/>
      <c r="Y27" s="341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7"/>
      <c r="Q29" s="1559">
        <f t="shared" si="11"/>
        <v>111</v>
      </c>
      <c r="R29" s="1560" t="s">
        <v>11</v>
      </c>
      <c r="S29" s="1561">
        <f t="shared" si="12"/>
        <v>100</v>
      </c>
      <c r="T29" s="1560" t="s">
        <v>11</v>
      </c>
      <c r="U29" s="1561">
        <f t="shared" si="13"/>
        <v>100</v>
      </c>
      <c r="V29" s="1560" t="s">
        <v>11</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7"/>
      <c r="Q30" s="1559">
        <f t="shared" si="11"/>
        <v>111</v>
      </c>
      <c r="R30" s="1560" t="s">
        <v>11</v>
      </c>
      <c r="S30" s="1561">
        <f t="shared" si="12"/>
        <v>100</v>
      </c>
      <c r="T30" s="1560" t="s">
        <v>11</v>
      </c>
      <c r="U30" s="1561">
        <f t="shared" si="13"/>
        <v>100</v>
      </c>
      <c r="V30" s="1560" t="s">
        <v>11</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7"/>
      <c r="Q31" s="1559">
        <f t="shared" si="11"/>
        <v>111</v>
      </c>
      <c r="R31" s="1560" t="s">
        <v>11</v>
      </c>
      <c r="S31" s="1561">
        <f t="shared" si="12"/>
        <v>100</v>
      </c>
      <c r="T31" s="1560" t="s">
        <v>11</v>
      </c>
      <c r="U31" s="1561">
        <f t="shared" si="13"/>
        <v>100</v>
      </c>
      <c r="V31" s="1560" t="s">
        <v>11</v>
      </c>
      <c r="W31" s="1561">
        <f t="shared" si="14"/>
        <v>100</v>
      </c>
      <c r="X31" s="1554"/>
      <c r="Y31" s="341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8" t="s">
        <v>550</v>
      </c>
      <c r="Q32" s="1559" t="str">
        <f t="shared" si="11"/>
        <v>建筑类型</v>
      </c>
      <c r="R32" s="1560" t="s">
        <v>11</v>
      </c>
      <c r="S32" s="1561">
        <f t="shared" si="12"/>
        <v>100</v>
      </c>
      <c r="T32" s="1560" t="s">
        <v>11</v>
      </c>
      <c r="U32" s="1561">
        <f t="shared" si="13"/>
        <v>100</v>
      </c>
      <c r="V32" s="1560" t="s">
        <v>11</v>
      </c>
      <c r="W32" s="1561">
        <f t="shared" si="14"/>
        <v>100</v>
      </c>
      <c r="X32" s="1554"/>
      <c r="Y32" s="341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9"/>
      <c r="Q33" s="1591" t="str">
        <f t="shared" si="11"/>
        <v>项目建筑规模</v>
      </c>
      <c r="R33" s="1564" t="s">
        <v>11</v>
      </c>
      <c r="S33" s="1565" t="e">
        <f t="shared" si="12"/>
        <v>#N/A</v>
      </c>
      <c r="T33" s="1564" t="s">
        <v>11</v>
      </c>
      <c r="U33" s="1565" t="e">
        <f t="shared" si="13"/>
        <v>#N/A</v>
      </c>
      <c r="V33" s="1564" t="s">
        <v>11</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9"/>
      <c r="Q34" s="1559" t="str">
        <f t="shared" si="11"/>
        <v>建筑结构</v>
      </c>
      <c r="R34" s="1560" t="s">
        <v>11</v>
      </c>
      <c r="S34" s="1561">
        <f t="shared" si="12"/>
        <v>100</v>
      </c>
      <c r="T34" s="1560" t="s">
        <v>11</v>
      </c>
      <c r="U34" s="1561">
        <f t="shared" si="13"/>
        <v>100</v>
      </c>
      <c r="V34" s="1560" t="s">
        <v>11</v>
      </c>
      <c r="W34" s="1561">
        <f t="shared" si="14"/>
        <v>100</v>
      </c>
      <c r="X34" s="1554"/>
      <c r="Y34" s="341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9"/>
      <c r="Q35" s="1559" t="str">
        <f t="shared" si="11"/>
        <v>建筑品质</v>
      </c>
      <c r="R35" s="1560" t="s">
        <v>11</v>
      </c>
      <c r="S35" s="1561">
        <f t="shared" si="12"/>
        <v>100</v>
      </c>
      <c r="T35" s="1560" t="s">
        <v>11</v>
      </c>
      <c r="U35" s="1561">
        <f t="shared" si="13"/>
        <v>100</v>
      </c>
      <c r="V35" s="1560" t="s">
        <v>11</v>
      </c>
      <c r="W35" s="1561">
        <f t="shared" si="14"/>
        <v>100</v>
      </c>
      <c r="X35" s="1554"/>
      <c r="Y35" s="341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9"/>
      <c r="Q36" s="1559" t="str">
        <f t="shared" si="11"/>
        <v>公共部分装修</v>
      </c>
      <c r="R36" s="1560" t="s">
        <v>11</v>
      </c>
      <c r="S36" s="1561">
        <f t="shared" si="12"/>
        <v>100</v>
      </c>
      <c r="T36" s="1560" t="s">
        <v>11</v>
      </c>
      <c r="U36" s="1561">
        <f t="shared" si="13"/>
        <v>100</v>
      </c>
      <c r="V36" s="1560" t="s">
        <v>11</v>
      </c>
      <c r="W36" s="1561">
        <f t="shared" si="14"/>
        <v>100</v>
      </c>
      <c r="X36" s="1554"/>
      <c r="Y36" s="341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9"/>
      <c r="Q37" s="1147" t="str">
        <f t="shared" si="11"/>
        <v>成新度</v>
      </c>
      <c r="R37" s="1555" t="s">
        <v>11</v>
      </c>
      <c r="S37" s="1556" t="e">
        <f t="shared" si="12"/>
        <v>#N/A</v>
      </c>
      <c r="T37" s="1555" t="s">
        <v>11</v>
      </c>
      <c r="U37" s="1556" t="e">
        <f t="shared" si="13"/>
        <v>#N/A</v>
      </c>
      <c r="V37" s="1555" t="s">
        <v>11</v>
      </c>
      <c r="W37" s="1556" t="e">
        <f t="shared" si="14"/>
        <v>#N/A</v>
      </c>
      <c r="X37" s="1557"/>
      <c r="Y37" s="341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9" t="s">
        <v>550</v>
      </c>
      <c r="Q38" s="1559" t="str">
        <f t="shared" si="11"/>
        <v>物业管理</v>
      </c>
      <c r="R38" s="1560" t="s">
        <v>11</v>
      </c>
      <c r="S38" s="1561">
        <f t="shared" si="12"/>
        <v>100</v>
      </c>
      <c r="T38" s="1560" t="s">
        <v>11</v>
      </c>
      <c r="U38" s="1561">
        <f t="shared" si="13"/>
        <v>100</v>
      </c>
      <c r="V38" s="1560" t="s">
        <v>11</v>
      </c>
      <c r="W38" s="1561">
        <f t="shared" si="14"/>
        <v>100</v>
      </c>
      <c r="X38" s="1554"/>
      <c r="Y38" s="341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9"/>
      <c r="Q39" s="1559" t="str">
        <f t="shared" si="11"/>
        <v>市政基础设施</v>
      </c>
      <c r="R39" s="1560" t="s">
        <v>11</v>
      </c>
      <c r="S39" s="1561">
        <f t="shared" si="12"/>
        <v>100</v>
      </c>
      <c r="T39" s="1560" t="s">
        <v>11</v>
      </c>
      <c r="U39" s="1561">
        <f t="shared" si="13"/>
        <v>100</v>
      </c>
      <c r="V39" s="1560" t="s">
        <v>11</v>
      </c>
      <c r="W39" s="1561">
        <f t="shared" si="14"/>
        <v>100</v>
      </c>
      <c r="X39" s="1554"/>
      <c r="Y39" s="341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9"/>
      <c r="Q40" s="1559" t="str">
        <f t="shared" si="11"/>
        <v>房型</v>
      </c>
      <c r="R40" s="1560" t="s">
        <v>11</v>
      </c>
      <c r="S40" s="1561">
        <f t="shared" si="12"/>
        <v>100</v>
      </c>
      <c r="T40" s="1560" t="s">
        <v>11</v>
      </c>
      <c r="U40" s="1561">
        <f t="shared" si="13"/>
        <v>100</v>
      </c>
      <c r="V40" s="1560" t="s">
        <v>11</v>
      </c>
      <c r="W40" s="1561">
        <f t="shared" si="14"/>
        <v>100</v>
      </c>
      <c r="X40" s="1554"/>
      <c r="Y40" s="341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9"/>
      <c r="Q41" s="1591" t="str">
        <f t="shared" si="11"/>
        <v>单套/主力户型建筑面积</v>
      </c>
      <c r="R41" s="1564" t="s">
        <v>11</v>
      </c>
      <c r="S41" s="1565">
        <f t="shared" si="12"/>
        <v>100</v>
      </c>
      <c r="T41" s="1564" t="s">
        <v>11</v>
      </c>
      <c r="U41" s="1565">
        <f t="shared" si="13"/>
        <v>100</v>
      </c>
      <c r="V41" s="1564" t="s">
        <v>11</v>
      </c>
      <c r="W41" s="1565">
        <f t="shared" si="14"/>
        <v>100</v>
      </c>
      <c r="X41" s="1566"/>
      <c r="Y41" s="341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9"/>
      <c r="Q42" s="1559" t="str">
        <f t="shared" si="11"/>
        <v>内部装修</v>
      </c>
      <c r="R42" s="1560" t="s">
        <v>11</v>
      </c>
      <c r="S42" s="1561">
        <f t="shared" si="12"/>
        <v>100</v>
      </c>
      <c r="T42" s="1560" t="s">
        <v>11</v>
      </c>
      <c r="U42" s="1561">
        <f t="shared" si="13"/>
        <v>100</v>
      </c>
      <c r="V42" s="1560" t="s">
        <v>11</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9"/>
      <c r="Q43" s="1559" t="str">
        <f t="shared" si="11"/>
        <v>内部装修维护情况</v>
      </c>
      <c r="R43" s="1560" t="s">
        <v>11</v>
      </c>
      <c r="S43" s="1561">
        <f t="shared" si="12"/>
        <v>100</v>
      </c>
      <c r="T43" s="1560" t="s">
        <v>11</v>
      </c>
      <c r="U43" s="1561">
        <f t="shared" si="13"/>
        <v>100</v>
      </c>
      <c r="V43" s="1560" t="s">
        <v>11</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9"/>
      <c r="Q44" s="1147">
        <f t="shared" si="11"/>
        <v>111</v>
      </c>
      <c r="R44" s="1555" t="s">
        <v>11</v>
      </c>
      <c r="S44" s="1556">
        <f t="shared" si="12"/>
        <v>100</v>
      </c>
      <c r="T44" s="1555" t="s">
        <v>11</v>
      </c>
      <c r="U44" s="1556">
        <f t="shared" si="13"/>
        <v>100</v>
      </c>
      <c r="V44" s="1555" t="s">
        <v>11</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9"/>
      <c r="Q45" s="1559">
        <f t="shared" si="11"/>
        <v>111</v>
      </c>
      <c r="R45" s="1560" t="s">
        <v>11</v>
      </c>
      <c r="S45" s="1561">
        <f t="shared" si="12"/>
        <v>100</v>
      </c>
      <c r="T45" s="1560" t="s">
        <v>11</v>
      </c>
      <c r="U45" s="1561">
        <f t="shared" si="13"/>
        <v>100</v>
      </c>
      <c r="V45" s="1560" t="s">
        <v>11</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28"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28"/>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28"/>
      <c r="AC6" s="3405"/>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6" t="s">
        <v>540</v>
      </c>
      <c r="Q15" s="1559" t="str">
        <f t="shared" si="6"/>
        <v>商业繁华度</v>
      </c>
      <c r="R15" s="1560" t="s">
        <v>8</v>
      </c>
      <c r="S15" s="1561">
        <f t="shared" si="0"/>
        <v>100</v>
      </c>
      <c r="T15" s="1560" t="s">
        <v>8</v>
      </c>
      <c r="U15" s="1561">
        <f t="shared" si="1"/>
        <v>100</v>
      </c>
      <c r="V15" s="1560" t="s">
        <v>8</v>
      </c>
      <c r="W15" s="1561">
        <f t="shared" si="2"/>
        <v>100</v>
      </c>
      <c r="X15" s="1554"/>
      <c r="Y15" s="341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7"/>
      <c r="Q23" s="1559" t="str">
        <f>B23</f>
        <v>自然及人文环境</v>
      </c>
      <c r="R23" s="1560" t="s">
        <v>8</v>
      </c>
      <c r="S23" s="1561">
        <f>F23</f>
        <v>100</v>
      </c>
      <c r="T23" s="1560" t="s">
        <v>8</v>
      </c>
      <c r="U23" s="1561">
        <f>H23</f>
        <v>100</v>
      </c>
      <c r="V23" s="1560" t="s">
        <v>8</v>
      </c>
      <c r="W23" s="1561">
        <f>J23</f>
        <v>100</v>
      </c>
      <c r="X23" s="1554"/>
      <c r="Y23" s="341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7"/>
      <c r="Q25" s="1559" t="str">
        <f t="shared" ref="Q25:Q46" si="11">B25</f>
        <v>临街状况</v>
      </c>
      <c r="R25" s="1560" t="s">
        <v>8</v>
      </c>
      <c r="S25" s="1561">
        <f>F25</f>
        <v>100</v>
      </c>
      <c r="T25" s="1560" t="s">
        <v>8</v>
      </c>
      <c r="U25" s="1561">
        <f>H25</f>
        <v>100</v>
      </c>
      <c r="V25" s="1560" t="s">
        <v>8</v>
      </c>
      <c r="W25" s="1561">
        <f>J25</f>
        <v>100</v>
      </c>
      <c r="X25" s="1554"/>
      <c r="Y25" s="341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7"/>
      <c r="Q26" s="1559" t="str">
        <f t="shared" si="11"/>
        <v>平面位置/可视性</v>
      </c>
      <c r="R26" s="1560" t="s">
        <v>8</v>
      </c>
      <c r="S26" s="1561">
        <f>F26</f>
        <v>100</v>
      </c>
      <c r="T26" s="1560" t="s">
        <v>8</v>
      </c>
      <c r="U26" s="1561">
        <f>H26</f>
        <v>100</v>
      </c>
      <c r="V26" s="1560" t="s">
        <v>8</v>
      </c>
      <c r="W26" s="1561">
        <f>J26</f>
        <v>100</v>
      </c>
      <c r="X26" s="1554"/>
      <c r="Y26" s="341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7"/>
      <c r="Q27" s="1147" t="str">
        <f t="shared" si="11"/>
        <v>人流量</v>
      </c>
      <c r="R27" s="1555" t="s">
        <v>8</v>
      </c>
      <c r="S27" s="1556">
        <f>F27</f>
        <v>100</v>
      </c>
      <c r="T27" s="1555" t="s">
        <v>8</v>
      </c>
      <c r="U27" s="1556">
        <f>H27</f>
        <v>100</v>
      </c>
      <c r="V27" s="1555" t="s">
        <v>8</v>
      </c>
      <c r="W27" s="1556">
        <f>J27</f>
        <v>100</v>
      </c>
      <c r="X27" s="1557"/>
      <c r="Y27" s="341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7"/>
      <c r="Q29" s="1559">
        <f t="shared" si="11"/>
        <v>111</v>
      </c>
      <c r="R29" s="1560" t="s">
        <v>8</v>
      </c>
      <c r="S29" s="1561">
        <f t="shared" si="12"/>
        <v>100</v>
      </c>
      <c r="T29" s="1560" t="s">
        <v>8</v>
      </c>
      <c r="U29" s="1561">
        <f t="shared" si="13"/>
        <v>100</v>
      </c>
      <c r="V29" s="1560" t="s">
        <v>8</v>
      </c>
      <c r="W29" s="1561">
        <f t="shared" si="14"/>
        <v>100</v>
      </c>
      <c r="X29" s="1554"/>
      <c r="Y29" s="341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8" t="s">
        <v>550</v>
      </c>
      <c r="Q32" s="1559" t="str">
        <f t="shared" si="11"/>
        <v>商业类型</v>
      </c>
      <c r="R32" s="1560" t="s">
        <v>8</v>
      </c>
      <c r="S32" s="1561">
        <f t="shared" si="12"/>
        <v>100</v>
      </c>
      <c r="T32" s="1560" t="s">
        <v>8</v>
      </c>
      <c r="U32" s="1561">
        <f t="shared" si="13"/>
        <v>100</v>
      </c>
      <c r="V32" s="1560" t="s">
        <v>8</v>
      </c>
      <c r="W32" s="1561">
        <f t="shared" si="14"/>
        <v>100</v>
      </c>
      <c r="X32" s="1554"/>
      <c r="Y32" s="341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9"/>
      <c r="Q33" s="1591" t="str">
        <f t="shared" si="11"/>
        <v>项目建筑规模</v>
      </c>
      <c r="R33" s="1564" t="s">
        <v>8</v>
      </c>
      <c r="S33" s="1565" t="e">
        <f t="shared" si="12"/>
        <v>#N/A</v>
      </c>
      <c r="T33" s="1564" t="s">
        <v>8</v>
      </c>
      <c r="U33" s="1565" t="e">
        <f t="shared" si="13"/>
        <v>#N/A</v>
      </c>
      <c r="V33" s="1564" t="s">
        <v>8</v>
      </c>
      <c r="W33" s="1565" t="e">
        <f t="shared" si="14"/>
        <v>#N/A</v>
      </c>
      <c r="X33" s="1566"/>
      <c r="Y33" s="341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9"/>
      <c r="Q34" s="1559" t="str">
        <f t="shared" si="11"/>
        <v>建筑结构</v>
      </c>
      <c r="R34" s="1560" t="s">
        <v>8</v>
      </c>
      <c r="S34" s="1561">
        <f t="shared" si="12"/>
        <v>100</v>
      </c>
      <c r="T34" s="1560" t="s">
        <v>8</v>
      </c>
      <c r="U34" s="1561">
        <f t="shared" si="13"/>
        <v>100</v>
      </c>
      <c r="V34" s="1560" t="s">
        <v>8</v>
      </c>
      <c r="W34" s="1561">
        <f t="shared" si="14"/>
        <v>100</v>
      </c>
      <c r="X34" s="1554"/>
      <c r="Y34" s="341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9"/>
      <c r="Q35" s="1559" t="str">
        <f t="shared" si="11"/>
        <v>公共部分装修</v>
      </c>
      <c r="R35" s="1560" t="s">
        <v>8</v>
      </c>
      <c r="S35" s="1561">
        <f t="shared" si="12"/>
        <v>100</v>
      </c>
      <c r="T35" s="1560" t="s">
        <v>8</v>
      </c>
      <c r="U35" s="1561">
        <f t="shared" si="13"/>
        <v>100</v>
      </c>
      <c r="V35" s="1560" t="s">
        <v>8</v>
      </c>
      <c r="W35" s="1561">
        <f t="shared" si="14"/>
        <v>100</v>
      </c>
      <c r="X35" s="1554"/>
      <c r="Y35" s="341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9"/>
      <c r="Q36" s="1559" t="str">
        <f t="shared" si="11"/>
        <v>成新度</v>
      </c>
      <c r="R36" s="1560" t="s">
        <v>8</v>
      </c>
      <c r="S36" s="1561" t="e">
        <f t="shared" si="12"/>
        <v>#N/A</v>
      </c>
      <c r="T36" s="1560" t="s">
        <v>8</v>
      </c>
      <c r="U36" s="1561" t="e">
        <f t="shared" si="13"/>
        <v>#N/A</v>
      </c>
      <c r="V36" s="1560" t="s">
        <v>8</v>
      </c>
      <c r="W36" s="1561" t="e">
        <f t="shared" si="14"/>
        <v>#N/A</v>
      </c>
      <c r="X36" s="1554"/>
      <c r="Y36" s="341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9"/>
      <c r="Q37" s="1147" t="str">
        <f t="shared" si="11"/>
        <v>市政基础设施</v>
      </c>
      <c r="R37" s="1555" t="s">
        <v>8</v>
      </c>
      <c r="S37" s="1556">
        <f t="shared" si="12"/>
        <v>100</v>
      </c>
      <c r="T37" s="1555" t="s">
        <v>8</v>
      </c>
      <c r="U37" s="1556">
        <f t="shared" si="13"/>
        <v>100</v>
      </c>
      <c r="V37" s="1555" t="s">
        <v>8</v>
      </c>
      <c r="W37" s="1556">
        <f t="shared" si="14"/>
        <v>100</v>
      </c>
      <c r="X37" s="1557"/>
      <c r="Y37" s="341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9" t="s">
        <v>766</v>
      </c>
      <c r="Q38" s="1559" t="str">
        <f t="shared" si="11"/>
        <v>业态</v>
      </c>
      <c r="R38" s="1560" t="s">
        <v>8</v>
      </c>
      <c r="S38" s="1561">
        <f t="shared" si="12"/>
        <v>100</v>
      </c>
      <c r="T38" s="1560" t="s">
        <v>8</v>
      </c>
      <c r="U38" s="1561">
        <f t="shared" si="13"/>
        <v>100</v>
      </c>
      <c r="V38" s="1560" t="s">
        <v>8</v>
      </c>
      <c r="W38" s="1561">
        <f t="shared" si="14"/>
        <v>100</v>
      </c>
      <c r="X38" s="1554"/>
      <c r="Y38" s="341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9"/>
      <c r="Q39" s="1559" t="str">
        <f t="shared" si="11"/>
        <v>层高</v>
      </c>
      <c r="R39" s="1560" t="s">
        <v>8</v>
      </c>
      <c r="S39" s="1561">
        <f t="shared" si="12"/>
        <v>100</v>
      </c>
      <c r="T39" s="1560" t="s">
        <v>8</v>
      </c>
      <c r="U39" s="1561">
        <f t="shared" si="13"/>
        <v>100</v>
      </c>
      <c r="V39" s="1560" t="s">
        <v>8</v>
      </c>
      <c r="W39" s="1561">
        <f t="shared" si="14"/>
        <v>100</v>
      </c>
      <c r="X39" s="1554"/>
      <c r="Y39" s="341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9"/>
      <c r="Q40" s="1559" t="str">
        <f t="shared" si="11"/>
        <v>单套建筑面积</v>
      </c>
      <c r="R40" s="1560" t="s">
        <v>8</v>
      </c>
      <c r="S40" s="1561">
        <f t="shared" si="12"/>
        <v>100</v>
      </c>
      <c r="T40" s="1560" t="s">
        <v>8</v>
      </c>
      <c r="U40" s="1561">
        <f t="shared" si="13"/>
        <v>100</v>
      </c>
      <c r="V40" s="1560" t="s">
        <v>8</v>
      </c>
      <c r="W40" s="1561">
        <f t="shared" si="14"/>
        <v>100</v>
      </c>
      <c r="X40" s="1554"/>
      <c r="Y40" s="341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9"/>
      <c r="Q41" s="1591" t="str">
        <f t="shared" si="11"/>
        <v>进深比</v>
      </c>
      <c r="R41" s="1564" t="s">
        <v>8</v>
      </c>
      <c r="S41" s="1565">
        <f t="shared" si="12"/>
        <v>100</v>
      </c>
      <c r="T41" s="1564" t="s">
        <v>8</v>
      </c>
      <c r="U41" s="1565">
        <f t="shared" si="13"/>
        <v>100</v>
      </c>
      <c r="V41" s="1564" t="s">
        <v>8</v>
      </c>
      <c r="W41" s="1565">
        <f t="shared" si="14"/>
        <v>100</v>
      </c>
      <c r="X41" s="1566"/>
      <c r="Y41" s="341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9"/>
      <c r="Q42" s="1559" t="str">
        <f t="shared" si="11"/>
        <v>内部装修</v>
      </c>
      <c r="R42" s="1560" t="s">
        <v>8</v>
      </c>
      <c r="S42" s="1561">
        <f t="shared" si="12"/>
        <v>100</v>
      </c>
      <c r="T42" s="1560" t="s">
        <v>8</v>
      </c>
      <c r="U42" s="1561">
        <f t="shared" si="13"/>
        <v>100</v>
      </c>
      <c r="V42" s="1560" t="s">
        <v>8</v>
      </c>
      <c r="W42" s="1561">
        <f t="shared" si="14"/>
        <v>100</v>
      </c>
      <c r="X42" s="1554"/>
      <c r="Y42" s="341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9"/>
      <c r="Q43" s="1559" t="str">
        <f t="shared" si="11"/>
        <v>内部装修维护情况</v>
      </c>
      <c r="R43" s="1560" t="s">
        <v>8</v>
      </c>
      <c r="S43" s="1561">
        <f t="shared" si="12"/>
        <v>100</v>
      </c>
      <c r="T43" s="1560" t="s">
        <v>8</v>
      </c>
      <c r="U43" s="1561">
        <f t="shared" si="13"/>
        <v>100</v>
      </c>
      <c r="V43" s="1560" t="s">
        <v>8</v>
      </c>
      <c r="W43" s="1561">
        <f t="shared" si="14"/>
        <v>100</v>
      </c>
      <c r="X43" s="1554"/>
      <c r="Y43" s="341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9"/>
      <c r="Q44" s="1147">
        <f t="shared" si="11"/>
        <v>111</v>
      </c>
      <c r="R44" s="1555" t="s">
        <v>8</v>
      </c>
      <c r="S44" s="1556">
        <f t="shared" si="12"/>
        <v>100</v>
      </c>
      <c r="T44" s="1555" t="s">
        <v>8</v>
      </c>
      <c r="U44" s="1556">
        <f t="shared" si="13"/>
        <v>100</v>
      </c>
      <c r="V44" s="1555" t="s">
        <v>8</v>
      </c>
      <c r="W44" s="1556">
        <f t="shared" si="14"/>
        <v>100</v>
      </c>
      <c r="X44" s="1557"/>
      <c r="Y44" s="341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9"/>
      <c r="Q45" s="1559">
        <f t="shared" si="11"/>
        <v>111</v>
      </c>
      <c r="R45" s="1560" t="s">
        <v>8</v>
      </c>
      <c r="S45" s="1561">
        <f t="shared" si="12"/>
        <v>100</v>
      </c>
      <c r="T45" s="1560" t="s">
        <v>8</v>
      </c>
      <c r="U45" s="1561">
        <f t="shared" si="13"/>
        <v>100</v>
      </c>
      <c r="V45" s="1560" t="s">
        <v>8</v>
      </c>
      <c r="W45" s="1561">
        <f t="shared" si="14"/>
        <v>100</v>
      </c>
      <c r="X45" s="1554"/>
      <c r="Y45" s="341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4" t="str">
        <f>A47</f>
        <v>成交单价（元/平方米）</v>
      </c>
      <c r="Q47" s="3414"/>
      <c r="R47" s="3518">
        <f>E47</f>
        <v>0</v>
      </c>
      <c r="S47" s="3518"/>
      <c r="T47" s="3518">
        <f>G47</f>
        <v>0</v>
      </c>
      <c r="U47" s="3518"/>
      <c r="V47" s="3518">
        <f>I47</f>
        <v>0</v>
      </c>
      <c r="W47" s="351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4" t="str">
        <f>A48</f>
        <v>比较价格（元/平方米）</v>
      </c>
      <c r="Q48" s="3414"/>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5" t="str">
        <f>A49</f>
        <v>估价对象XX用房的比较价格（楼面单价，元/平方米）</v>
      </c>
      <c r="Q49" s="3436"/>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0" t="s">
        <v>522</v>
      </c>
      <c r="D4" s="3421"/>
      <c r="E4" s="3444" t="s">
        <v>523</v>
      </c>
      <c r="F4" s="3445"/>
      <c r="G4" s="3420" t="s">
        <v>524</v>
      </c>
      <c r="H4" s="3421"/>
      <c r="I4" s="3420" t="s">
        <v>525</v>
      </c>
      <c r="J4" s="3421"/>
      <c r="K4" s="514" t="s">
        <v>526</v>
      </c>
      <c r="L4" s="2119"/>
      <c r="M4" s="2120"/>
      <c r="N4" s="2120"/>
      <c r="O4" s="2120"/>
      <c r="P4" s="3520" t="s">
        <v>527</v>
      </c>
      <c r="Q4" s="3423"/>
      <c r="R4" s="3408" t="s">
        <v>523</v>
      </c>
      <c r="S4" s="3409"/>
      <c r="T4" s="3408" t="s">
        <v>524</v>
      </c>
      <c r="U4" s="3409"/>
      <c r="V4" s="3428" t="s">
        <v>525</v>
      </c>
      <c r="W4" s="3428"/>
      <c r="X4" s="1554"/>
      <c r="Y4" s="3408" t="s">
        <v>527</v>
      </c>
      <c r="Z4" s="3409"/>
      <c r="AA4" s="3403" t="s">
        <v>523</v>
      </c>
      <c r="AB4" s="3403"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521"/>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522"/>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5"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5"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6" t="s">
        <v>540</v>
      </c>
      <c r="Q15" s="1559" t="str">
        <f t="shared" si="6"/>
        <v>办公集聚程度</v>
      </c>
      <c r="R15" s="1560" t="s">
        <v>8</v>
      </c>
      <c r="S15" s="1561">
        <f t="shared" si="0"/>
        <v>100</v>
      </c>
      <c r="T15" s="1560" t="s">
        <v>8</v>
      </c>
      <c r="U15" s="1561">
        <f t="shared" si="1"/>
        <v>100</v>
      </c>
      <c r="V15" s="1560" t="s">
        <v>8</v>
      </c>
      <c r="W15" s="1561">
        <f t="shared" si="2"/>
        <v>100</v>
      </c>
      <c r="X15" s="1554"/>
      <c r="Y15" s="341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7"/>
      <c r="Q16" s="1559"/>
      <c r="R16" s="1560"/>
      <c r="S16" s="1561"/>
      <c r="T16" s="1560"/>
      <c r="U16" s="1561"/>
      <c r="V16" s="1560"/>
      <c r="W16" s="1561"/>
      <c r="X16" s="1554"/>
      <c r="Y16" s="341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7"/>
      <c r="Q18" s="1559"/>
      <c r="R18" s="1560"/>
      <c r="S18" s="1561"/>
      <c r="T18" s="1560"/>
      <c r="U18" s="1561"/>
      <c r="V18" s="1560"/>
      <c r="W18" s="1561"/>
      <c r="X18" s="1554"/>
      <c r="Y18" s="341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7"/>
      <c r="Q20" s="1559"/>
      <c r="R20" s="1560"/>
      <c r="S20" s="1561"/>
      <c r="T20" s="1560"/>
      <c r="U20" s="1561"/>
      <c r="V20" s="1560"/>
      <c r="W20" s="1561"/>
      <c r="X20" s="1554"/>
      <c r="Y20" s="341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7"/>
      <c r="Q22" s="2544"/>
      <c r="R22" s="1560"/>
      <c r="S22" s="1561"/>
      <c r="T22" s="1560"/>
      <c r="U22" s="1561"/>
      <c r="V22" s="1560"/>
      <c r="W22" s="1561"/>
      <c r="X22" s="2546"/>
      <c r="Y22" s="341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7"/>
      <c r="Q24" s="1559"/>
      <c r="R24" s="1560"/>
      <c r="S24" s="1561"/>
      <c r="T24" s="1560"/>
      <c r="U24" s="1561"/>
      <c r="V24" s="1560"/>
      <c r="W24" s="1561"/>
      <c r="X24" s="1554"/>
      <c r="Y24" s="341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7"/>
      <c r="Q25" s="1559" t="str">
        <f>B25</f>
        <v>毗邻道路的类型与等级</v>
      </c>
      <c r="R25" s="1560" t="s">
        <v>8</v>
      </c>
      <c r="S25" s="1561">
        <f>F25</f>
        <v>100</v>
      </c>
      <c r="T25" s="1560" t="s">
        <v>8</v>
      </c>
      <c r="U25" s="1561">
        <f>H25</f>
        <v>100</v>
      </c>
      <c r="V25" s="1560" t="s">
        <v>8</v>
      </c>
      <c r="W25" s="1561">
        <f>J25</f>
        <v>100</v>
      </c>
      <c r="X25" s="1554"/>
      <c r="Y25" s="341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7"/>
      <c r="Q26" s="1559"/>
      <c r="R26" s="1560"/>
      <c r="S26" s="1561"/>
      <c r="T26" s="1560"/>
      <c r="U26" s="1561"/>
      <c r="V26" s="1560"/>
      <c r="W26" s="1561"/>
      <c r="X26" s="1554"/>
      <c r="Y26" s="341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7"/>
      <c r="Q27" s="1559" t="str">
        <f t="shared" ref="Q27:Q47" si="11">B27</f>
        <v>楼层</v>
      </c>
      <c r="R27" s="1560" t="s">
        <v>8</v>
      </c>
      <c r="S27" s="1561">
        <f>F27</f>
        <v>100</v>
      </c>
      <c r="T27" s="1560" t="s">
        <v>8</v>
      </c>
      <c r="U27" s="1561">
        <f>H27</f>
        <v>100</v>
      </c>
      <c r="V27" s="1560" t="s">
        <v>8</v>
      </c>
      <c r="W27" s="1561">
        <f>J27</f>
        <v>100</v>
      </c>
      <c r="X27" s="1554"/>
      <c r="Y27" s="341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7"/>
      <c r="Q28" s="1147" t="str">
        <f t="shared" si="11"/>
        <v>朝向</v>
      </c>
      <c r="R28" s="1555" t="s">
        <v>8</v>
      </c>
      <c r="S28" s="1556">
        <f>F28</f>
        <v>100</v>
      </c>
      <c r="T28" s="1555" t="s">
        <v>8</v>
      </c>
      <c r="U28" s="1556">
        <f>H28</f>
        <v>100</v>
      </c>
      <c r="V28" s="1555" t="s">
        <v>8</v>
      </c>
      <c r="W28" s="1556">
        <f>J28</f>
        <v>100</v>
      </c>
      <c r="X28" s="1557"/>
      <c r="Y28" s="341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7"/>
      <c r="Q29" s="1559">
        <f t="shared" si="11"/>
        <v>111</v>
      </c>
      <c r="R29" s="1560" t="s">
        <v>8</v>
      </c>
      <c r="S29" s="1561">
        <f t="shared" ref="S29:S47" si="12">F29</f>
        <v>100</v>
      </c>
      <c r="T29" s="1560" t="s">
        <v>8</v>
      </c>
      <c r="U29" s="1561">
        <f t="shared" ref="U29:U47" si="13">H29</f>
        <v>100</v>
      </c>
      <c r="V29" s="1560" t="s">
        <v>8</v>
      </c>
      <c r="W29" s="1561">
        <f t="shared" ref="W29:W47" si="14">J29</f>
        <v>100</v>
      </c>
      <c r="X29" s="1554"/>
      <c r="Y29" s="341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7"/>
      <c r="Q30" s="1559">
        <f t="shared" si="11"/>
        <v>111</v>
      </c>
      <c r="R30" s="1560" t="s">
        <v>8</v>
      </c>
      <c r="S30" s="1561">
        <f t="shared" si="12"/>
        <v>100</v>
      </c>
      <c r="T30" s="1560" t="s">
        <v>8</v>
      </c>
      <c r="U30" s="1561">
        <f t="shared" si="13"/>
        <v>100</v>
      </c>
      <c r="V30" s="1560" t="s">
        <v>8</v>
      </c>
      <c r="W30" s="1561">
        <f t="shared" si="14"/>
        <v>100</v>
      </c>
      <c r="X30" s="1554"/>
      <c r="Y30" s="341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7"/>
      <c r="Q31" s="1559">
        <f t="shared" si="11"/>
        <v>111</v>
      </c>
      <c r="R31" s="1560" t="s">
        <v>8</v>
      </c>
      <c r="S31" s="1561">
        <f t="shared" si="12"/>
        <v>100</v>
      </c>
      <c r="T31" s="1560" t="s">
        <v>8</v>
      </c>
      <c r="U31" s="1561">
        <f t="shared" si="13"/>
        <v>100</v>
      </c>
      <c r="V31" s="1560" t="s">
        <v>8</v>
      </c>
      <c r="W31" s="1561">
        <f t="shared" si="14"/>
        <v>100</v>
      </c>
      <c r="X31" s="1554"/>
      <c r="Y31" s="341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7"/>
      <c r="Q32" s="1559">
        <f t="shared" si="11"/>
        <v>111</v>
      </c>
      <c r="R32" s="1560" t="s">
        <v>8</v>
      </c>
      <c r="S32" s="1561">
        <f t="shared" si="12"/>
        <v>100</v>
      </c>
      <c r="T32" s="1560" t="s">
        <v>8</v>
      </c>
      <c r="U32" s="1561">
        <f t="shared" si="13"/>
        <v>100</v>
      </c>
      <c r="V32" s="1560" t="s">
        <v>8</v>
      </c>
      <c r="W32" s="1561">
        <f t="shared" si="14"/>
        <v>100</v>
      </c>
      <c r="X32" s="1554"/>
      <c r="Y32" s="341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8" t="s">
        <v>550</v>
      </c>
      <c r="Q33" s="1559" t="str">
        <f t="shared" si="11"/>
        <v>建筑类型</v>
      </c>
      <c r="R33" s="1560" t="s">
        <v>8</v>
      </c>
      <c r="S33" s="1561">
        <f t="shared" si="12"/>
        <v>100</v>
      </c>
      <c r="T33" s="1560" t="s">
        <v>8</v>
      </c>
      <c r="U33" s="1561">
        <f t="shared" si="13"/>
        <v>100</v>
      </c>
      <c r="V33" s="1560" t="s">
        <v>8</v>
      </c>
      <c r="W33" s="1561">
        <f t="shared" si="14"/>
        <v>100</v>
      </c>
      <c r="X33" s="1554"/>
      <c r="Y33" s="341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9"/>
      <c r="Q34" s="1591" t="str">
        <f t="shared" si="11"/>
        <v>项目建筑规模</v>
      </c>
      <c r="R34" s="1564" t="s">
        <v>8</v>
      </c>
      <c r="S34" s="1565" t="e">
        <f t="shared" si="12"/>
        <v>#N/A</v>
      </c>
      <c r="T34" s="1564" t="s">
        <v>8</v>
      </c>
      <c r="U34" s="1565" t="e">
        <f t="shared" si="13"/>
        <v>#N/A</v>
      </c>
      <c r="V34" s="1564" t="s">
        <v>8</v>
      </c>
      <c r="W34" s="1565" t="e">
        <f t="shared" si="14"/>
        <v>#N/A</v>
      </c>
      <c r="X34" s="1566"/>
      <c r="Y34" s="341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9"/>
      <c r="Q35" s="1559" t="str">
        <f t="shared" si="11"/>
        <v>建筑结构</v>
      </c>
      <c r="R35" s="1560" t="s">
        <v>8</v>
      </c>
      <c r="S35" s="1561">
        <f t="shared" si="12"/>
        <v>100</v>
      </c>
      <c r="T35" s="1560" t="s">
        <v>8</v>
      </c>
      <c r="U35" s="1561">
        <f t="shared" si="13"/>
        <v>100</v>
      </c>
      <c r="V35" s="1560" t="s">
        <v>8</v>
      </c>
      <c r="W35" s="1561">
        <f t="shared" si="14"/>
        <v>100</v>
      </c>
      <c r="X35" s="1554"/>
      <c r="Y35" s="341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9"/>
      <c r="Q36" s="1559" t="str">
        <f t="shared" si="11"/>
        <v>公共部分装修</v>
      </c>
      <c r="R36" s="1560" t="s">
        <v>8</v>
      </c>
      <c r="S36" s="1561">
        <f t="shared" si="12"/>
        <v>100</v>
      </c>
      <c r="T36" s="1560" t="s">
        <v>8</v>
      </c>
      <c r="U36" s="1561">
        <f t="shared" si="13"/>
        <v>100</v>
      </c>
      <c r="V36" s="1560" t="s">
        <v>8</v>
      </c>
      <c r="W36" s="1561">
        <f t="shared" si="14"/>
        <v>100</v>
      </c>
      <c r="X36" s="1554"/>
      <c r="Y36" s="341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9"/>
      <c r="Q37" s="1559" t="str">
        <f t="shared" si="11"/>
        <v>成新度</v>
      </c>
      <c r="R37" s="1560" t="s">
        <v>8</v>
      </c>
      <c r="S37" s="1561" t="e">
        <f t="shared" si="12"/>
        <v>#N/A</v>
      </c>
      <c r="T37" s="1560" t="s">
        <v>8</v>
      </c>
      <c r="U37" s="1561" t="e">
        <f t="shared" si="13"/>
        <v>#N/A</v>
      </c>
      <c r="V37" s="1560" t="s">
        <v>8</v>
      </c>
      <c r="W37" s="1561" t="e">
        <f t="shared" si="14"/>
        <v>#N/A</v>
      </c>
      <c r="X37" s="1554"/>
      <c r="Y37" s="341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9"/>
      <c r="Q38" s="1147" t="str">
        <f t="shared" si="11"/>
        <v>写字楼等级</v>
      </c>
      <c r="R38" s="1555" t="s">
        <v>8</v>
      </c>
      <c r="S38" s="1556">
        <f t="shared" si="12"/>
        <v>100</v>
      </c>
      <c r="T38" s="1555" t="s">
        <v>8</v>
      </c>
      <c r="U38" s="1556">
        <f t="shared" si="13"/>
        <v>100</v>
      </c>
      <c r="V38" s="1555" t="s">
        <v>8</v>
      </c>
      <c r="W38" s="1556">
        <f t="shared" si="14"/>
        <v>100</v>
      </c>
      <c r="X38" s="1557"/>
      <c r="Y38" s="341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9" t="s">
        <v>550</v>
      </c>
      <c r="Q39" s="1559" t="str">
        <f t="shared" si="11"/>
        <v>物业管理</v>
      </c>
      <c r="R39" s="1560" t="s">
        <v>8</v>
      </c>
      <c r="S39" s="1561">
        <f t="shared" si="12"/>
        <v>100</v>
      </c>
      <c r="T39" s="1560" t="s">
        <v>8</v>
      </c>
      <c r="U39" s="1561">
        <f t="shared" si="13"/>
        <v>100</v>
      </c>
      <c r="V39" s="1560" t="s">
        <v>8</v>
      </c>
      <c r="W39" s="1561">
        <f t="shared" si="14"/>
        <v>100</v>
      </c>
      <c r="X39" s="1554"/>
      <c r="Y39" s="341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9"/>
      <c r="Q40" s="1559" t="str">
        <f t="shared" si="11"/>
        <v>市政基础设施</v>
      </c>
      <c r="R40" s="1560" t="s">
        <v>8</v>
      </c>
      <c r="S40" s="1561">
        <f t="shared" si="12"/>
        <v>100</v>
      </c>
      <c r="T40" s="1560" t="s">
        <v>8</v>
      </c>
      <c r="U40" s="1561">
        <f t="shared" si="13"/>
        <v>100</v>
      </c>
      <c r="V40" s="1560" t="s">
        <v>8</v>
      </c>
      <c r="W40" s="1561">
        <f t="shared" si="14"/>
        <v>100</v>
      </c>
      <c r="X40" s="1554"/>
      <c r="Y40" s="341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9"/>
      <c r="Q41" s="1559" t="str">
        <f t="shared" si="11"/>
        <v>层高</v>
      </c>
      <c r="R41" s="1560" t="s">
        <v>8</v>
      </c>
      <c r="S41" s="1561">
        <f t="shared" si="12"/>
        <v>100</v>
      </c>
      <c r="T41" s="1560" t="s">
        <v>8</v>
      </c>
      <c r="U41" s="1561">
        <f t="shared" si="13"/>
        <v>100</v>
      </c>
      <c r="V41" s="1560" t="s">
        <v>8</v>
      </c>
      <c r="W41" s="1561">
        <f t="shared" si="14"/>
        <v>100</v>
      </c>
      <c r="X41" s="1554"/>
      <c r="Y41" s="341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9"/>
      <c r="Q42" s="1591" t="str">
        <f t="shared" si="11"/>
        <v>单套建筑面积</v>
      </c>
      <c r="R42" s="1564" t="s">
        <v>8</v>
      </c>
      <c r="S42" s="1565">
        <f t="shared" si="12"/>
        <v>100</v>
      </c>
      <c r="T42" s="1564" t="s">
        <v>8</v>
      </c>
      <c r="U42" s="1565">
        <f t="shared" si="13"/>
        <v>100</v>
      </c>
      <c r="V42" s="1564" t="s">
        <v>8</v>
      </c>
      <c r="W42" s="1565">
        <f t="shared" si="14"/>
        <v>100</v>
      </c>
      <c r="X42" s="1566"/>
      <c r="Y42" s="341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9"/>
      <c r="Q43" s="1559" t="str">
        <f t="shared" si="11"/>
        <v>内部装修</v>
      </c>
      <c r="R43" s="1560" t="s">
        <v>8</v>
      </c>
      <c r="S43" s="1561">
        <f t="shared" si="12"/>
        <v>100</v>
      </c>
      <c r="T43" s="1560" t="s">
        <v>8</v>
      </c>
      <c r="U43" s="1561">
        <f t="shared" si="13"/>
        <v>100</v>
      </c>
      <c r="V43" s="1560" t="s">
        <v>8</v>
      </c>
      <c r="W43" s="1561">
        <f t="shared" si="14"/>
        <v>100</v>
      </c>
      <c r="X43" s="1554"/>
      <c r="Y43" s="341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9"/>
      <c r="Q44" s="1559" t="str">
        <f t="shared" si="11"/>
        <v>内部装修维护情况</v>
      </c>
      <c r="R44" s="1560" t="s">
        <v>8</v>
      </c>
      <c r="S44" s="1561">
        <f t="shared" si="12"/>
        <v>100</v>
      </c>
      <c r="T44" s="1560" t="s">
        <v>8</v>
      </c>
      <c r="U44" s="1561">
        <f t="shared" si="13"/>
        <v>100</v>
      </c>
      <c r="V44" s="1560" t="s">
        <v>8</v>
      </c>
      <c r="W44" s="1561">
        <f t="shared" si="14"/>
        <v>100</v>
      </c>
      <c r="X44" s="1554"/>
      <c r="Y44" s="341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9"/>
      <c r="Q45" s="1147">
        <f t="shared" si="11"/>
        <v>111</v>
      </c>
      <c r="R45" s="1555" t="s">
        <v>8</v>
      </c>
      <c r="S45" s="1556">
        <f t="shared" si="12"/>
        <v>100</v>
      </c>
      <c r="T45" s="1555" t="s">
        <v>8</v>
      </c>
      <c r="U45" s="1556">
        <f t="shared" si="13"/>
        <v>100</v>
      </c>
      <c r="V45" s="1555" t="s">
        <v>8</v>
      </c>
      <c r="W45" s="1556">
        <f t="shared" si="14"/>
        <v>100</v>
      </c>
      <c r="X45" s="1557"/>
      <c r="Y45" s="341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9"/>
      <c r="Q46" s="1559">
        <f t="shared" si="11"/>
        <v>111</v>
      </c>
      <c r="R46" s="1560" t="s">
        <v>8</v>
      </c>
      <c r="S46" s="1561">
        <f t="shared" si="12"/>
        <v>100</v>
      </c>
      <c r="T46" s="1560" t="s">
        <v>8</v>
      </c>
      <c r="U46" s="1561">
        <f t="shared" si="13"/>
        <v>100</v>
      </c>
      <c r="V46" s="1560" t="s">
        <v>8</v>
      </c>
      <c r="W46" s="1561">
        <f t="shared" si="14"/>
        <v>100</v>
      </c>
      <c r="X46" s="1554"/>
      <c r="Y46" s="341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6" t="str">
        <f>A48</f>
        <v>成交单价（元/平方米）</v>
      </c>
      <c r="Q48" s="3414"/>
      <c r="R48" s="3518">
        <f>E48</f>
        <v>0</v>
      </c>
      <c r="S48" s="3518"/>
      <c r="T48" s="3518">
        <f>G48</f>
        <v>0</v>
      </c>
      <c r="U48" s="3518"/>
      <c r="V48" s="3518">
        <f>I48</f>
        <v>0</v>
      </c>
      <c r="W48" s="351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6" t="str">
        <f>A49</f>
        <v>比较价格（元/平方米）</v>
      </c>
      <c r="Q49" s="3414"/>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3" t="str">
        <f>A50</f>
        <v>估价对象XX用房的比较价格（楼面单价，元/平方米）</v>
      </c>
      <c r="Q50" s="3436"/>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0" t="s">
        <v>522</v>
      </c>
      <c r="D4" s="3421"/>
      <c r="E4" s="3444" t="s">
        <v>523</v>
      </c>
      <c r="F4" s="3445"/>
      <c r="G4" s="3420" t="s">
        <v>524</v>
      </c>
      <c r="H4" s="3421"/>
      <c r="I4" s="3420" t="s">
        <v>525</v>
      </c>
      <c r="J4" s="3421"/>
      <c r="K4" s="514" t="s">
        <v>526</v>
      </c>
      <c r="L4" s="2119"/>
      <c r="M4" s="2120"/>
      <c r="N4" s="2120"/>
      <c r="O4" s="2120"/>
      <c r="P4" s="3422" t="s">
        <v>527</v>
      </c>
      <c r="Q4" s="3423"/>
      <c r="R4" s="3408" t="s">
        <v>523</v>
      </c>
      <c r="S4" s="3409"/>
      <c r="T4" s="3408" t="s">
        <v>524</v>
      </c>
      <c r="U4" s="3409"/>
      <c r="V4" s="3428" t="s">
        <v>525</v>
      </c>
      <c r="W4" s="3428"/>
      <c r="X4" s="1554"/>
      <c r="Y4" s="3408" t="s">
        <v>527</v>
      </c>
      <c r="Z4" s="3409"/>
      <c r="AA4" s="3403" t="s">
        <v>523</v>
      </c>
      <c r="AB4" s="3404" t="s">
        <v>524</v>
      </c>
      <c r="AC4" s="3403" t="s">
        <v>525</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6" t="s">
        <v>530</v>
      </c>
      <c r="Q7" s="3415"/>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4" t="s">
        <v>535</v>
      </c>
      <c r="Q9" s="1147" t="str">
        <f t="shared" ref="Q9:Q15" si="6">B9</f>
        <v>用途</v>
      </c>
      <c r="R9" s="1555" t="s">
        <v>8</v>
      </c>
      <c r="S9" s="1556">
        <f t="shared" si="0"/>
        <v>100</v>
      </c>
      <c r="T9" s="1555" t="s">
        <v>8</v>
      </c>
      <c r="U9" s="1556">
        <f t="shared" si="1"/>
        <v>100</v>
      </c>
      <c r="V9" s="1555" t="s">
        <v>8</v>
      </c>
      <c r="W9" s="1556">
        <f t="shared" si="2"/>
        <v>100</v>
      </c>
      <c r="X9" s="1557"/>
      <c r="Y9" s="337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4"/>
      <c r="Q11" s="1147" t="str">
        <f t="shared" si="6"/>
        <v>容积率</v>
      </c>
      <c r="R11" s="1555" t="s">
        <v>8</v>
      </c>
      <c r="S11" s="1556" t="e">
        <f t="shared" si="0"/>
        <v>#N/A</v>
      </c>
      <c r="T11" s="1555" t="s">
        <v>8</v>
      </c>
      <c r="U11" s="1556" t="e">
        <f t="shared" si="1"/>
        <v>#N/A</v>
      </c>
      <c r="V11" s="1555" t="s">
        <v>8</v>
      </c>
      <c r="W11" s="1556" t="e">
        <f t="shared" si="2"/>
        <v>#N/A</v>
      </c>
      <c r="X11" s="1557"/>
      <c r="Y11" s="337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4"/>
      <c r="Q14" s="1147">
        <f t="shared" si="6"/>
        <v>111</v>
      </c>
      <c r="R14" s="1555" t="s">
        <v>8</v>
      </c>
      <c r="S14" s="1556">
        <f t="shared" si="0"/>
        <v>100</v>
      </c>
      <c r="T14" s="1555" t="s">
        <v>8</v>
      </c>
      <c r="U14" s="1556">
        <f t="shared" si="1"/>
        <v>100</v>
      </c>
      <c r="V14" s="1555" t="s">
        <v>8</v>
      </c>
      <c r="W14" s="1556">
        <f t="shared" si="2"/>
        <v>100</v>
      </c>
      <c r="X14" s="1557"/>
      <c r="Y14" s="337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6" t="s">
        <v>540</v>
      </c>
      <c r="Q15" s="1559" t="str">
        <f t="shared" si="6"/>
        <v>产业集聚程度</v>
      </c>
      <c r="R15" s="1560" t="s">
        <v>8</v>
      </c>
      <c r="S15" s="1561">
        <f t="shared" si="0"/>
        <v>100</v>
      </c>
      <c r="T15" s="1560" t="s">
        <v>8</v>
      </c>
      <c r="U15" s="1561">
        <f t="shared" si="1"/>
        <v>100</v>
      </c>
      <c r="V15" s="1560" t="s">
        <v>8</v>
      </c>
      <c r="W15" s="1561">
        <f t="shared" si="2"/>
        <v>100</v>
      </c>
      <c r="X15" s="1554"/>
      <c r="Y15" s="341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7"/>
      <c r="Q16" s="1559"/>
      <c r="R16" s="1560"/>
      <c r="S16" s="1561"/>
      <c r="T16" s="1560"/>
      <c r="U16" s="1561"/>
      <c r="V16" s="1560"/>
      <c r="W16" s="1561"/>
      <c r="X16" s="1554"/>
      <c r="Y16" s="341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7"/>
      <c r="Q17" s="1559" t="str">
        <f>B17</f>
        <v>交通便捷度</v>
      </c>
      <c r="R17" s="1560" t="s">
        <v>8</v>
      </c>
      <c r="S17" s="1561">
        <f>F17</f>
        <v>100</v>
      </c>
      <c r="T17" s="1560" t="s">
        <v>8</v>
      </c>
      <c r="U17" s="1561">
        <f>H17</f>
        <v>100</v>
      </c>
      <c r="V17" s="1560" t="s">
        <v>8</v>
      </c>
      <c r="W17" s="1561">
        <f>J17</f>
        <v>100</v>
      </c>
      <c r="X17" s="1554"/>
      <c r="Y17" s="341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7"/>
      <c r="Q18" s="1559"/>
      <c r="R18" s="1560"/>
      <c r="S18" s="1561"/>
      <c r="T18" s="1560"/>
      <c r="U18" s="1561"/>
      <c r="V18" s="1560"/>
      <c r="W18" s="1561"/>
      <c r="X18" s="1554"/>
      <c r="Y18" s="341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7"/>
      <c r="Q19" s="1559" t="str">
        <f>B19</f>
        <v>公共配套设施</v>
      </c>
      <c r="R19" s="1560" t="s">
        <v>8</v>
      </c>
      <c r="S19" s="1561">
        <f>F19</f>
        <v>100</v>
      </c>
      <c r="T19" s="1560" t="s">
        <v>8</v>
      </c>
      <c r="U19" s="1561">
        <f>H19</f>
        <v>100</v>
      </c>
      <c r="V19" s="1560" t="s">
        <v>8</v>
      </c>
      <c r="W19" s="1561">
        <f>J19</f>
        <v>100</v>
      </c>
      <c r="X19" s="1554"/>
      <c r="Y19" s="341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7"/>
      <c r="Q20" s="1559"/>
      <c r="R20" s="1560"/>
      <c r="S20" s="1561"/>
      <c r="T20" s="1560"/>
      <c r="U20" s="1561"/>
      <c r="V20" s="1560"/>
      <c r="W20" s="1561"/>
      <c r="X20" s="1554"/>
      <c r="Y20" s="341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7"/>
      <c r="Q21" s="2544" t="str">
        <f>B21</f>
        <v>基础设施水平</v>
      </c>
      <c r="R21" s="1560" t="s">
        <v>8</v>
      </c>
      <c r="S21" s="1561">
        <f>F21</f>
        <v>100</v>
      </c>
      <c r="T21" s="1560" t="s">
        <v>8</v>
      </c>
      <c r="U21" s="1561">
        <f>H21</f>
        <v>100</v>
      </c>
      <c r="V21" s="1560" t="s">
        <v>8</v>
      </c>
      <c r="W21" s="1561">
        <f>J21</f>
        <v>100</v>
      </c>
      <c r="X21" s="2546"/>
      <c r="Y21" s="341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7"/>
      <c r="Q22" s="2544"/>
      <c r="R22" s="1560"/>
      <c r="S22" s="1561"/>
      <c r="T22" s="1560"/>
      <c r="U22" s="1561"/>
      <c r="V22" s="1560"/>
      <c r="W22" s="1561"/>
      <c r="X22" s="2546"/>
      <c r="Y22" s="341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7"/>
      <c r="Q23" s="1559" t="str">
        <f>B23</f>
        <v>环境质量</v>
      </c>
      <c r="R23" s="1560" t="s">
        <v>8</v>
      </c>
      <c r="S23" s="1561">
        <f>F23</f>
        <v>100</v>
      </c>
      <c r="T23" s="1560" t="s">
        <v>8</v>
      </c>
      <c r="U23" s="1561">
        <f>H23</f>
        <v>100</v>
      </c>
      <c r="V23" s="1560" t="s">
        <v>8</v>
      </c>
      <c r="W23" s="1561">
        <f>J23</f>
        <v>100</v>
      </c>
      <c r="X23" s="1554"/>
      <c r="Y23" s="341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7"/>
      <c r="Q24" s="1559"/>
      <c r="R24" s="1560"/>
      <c r="S24" s="1561"/>
      <c r="T24" s="1560"/>
      <c r="U24" s="1561"/>
      <c r="V24" s="1560"/>
      <c r="W24" s="1561"/>
      <c r="X24" s="1554"/>
      <c r="Y24" s="341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7"/>
      <c r="Q25" s="1559">
        <f>B25</f>
        <v>111</v>
      </c>
      <c r="R25" s="1560" t="s">
        <v>8</v>
      </c>
      <c r="S25" s="1561">
        <f>F25</f>
        <v>100</v>
      </c>
      <c r="T25" s="1560" t="s">
        <v>8</v>
      </c>
      <c r="U25" s="1561">
        <f>H25</f>
        <v>100</v>
      </c>
      <c r="V25" s="1560" t="s">
        <v>8</v>
      </c>
      <c r="W25" s="1561">
        <f>J25</f>
        <v>100</v>
      </c>
      <c r="X25" s="1554"/>
      <c r="Y25" s="341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7"/>
      <c r="Q26" s="1559">
        <f t="shared" ref="Q26:Q40" si="11">B26</f>
        <v>111</v>
      </c>
      <c r="R26" s="1560" t="s">
        <v>8</v>
      </c>
      <c r="S26" s="1561">
        <f>F26</f>
        <v>100</v>
      </c>
      <c r="T26" s="1560" t="s">
        <v>8</v>
      </c>
      <c r="U26" s="1561">
        <f>H26</f>
        <v>100</v>
      </c>
      <c r="V26" s="1560" t="s">
        <v>8</v>
      </c>
      <c r="W26" s="1561">
        <f>J26</f>
        <v>100</v>
      </c>
      <c r="X26" s="1554"/>
      <c r="Y26" s="341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7"/>
      <c r="Q27" s="1147">
        <f t="shared" si="11"/>
        <v>111</v>
      </c>
      <c r="R27" s="1555" t="s">
        <v>8</v>
      </c>
      <c r="S27" s="1556">
        <f>F27</f>
        <v>100</v>
      </c>
      <c r="T27" s="1555" t="s">
        <v>8</v>
      </c>
      <c r="U27" s="1556">
        <f>H27</f>
        <v>100</v>
      </c>
      <c r="V27" s="1555" t="s">
        <v>8</v>
      </c>
      <c r="W27" s="1556">
        <f>J27</f>
        <v>100</v>
      </c>
      <c r="X27" s="1557"/>
      <c r="Y27" s="341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7"/>
      <c r="Q28" s="1559">
        <f t="shared" si="11"/>
        <v>111</v>
      </c>
      <c r="R28" s="1560" t="s">
        <v>8</v>
      </c>
      <c r="S28" s="1561">
        <f t="shared" ref="S28:S40" si="12">F28</f>
        <v>100</v>
      </c>
      <c r="T28" s="1560" t="s">
        <v>8</v>
      </c>
      <c r="U28" s="1561">
        <f t="shared" ref="U28:U40" si="13">H28</f>
        <v>100</v>
      </c>
      <c r="V28" s="1560" t="s">
        <v>8</v>
      </c>
      <c r="W28" s="1561">
        <f t="shared" ref="W28:W40" si="14">J28</f>
        <v>100</v>
      </c>
      <c r="X28" s="1554"/>
      <c r="Y28" s="341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8" t="s">
        <v>550</v>
      </c>
      <c r="Q29" s="1559" t="str">
        <f t="shared" si="11"/>
        <v>建筑类型</v>
      </c>
      <c r="R29" s="1560" t="s">
        <v>8</v>
      </c>
      <c r="S29" s="1561">
        <f t="shared" si="12"/>
        <v>100</v>
      </c>
      <c r="T29" s="1560" t="s">
        <v>8</v>
      </c>
      <c r="U29" s="1561">
        <f t="shared" si="13"/>
        <v>100</v>
      </c>
      <c r="V29" s="1560" t="s">
        <v>8</v>
      </c>
      <c r="W29" s="1561">
        <f t="shared" si="14"/>
        <v>100</v>
      </c>
      <c r="X29" s="1554"/>
      <c r="Y29" s="341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9"/>
      <c r="Q30" s="1591" t="str">
        <f t="shared" si="11"/>
        <v>项目建筑规模</v>
      </c>
      <c r="R30" s="1564" t="s">
        <v>8</v>
      </c>
      <c r="S30" s="1565" t="e">
        <f t="shared" si="12"/>
        <v>#N/A</v>
      </c>
      <c r="T30" s="1564" t="s">
        <v>8</v>
      </c>
      <c r="U30" s="1565" t="e">
        <f t="shared" si="13"/>
        <v>#N/A</v>
      </c>
      <c r="V30" s="1564" t="s">
        <v>8</v>
      </c>
      <c r="W30" s="1565" t="e">
        <f t="shared" si="14"/>
        <v>#N/A</v>
      </c>
      <c r="X30" s="1566"/>
      <c r="Y30" s="341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9"/>
      <c r="Q31" s="1559" t="str">
        <f t="shared" si="11"/>
        <v>建筑结构</v>
      </c>
      <c r="R31" s="1560" t="s">
        <v>8</v>
      </c>
      <c r="S31" s="1561">
        <f t="shared" si="12"/>
        <v>100</v>
      </c>
      <c r="T31" s="1560" t="s">
        <v>8</v>
      </c>
      <c r="U31" s="1561">
        <f t="shared" si="13"/>
        <v>100</v>
      </c>
      <c r="V31" s="1560" t="s">
        <v>8</v>
      </c>
      <c r="W31" s="1561">
        <f t="shared" si="14"/>
        <v>100</v>
      </c>
      <c r="X31" s="1554"/>
      <c r="Y31" s="341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9"/>
      <c r="Q32" s="1559" t="str">
        <f t="shared" si="11"/>
        <v>公共部分装修</v>
      </c>
      <c r="R32" s="1560" t="s">
        <v>8</v>
      </c>
      <c r="S32" s="1561">
        <f t="shared" si="12"/>
        <v>100</v>
      </c>
      <c r="T32" s="1560" t="s">
        <v>8</v>
      </c>
      <c r="U32" s="1561">
        <f t="shared" si="13"/>
        <v>100</v>
      </c>
      <c r="V32" s="1560" t="s">
        <v>8</v>
      </c>
      <c r="W32" s="1561">
        <f t="shared" si="14"/>
        <v>100</v>
      </c>
      <c r="X32" s="1554"/>
      <c r="Y32" s="341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9"/>
      <c r="Q33" s="1559" t="str">
        <f t="shared" si="11"/>
        <v>成新度</v>
      </c>
      <c r="R33" s="1560" t="s">
        <v>8</v>
      </c>
      <c r="S33" s="1561" t="e">
        <f t="shared" si="12"/>
        <v>#N/A</v>
      </c>
      <c r="T33" s="1560" t="s">
        <v>8</v>
      </c>
      <c r="U33" s="1561" t="e">
        <f t="shared" si="13"/>
        <v>#N/A</v>
      </c>
      <c r="V33" s="1560" t="s">
        <v>8</v>
      </c>
      <c r="W33" s="1561" t="e">
        <f t="shared" si="14"/>
        <v>#N/A</v>
      </c>
      <c r="X33" s="1554"/>
      <c r="Y33" s="341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9"/>
      <c r="Q34" s="1147" t="str">
        <f t="shared" si="11"/>
        <v>物业管理</v>
      </c>
      <c r="R34" s="1555" t="s">
        <v>8</v>
      </c>
      <c r="S34" s="1556">
        <f t="shared" si="12"/>
        <v>100</v>
      </c>
      <c r="T34" s="1555" t="s">
        <v>8</v>
      </c>
      <c r="U34" s="1556">
        <f t="shared" si="13"/>
        <v>100</v>
      </c>
      <c r="V34" s="1555" t="s">
        <v>8</v>
      </c>
      <c r="W34" s="1556">
        <f t="shared" si="14"/>
        <v>100</v>
      </c>
      <c r="X34" s="1557"/>
      <c r="Y34" s="341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9" t="s">
        <v>550</v>
      </c>
      <c r="Q35" s="1559" t="str">
        <f t="shared" si="11"/>
        <v>市政基础设施</v>
      </c>
      <c r="R35" s="1560" t="s">
        <v>8</v>
      </c>
      <c r="S35" s="1561">
        <f t="shared" si="12"/>
        <v>100</v>
      </c>
      <c r="T35" s="1560" t="s">
        <v>8</v>
      </c>
      <c r="U35" s="1561">
        <f t="shared" si="13"/>
        <v>100</v>
      </c>
      <c r="V35" s="1560" t="s">
        <v>8</v>
      </c>
      <c r="W35" s="1561">
        <f t="shared" si="14"/>
        <v>100</v>
      </c>
      <c r="X35" s="1554"/>
      <c r="Y35" s="341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9"/>
      <c r="Q36" s="1559" t="str">
        <f t="shared" si="11"/>
        <v>内部装修</v>
      </c>
      <c r="R36" s="1560" t="s">
        <v>8</v>
      </c>
      <c r="S36" s="1561">
        <f t="shared" si="12"/>
        <v>100</v>
      </c>
      <c r="T36" s="1560" t="s">
        <v>8</v>
      </c>
      <c r="U36" s="1561">
        <f t="shared" si="13"/>
        <v>100</v>
      </c>
      <c r="V36" s="1560" t="s">
        <v>8</v>
      </c>
      <c r="W36" s="1561">
        <f t="shared" si="14"/>
        <v>100</v>
      </c>
      <c r="X36" s="1554"/>
      <c r="Y36" s="341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9"/>
      <c r="Q37" s="1559" t="str">
        <f t="shared" si="11"/>
        <v>内部装修状况</v>
      </c>
      <c r="R37" s="1560" t="s">
        <v>8</v>
      </c>
      <c r="S37" s="1561">
        <f t="shared" si="12"/>
        <v>100</v>
      </c>
      <c r="T37" s="1560" t="s">
        <v>8</v>
      </c>
      <c r="U37" s="1561">
        <f t="shared" si="13"/>
        <v>100</v>
      </c>
      <c r="V37" s="1560" t="s">
        <v>8</v>
      </c>
      <c r="W37" s="1561">
        <f t="shared" si="14"/>
        <v>100</v>
      </c>
      <c r="X37" s="1554"/>
      <c r="Y37" s="341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9"/>
      <c r="Q38" s="1591">
        <f t="shared" si="11"/>
        <v>111</v>
      </c>
      <c r="R38" s="1564" t="s">
        <v>8</v>
      </c>
      <c r="S38" s="1565">
        <f t="shared" si="12"/>
        <v>100</v>
      </c>
      <c r="T38" s="1564" t="s">
        <v>8</v>
      </c>
      <c r="U38" s="1565">
        <f t="shared" si="13"/>
        <v>100</v>
      </c>
      <c r="V38" s="1564" t="s">
        <v>8</v>
      </c>
      <c r="W38" s="1565">
        <f t="shared" si="14"/>
        <v>100</v>
      </c>
      <c r="X38" s="1566"/>
      <c r="Y38" s="341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9"/>
      <c r="Q39" s="1559">
        <f t="shared" si="11"/>
        <v>111</v>
      </c>
      <c r="R39" s="1560" t="s">
        <v>8</v>
      </c>
      <c r="S39" s="1561">
        <f t="shared" si="12"/>
        <v>100</v>
      </c>
      <c r="T39" s="1560" t="s">
        <v>8</v>
      </c>
      <c r="U39" s="1561">
        <f t="shared" si="13"/>
        <v>100</v>
      </c>
      <c r="V39" s="1560" t="s">
        <v>8</v>
      </c>
      <c r="W39" s="1561">
        <f t="shared" si="14"/>
        <v>100</v>
      </c>
      <c r="X39" s="1554"/>
      <c r="Y39" s="341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4" t="str">
        <f>A41</f>
        <v>成交单价（元/平方米）</v>
      </c>
      <c r="Q41" s="3414"/>
      <c r="R41" s="3518">
        <f>E41</f>
        <v>0</v>
      </c>
      <c r="S41" s="3518"/>
      <c r="T41" s="3518">
        <f>G41</f>
        <v>0</v>
      </c>
      <c r="U41" s="3518"/>
      <c r="V41" s="3518">
        <f>I41</f>
        <v>0</v>
      </c>
      <c r="W41" s="351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4" t="str">
        <f>A42</f>
        <v>比较价格（元/平方米）</v>
      </c>
      <c r="Q42" s="3414"/>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5" t="str">
        <f>A43</f>
        <v>估价对象XX用房的比较价格（楼面单价，元/平方米）</v>
      </c>
      <c r="Q43" s="3436"/>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20" t="s">
        <v>799</v>
      </c>
      <c r="F4" s="3421"/>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31" t="s">
        <v>2932</v>
      </c>
      <c r="F5" s="3432"/>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33" t="s">
        <v>2935</v>
      </c>
      <c r="F6" s="3434"/>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7"/>
      <c r="Q24" s="1559">
        <f t="shared" ref="Q24:Q36"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9"/>
      <c r="Q27" s="1591" t="str">
        <f t="shared" si="11"/>
        <v>项目停车位配比</v>
      </c>
      <c r="R27" s="1564" t="s">
        <v>8</v>
      </c>
      <c r="S27" s="1565">
        <f t="shared" si="12"/>
        <v>100</v>
      </c>
      <c r="T27" s="1564" t="s">
        <v>8</v>
      </c>
      <c r="U27" s="1565">
        <f t="shared" si="13"/>
        <v>100</v>
      </c>
      <c r="V27" s="1564" t="s">
        <v>8</v>
      </c>
      <c r="W27" s="1565">
        <f t="shared" si="14"/>
        <v>100</v>
      </c>
      <c r="X27" s="1566"/>
      <c r="Y27" s="341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9"/>
      <c r="Q28" s="1559" t="str">
        <f t="shared" si="11"/>
        <v>公共部分装修</v>
      </c>
      <c r="R28" s="1560" t="s">
        <v>8</v>
      </c>
      <c r="S28" s="1561">
        <f t="shared" si="12"/>
        <v>100</v>
      </c>
      <c r="T28" s="1560" t="s">
        <v>8</v>
      </c>
      <c r="U28" s="1561">
        <f t="shared" si="13"/>
        <v>100</v>
      </c>
      <c r="V28" s="1560" t="s">
        <v>8</v>
      </c>
      <c r="W28" s="1561">
        <f t="shared" si="14"/>
        <v>100</v>
      </c>
      <c r="X28" s="1554"/>
      <c r="Y28" s="341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9"/>
      <c r="Q29" s="1559" t="str">
        <f t="shared" si="11"/>
        <v>成新率</v>
      </c>
      <c r="R29" s="1560" t="s">
        <v>8</v>
      </c>
      <c r="S29" s="1561" t="e">
        <f t="shared" si="12"/>
        <v>#N/A</v>
      </c>
      <c r="T29" s="1560" t="s">
        <v>8</v>
      </c>
      <c r="U29" s="1561" t="e">
        <f t="shared" si="13"/>
        <v>#N/A</v>
      </c>
      <c r="V29" s="1560" t="s">
        <v>8</v>
      </c>
      <c r="W29" s="1561" t="e">
        <f t="shared" si="14"/>
        <v>#N/A</v>
      </c>
      <c r="X29" s="1554"/>
      <c r="Y29" s="341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9"/>
      <c r="Q30" s="1559" t="str">
        <f t="shared" si="11"/>
        <v>物业等级</v>
      </c>
      <c r="R30" s="1560" t="s">
        <v>8</v>
      </c>
      <c r="S30" s="1561">
        <f t="shared" si="12"/>
        <v>100</v>
      </c>
      <c r="T30" s="1560" t="s">
        <v>8</v>
      </c>
      <c r="U30" s="1561">
        <f t="shared" si="13"/>
        <v>100</v>
      </c>
      <c r="V30" s="1560" t="s">
        <v>8</v>
      </c>
      <c r="W30" s="1561">
        <f t="shared" si="14"/>
        <v>100</v>
      </c>
      <c r="X30" s="1554"/>
      <c r="Y30" s="341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9"/>
      <c r="Q31" s="1147" t="str">
        <f t="shared" si="11"/>
        <v>停车位面积</v>
      </c>
      <c r="R31" s="1555" t="s">
        <v>8</v>
      </c>
      <c r="S31" s="1556" t="e">
        <f t="shared" si="12"/>
        <v>#N/A</v>
      </c>
      <c r="T31" s="1555" t="s">
        <v>8</v>
      </c>
      <c r="U31" s="1556" t="e">
        <f t="shared" si="13"/>
        <v>#N/A</v>
      </c>
      <c r="V31" s="1555" t="s">
        <v>8</v>
      </c>
      <c r="W31" s="1556" t="e">
        <f t="shared" si="14"/>
        <v>#N/A</v>
      </c>
      <c r="X31" s="1557"/>
      <c r="Y31" s="341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9" t="s">
        <v>550</v>
      </c>
      <c r="Q32" s="1559" t="str">
        <f t="shared" si="11"/>
        <v>车位类型</v>
      </c>
      <c r="R32" s="1560" t="s">
        <v>8</v>
      </c>
      <c r="S32" s="1561">
        <f t="shared" si="12"/>
        <v>100</v>
      </c>
      <c r="T32" s="1560" t="s">
        <v>8</v>
      </c>
      <c r="U32" s="1561">
        <f t="shared" si="13"/>
        <v>100</v>
      </c>
      <c r="V32" s="1560" t="s">
        <v>8</v>
      </c>
      <c r="W32" s="1561">
        <f t="shared" si="14"/>
        <v>100</v>
      </c>
      <c r="X32" s="1554"/>
      <c r="Y32" s="341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9"/>
      <c r="Q33" s="1559" t="str">
        <f t="shared" si="11"/>
        <v>是否直接入户</v>
      </c>
      <c r="R33" s="1560" t="s">
        <v>8</v>
      </c>
      <c r="S33" s="1561">
        <f t="shared" si="12"/>
        <v>100</v>
      </c>
      <c r="T33" s="1560" t="s">
        <v>8</v>
      </c>
      <c r="U33" s="1561">
        <f t="shared" si="13"/>
        <v>100</v>
      </c>
      <c r="V33" s="1560" t="s">
        <v>8</v>
      </c>
      <c r="W33" s="1561">
        <f t="shared" si="14"/>
        <v>100</v>
      </c>
      <c r="X33" s="1554"/>
      <c r="Y33" s="341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9"/>
      <c r="Q35" s="1591">
        <f t="shared" si="11"/>
        <v>111</v>
      </c>
      <c r="R35" s="1564" t="s">
        <v>8</v>
      </c>
      <c r="S35" s="1565">
        <f t="shared" si="12"/>
        <v>100</v>
      </c>
      <c r="T35" s="1564" t="s">
        <v>8</v>
      </c>
      <c r="U35" s="1565">
        <f t="shared" si="13"/>
        <v>100</v>
      </c>
      <c r="V35" s="1564" t="s">
        <v>8</v>
      </c>
      <c r="W35" s="1565">
        <f t="shared" si="14"/>
        <v>100</v>
      </c>
      <c r="X35" s="1566"/>
      <c r="Y35" s="341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9"/>
      <c r="Q36" s="1559">
        <f t="shared" si="11"/>
        <v>111</v>
      </c>
      <c r="R36" s="1560" t="s">
        <v>8</v>
      </c>
      <c r="S36" s="1561">
        <f t="shared" si="12"/>
        <v>100</v>
      </c>
      <c r="T36" s="1560" t="s">
        <v>8</v>
      </c>
      <c r="U36" s="1561">
        <f t="shared" si="13"/>
        <v>100</v>
      </c>
      <c r="V36" s="1560" t="s">
        <v>8</v>
      </c>
      <c r="W36" s="1561">
        <f t="shared" si="14"/>
        <v>100</v>
      </c>
      <c r="X36" s="1554"/>
      <c r="Y36" s="341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4" t="str">
        <f>A37</f>
        <v>成交单价</v>
      </c>
      <c r="Q37" s="3414"/>
      <c r="R37" s="3518">
        <f>E37</f>
        <v>0</v>
      </c>
      <c r="S37" s="3518"/>
      <c r="T37" s="3518">
        <f>G37</f>
        <v>0</v>
      </c>
      <c r="U37" s="3518"/>
      <c r="V37" s="3518">
        <f>I37</f>
        <v>0</v>
      </c>
      <c r="W37" s="351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4" t="str">
        <f>A38</f>
        <v>比较价格（元/平方米）</v>
      </c>
      <c r="Q38" s="3414"/>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5" t="str">
        <f>A39</f>
        <v>估价对象XX用房的比较价格（楼面单价，元/平方米）</v>
      </c>
      <c r="Q39" s="3436"/>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0" t="s">
        <v>798</v>
      </c>
      <c r="D4" s="3421"/>
      <c r="E4" s="3444" t="s">
        <v>799</v>
      </c>
      <c r="F4" s="3445"/>
      <c r="G4" s="3420" t="s">
        <v>800</v>
      </c>
      <c r="H4" s="3421"/>
      <c r="I4" s="3420" t="s">
        <v>801</v>
      </c>
      <c r="J4" s="3421"/>
      <c r="K4" s="514" t="s">
        <v>802</v>
      </c>
      <c r="L4" s="2119"/>
      <c r="M4" s="2120"/>
      <c r="N4" s="2120"/>
      <c r="O4" s="2120"/>
      <c r="P4" s="3422" t="s">
        <v>803</v>
      </c>
      <c r="Q4" s="3423"/>
      <c r="R4" s="3408" t="s">
        <v>799</v>
      </c>
      <c r="S4" s="3409"/>
      <c r="T4" s="3408" t="s">
        <v>800</v>
      </c>
      <c r="U4" s="3409"/>
      <c r="V4" s="3428" t="s">
        <v>801</v>
      </c>
      <c r="W4" s="3428"/>
      <c r="X4" s="1554"/>
      <c r="Y4" s="3408" t="s">
        <v>803</v>
      </c>
      <c r="Z4" s="3409"/>
      <c r="AA4" s="3403" t="s">
        <v>799</v>
      </c>
      <c r="AB4" s="3404" t="s">
        <v>800</v>
      </c>
      <c r="AC4" s="3403" t="s">
        <v>801</v>
      </c>
    </row>
    <row r="5" spans="1:29" ht="15">
      <c r="A5" s="515"/>
      <c r="B5" s="516"/>
      <c r="C5" s="3431" t="s">
        <v>2931</v>
      </c>
      <c r="D5" s="3432"/>
      <c r="E5" s="3446" t="s">
        <v>2932</v>
      </c>
      <c r="F5" s="3447"/>
      <c r="G5" s="3431" t="s">
        <v>2933</v>
      </c>
      <c r="H5" s="3432"/>
      <c r="I5" s="3431" t="s">
        <v>2934</v>
      </c>
      <c r="J5" s="3432"/>
      <c r="K5" s="514"/>
      <c r="L5" s="2119"/>
      <c r="M5" s="2120"/>
      <c r="N5" s="2120"/>
      <c r="O5" s="2120"/>
      <c r="P5" s="3424"/>
      <c r="Q5" s="3425"/>
      <c r="R5" s="3410"/>
      <c r="S5" s="3411"/>
      <c r="T5" s="3410"/>
      <c r="U5" s="3411"/>
      <c r="V5" s="3428"/>
      <c r="W5" s="3428"/>
      <c r="X5" s="1554"/>
      <c r="Y5" s="3410"/>
      <c r="Z5" s="3411"/>
      <c r="AA5" s="3404"/>
      <c r="AB5" s="3404"/>
      <c r="AC5" s="3404"/>
    </row>
    <row r="6" spans="1:29" ht="15.75" thickBot="1">
      <c r="A6" s="517"/>
      <c r="B6" s="518"/>
      <c r="C6" s="3429" t="s">
        <v>2935</v>
      </c>
      <c r="D6" s="3430"/>
      <c r="E6" s="3448" t="s">
        <v>2935</v>
      </c>
      <c r="F6" s="3449"/>
      <c r="G6" s="3429" t="s">
        <v>2935</v>
      </c>
      <c r="H6" s="3430"/>
      <c r="I6" s="3429" t="s">
        <v>2935</v>
      </c>
      <c r="J6" s="3430"/>
      <c r="K6" s="514" t="s">
        <v>528</v>
      </c>
      <c r="L6" s="2119"/>
      <c r="M6" s="2120"/>
      <c r="N6" s="2120"/>
      <c r="O6" s="2120"/>
      <c r="P6" s="3426"/>
      <c r="Q6" s="3427"/>
      <c r="R6" s="3410"/>
      <c r="S6" s="3411"/>
      <c r="T6" s="3412"/>
      <c r="U6" s="3413"/>
      <c r="V6" s="3428"/>
      <c r="W6" s="3428"/>
      <c r="X6" s="1554"/>
      <c r="Y6" s="3412"/>
      <c r="Z6" s="3413"/>
      <c r="AA6" s="3405"/>
      <c r="AB6" s="3405"/>
      <c r="AC6" s="3405"/>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6" t="s">
        <v>530</v>
      </c>
      <c r="Q7" s="3415"/>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4" t="s">
        <v>535</v>
      </c>
      <c r="Q9" s="1147" t="str">
        <f t="shared" ref="Q9:Q14" si="6">B9</f>
        <v>用途</v>
      </c>
      <c r="R9" s="1555" t="s">
        <v>8</v>
      </c>
      <c r="S9" s="1556">
        <f t="shared" si="0"/>
        <v>100</v>
      </c>
      <c r="T9" s="1555" t="s">
        <v>8</v>
      </c>
      <c r="U9" s="1556">
        <f t="shared" si="1"/>
        <v>100</v>
      </c>
      <c r="V9" s="1555" t="s">
        <v>8</v>
      </c>
      <c r="W9" s="1556">
        <f t="shared" si="2"/>
        <v>100</v>
      </c>
      <c r="X9" s="1557"/>
      <c r="Y9" s="337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4"/>
      <c r="Q10" s="1147" t="str">
        <f t="shared" si="6"/>
        <v>土地使用年限（年）</v>
      </c>
      <c r="R10" s="1555" t="s">
        <v>8</v>
      </c>
      <c r="S10" s="1556">
        <f t="shared" si="0"/>
        <v>100</v>
      </c>
      <c r="T10" s="1555" t="s">
        <v>8</v>
      </c>
      <c r="U10" s="1556">
        <f t="shared" si="1"/>
        <v>100</v>
      </c>
      <c r="V10" s="1555" t="s">
        <v>8</v>
      </c>
      <c r="W10" s="1556">
        <f t="shared" si="2"/>
        <v>100</v>
      </c>
      <c r="X10" s="1557"/>
      <c r="Y10" s="337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4"/>
      <c r="Q11" s="1147">
        <f t="shared" si="6"/>
        <v>111</v>
      </c>
      <c r="R11" s="1555" t="s">
        <v>8</v>
      </c>
      <c r="S11" s="1556">
        <f t="shared" si="0"/>
        <v>100</v>
      </c>
      <c r="T11" s="1555" t="s">
        <v>8</v>
      </c>
      <c r="U11" s="1556">
        <f t="shared" si="1"/>
        <v>100</v>
      </c>
      <c r="V11" s="1555" t="s">
        <v>8</v>
      </c>
      <c r="W11" s="1556">
        <f t="shared" si="2"/>
        <v>100</v>
      </c>
      <c r="X11" s="1557"/>
      <c r="Y11" s="337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4"/>
      <c r="Q12" s="1147">
        <f t="shared" si="6"/>
        <v>111</v>
      </c>
      <c r="R12" s="1555" t="s">
        <v>8</v>
      </c>
      <c r="S12" s="1556">
        <f t="shared" si="0"/>
        <v>100</v>
      </c>
      <c r="T12" s="1555" t="s">
        <v>8</v>
      </c>
      <c r="U12" s="1556">
        <f t="shared" si="1"/>
        <v>100</v>
      </c>
      <c r="V12" s="1555" t="s">
        <v>8</v>
      </c>
      <c r="W12" s="1556">
        <f t="shared" si="2"/>
        <v>100</v>
      </c>
      <c r="X12" s="1557"/>
      <c r="Y12" s="337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4"/>
      <c r="Q13" s="1147">
        <f t="shared" si="6"/>
        <v>111</v>
      </c>
      <c r="R13" s="1555" t="s">
        <v>8</v>
      </c>
      <c r="S13" s="1556">
        <f t="shared" si="0"/>
        <v>100</v>
      </c>
      <c r="T13" s="1555" t="s">
        <v>8</v>
      </c>
      <c r="U13" s="1556">
        <f t="shared" si="1"/>
        <v>100</v>
      </c>
      <c r="V13" s="1555" t="s">
        <v>8</v>
      </c>
      <c r="W13" s="1556">
        <f t="shared" si="2"/>
        <v>100</v>
      </c>
      <c r="X13" s="1557"/>
      <c r="Y13" s="337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6" t="s">
        <v>540</v>
      </c>
      <c r="Q14" s="1559" t="str">
        <f t="shared" si="6"/>
        <v>交通便捷度</v>
      </c>
      <c r="R14" s="1560" t="s">
        <v>8</v>
      </c>
      <c r="S14" s="1561">
        <f t="shared" si="0"/>
        <v>100</v>
      </c>
      <c r="T14" s="1560" t="s">
        <v>8</v>
      </c>
      <c r="U14" s="1561">
        <f t="shared" si="1"/>
        <v>100</v>
      </c>
      <c r="V14" s="1560" t="s">
        <v>8</v>
      </c>
      <c r="W14" s="1561">
        <f t="shared" si="2"/>
        <v>100</v>
      </c>
      <c r="X14" s="1554"/>
      <c r="Y14" s="341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7"/>
      <c r="Q15" s="1559"/>
      <c r="R15" s="1560"/>
      <c r="S15" s="1561"/>
      <c r="T15" s="1560"/>
      <c r="U15" s="1561"/>
      <c r="V15" s="1560"/>
      <c r="W15" s="1561"/>
      <c r="X15" s="1554"/>
      <c r="Y15" s="341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7"/>
      <c r="Q16" s="1559" t="str">
        <f>B16</f>
        <v>公共配套设施</v>
      </c>
      <c r="R16" s="1560" t="s">
        <v>8</v>
      </c>
      <c r="S16" s="1561">
        <f>F16</f>
        <v>100</v>
      </c>
      <c r="T16" s="1560" t="s">
        <v>8</v>
      </c>
      <c r="U16" s="1561">
        <f>H16</f>
        <v>100</v>
      </c>
      <c r="V16" s="1560" t="s">
        <v>8</v>
      </c>
      <c r="W16" s="1561">
        <f>J16</f>
        <v>100</v>
      </c>
      <c r="X16" s="1554"/>
      <c r="Y16" s="341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7"/>
      <c r="Q17" s="1559"/>
      <c r="R17" s="1560"/>
      <c r="S17" s="1561"/>
      <c r="T17" s="1560"/>
      <c r="U17" s="1561"/>
      <c r="V17" s="1560"/>
      <c r="W17" s="1561"/>
      <c r="X17" s="1554"/>
      <c r="Y17" s="341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7"/>
      <c r="Q18" s="2544" t="str">
        <f>B18</f>
        <v>基础设施水平</v>
      </c>
      <c r="R18" s="1560" t="s">
        <v>8</v>
      </c>
      <c r="S18" s="1561">
        <f>F18</f>
        <v>100</v>
      </c>
      <c r="T18" s="1560" t="s">
        <v>8</v>
      </c>
      <c r="U18" s="1561">
        <f>H18</f>
        <v>100</v>
      </c>
      <c r="V18" s="1560" t="s">
        <v>8</v>
      </c>
      <c r="W18" s="1561">
        <f>J18</f>
        <v>100</v>
      </c>
      <c r="X18" s="2546"/>
      <c r="Y18" s="341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7"/>
      <c r="Q19" s="2544"/>
      <c r="R19" s="1560"/>
      <c r="S19" s="1561"/>
      <c r="T19" s="1560"/>
      <c r="U19" s="1561"/>
      <c r="V19" s="1560"/>
      <c r="W19" s="1561"/>
      <c r="X19" s="2546"/>
      <c r="Y19" s="341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7"/>
      <c r="Q20" s="1559" t="str">
        <f>B20</f>
        <v>自然及人文环境</v>
      </c>
      <c r="R20" s="1560" t="s">
        <v>8</v>
      </c>
      <c r="S20" s="1561">
        <f>F20</f>
        <v>100</v>
      </c>
      <c r="T20" s="1560" t="s">
        <v>8</v>
      </c>
      <c r="U20" s="1561">
        <f>H20</f>
        <v>100</v>
      </c>
      <c r="V20" s="1560" t="s">
        <v>8</v>
      </c>
      <c r="W20" s="1561">
        <f>J20</f>
        <v>100</v>
      </c>
      <c r="X20" s="1554"/>
      <c r="Y20" s="341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7"/>
      <c r="Q21" s="1559"/>
      <c r="R21" s="1560"/>
      <c r="S21" s="1561"/>
      <c r="T21" s="1560"/>
      <c r="U21" s="1561"/>
      <c r="V21" s="1560"/>
      <c r="W21" s="1561"/>
      <c r="X21" s="1554"/>
      <c r="Y21" s="341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7"/>
      <c r="Q22" s="1559" t="str">
        <f>B22</f>
        <v>楼层</v>
      </c>
      <c r="R22" s="1560" t="s">
        <v>8</v>
      </c>
      <c r="S22" s="1561">
        <f>F22</f>
        <v>100</v>
      </c>
      <c r="T22" s="1560" t="s">
        <v>8</v>
      </c>
      <c r="U22" s="1561">
        <f>H22</f>
        <v>100</v>
      </c>
      <c r="V22" s="1560" t="s">
        <v>8</v>
      </c>
      <c r="W22" s="1561">
        <f>J22</f>
        <v>100</v>
      </c>
      <c r="X22" s="1554"/>
      <c r="Y22" s="341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7"/>
      <c r="Q23" s="1559">
        <f>B23</f>
        <v>111</v>
      </c>
      <c r="R23" s="1560" t="s">
        <v>8</v>
      </c>
      <c r="S23" s="1561">
        <f>F23</f>
        <v>100</v>
      </c>
      <c r="T23" s="1560" t="s">
        <v>8</v>
      </c>
      <c r="U23" s="1561">
        <f>H23</f>
        <v>100</v>
      </c>
      <c r="V23" s="1560" t="s">
        <v>8</v>
      </c>
      <c r="W23" s="1561">
        <f>J23</f>
        <v>100</v>
      </c>
      <c r="X23" s="1554"/>
      <c r="Y23" s="341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7"/>
      <c r="Q24" s="1559">
        <f t="shared" ref="Q24:Q34" si="11">B24</f>
        <v>111</v>
      </c>
      <c r="R24" s="1560" t="s">
        <v>8</v>
      </c>
      <c r="S24" s="1561">
        <f>F24</f>
        <v>100</v>
      </c>
      <c r="T24" s="1560" t="s">
        <v>8</v>
      </c>
      <c r="U24" s="1561">
        <f>H24</f>
        <v>100</v>
      </c>
      <c r="V24" s="1560" t="s">
        <v>8</v>
      </c>
      <c r="W24" s="1561">
        <f>J24</f>
        <v>100</v>
      </c>
      <c r="X24" s="1554"/>
      <c r="Y24" s="341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7"/>
      <c r="Q25" s="1147">
        <f t="shared" si="11"/>
        <v>111</v>
      </c>
      <c r="R25" s="1555" t="s">
        <v>8</v>
      </c>
      <c r="S25" s="1556">
        <f>F25</f>
        <v>100</v>
      </c>
      <c r="T25" s="1555" t="s">
        <v>8</v>
      </c>
      <c r="U25" s="1556">
        <f>H25</f>
        <v>100</v>
      </c>
      <c r="V25" s="1555" t="s">
        <v>8</v>
      </c>
      <c r="W25" s="1556">
        <f>J25</f>
        <v>100</v>
      </c>
      <c r="X25" s="1557"/>
      <c r="Y25" s="341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9"/>
      <c r="Q27" s="1591" t="str">
        <f t="shared" si="11"/>
        <v>成新率</v>
      </c>
      <c r="R27" s="1564" t="s">
        <v>8</v>
      </c>
      <c r="S27" s="1565" t="e">
        <f t="shared" si="12"/>
        <v>#N/A</v>
      </c>
      <c r="T27" s="1564" t="s">
        <v>8</v>
      </c>
      <c r="U27" s="1565" t="e">
        <f t="shared" si="13"/>
        <v>#N/A</v>
      </c>
      <c r="V27" s="1564" t="s">
        <v>8</v>
      </c>
      <c r="W27" s="1565" t="e">
        <f t="shared" si="14"/>
        <v>#N/A</v>
      </c>
      <c r="X27" s="1566"/>
      <c r="Y27" s="341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9"/>
      <c r="Q28" s="1559" t="str">
        <f t="shared" si="11"/>
        <v>物业等级</v>
      </c>
      <c r="R28" s="1560" t="s">
        <v>8</v>
      </c>
      <c r="S28" s="1561">
        <f t="shared" si="12"/>
        <v>100</v>
      </c>
      <c r="T28" s="1560" t="s">
        <v>8</v>
      </c>
      <c r="U28" s="1561">
        <f t="shared" si="13"/>
        <v>100</v>
      </c>
      <c r="V28" s="1560" t="s">
        <v>8</v>
      </c>
      <c r="W28" s="1561">
        <f t="shared" si="14"/>
        <v>100</v>
      </c>
      <c r="X28" s="1554"/>
      <c r="Y28" s="341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9"/>
      <c r="Q29" s="1559" t="str">
        <f t="shared" si="11"/>
        <v>有无电梯</v>
      </c>
      <c r="R29" s="1560" t="s">
        <v>8</v>
      </c>
      <c r="S29" s="1561">
        <f t="shared" si="12"/>
        <v>100</v>
      </c>
      <c r="T29" s="1560" t="s">
        <v>8</v>
      </c>
      <c r="U29" s="1561">
        <f t="shared" si="13"/>
        <v>100</v>
      </c>
      <c r="V29" s="1560" t="s">
        <v>8</v>
      </c>
      <c r="W29" s="1561">
        <f t="shared" si="14"/>
        <v>100</v>
      </c>
      <c r="X29" s="1554"/>
      <c r="Y29" s="341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9"/>
      <c r="Q30" s="1559" t="str">
        <f t="shared" si="11"/>
        <v>建筑面积</v>
      </c>
      <c r="R30" s="1560" t="s">
        <v>8</v>
      </c>
      <c r="S30" s="1561" t="e">
        <f t="shared" si="12"/>
        <v>#N/A</v>
      </c>
      <c r="T30" s="1560" t="s">
        <v>8</v>
      </c>
      <c r="U30" s="1561" t="e">
        <f t="shared" si="13"/>
        <v>#N/A</v>
      </c>
      <c r="V30" s="1560" t="s">
        <v>8</v>
      </c>
      <c r="W30" s="1561" t="e">
        <f t="shared" si="14"/>
        <v>#N/A</v>
      </c>
      <c r="X30" s="1554"/>
      <c r="Y30" s="341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9"/>
      <c r="Q31" s="1147" t="str">
        <f t="shared" si="11"/>
        <v>是否封闭</v>
      </c>
      <c r="R31" s="1555" t="s">
        <v>8</v>
      </c>
      <c r="S31" s="1556">
        <f t="shared" si="12"/>
        <v>100</v>
      </c>
      <c r="T31" s="1555" t="s">
        <v>8</v>
      </c>
      <c r="U31" s="1556">
        <f t="shared" si="13"/>
        <v>100</v>
      </c>
      <c r="V31" s="1555" t="s">
        <v>8</v>
      </c>
      <c r="W31" s="1556">
        <f t="shared" si="14"/>
        <v>100</v>
      </c>
      <c r="X31" s="1557"/>
      <c r="Y31" s="341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9" t="s">
        <v>550</v>
      </c>
      <c r="Q32" s="1559">
        <f t="shared" si="11"/>
        <v>111</v>
      </c>
      <c r="R32" s="1560" t="s">
        <v>8</v>
      </c>
      <c r="S32" s="1561">
        <f t="shared" si="12"/>
        <v>100</v>
      </c>
      <c r="T32" s="1560" t="s">
        <v>8</v>
      </c>
      <c r="U32" s="1561">
        <f t="shared" si="13"/>
        <v>100</v>
      </c>
      <c r="V32" s="1560" t="s">
        <v>8</v>
      </c>
      <c r="W32" s="1561">
        <f t="shared" si="14"/>
        <v>100</v>
      </c>
      <c r="X32" s="1554"/>
      <c r="Y32" s="341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9"/>
      <c r="Q33" s="1559">
        <f t="shared" si="11"/>
        <v>111</v>
      </c>
      <c r="R33" s="1560" t="s">
        <v>8</v>
      </c>
      <c r="S33" s="1561">
        <f t="shared" si="12"/>
        <v>100</v>
      </c>
      <c r="T33" s="1560" t="s">
        <v>8</v>
      </c>
      <c r="U33" s="1561">
        <f t="shared" si="13"/>
        <v>100</v>
      </c>
      <c r="V33" s="1560" t="s">
        <v>8</v>
      </c>
      <c r="W33" s="1561">
        <f t="shared" si="14"/>
        <v>100</v>
      </c>
      <c r="X33" s="1554"/>
      <c r="Y33" s="341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9"/>
      <c r="Q34" s="1559">
        <f t="shared" si="11"/>
        <v>111</v>
      </c>
      <c r="R34" s="1560" t="s">
        <v>8</v>
      </c>
      <c r="S34" s="1561">
        <f t="shared" si="12"/>
        <v>100</v>
      </c>
      <c r="T34" s="1560" t="s">
        <v>8</v>
      </c>
      <c r="U34" s="1561">
        <f t="shared" si="13"/>
        <v>100</v>
      </c>
      <c r="V34" s="1560" t="s">
        <v>8</v>
      </c>
      <c r="W34" s="1561">
        <f t="shared" si="14"/>
        <v>100</v>
      </c>
      <c r="X34" s="1554"/>
      <c r="Y34" s="341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4" t="str">
        <f>A35</f>
        <v>成交单价（元/平方米）</v>
      </c>
      <c r="Q35" s="3414"/>
      <c r="R35" s="3518">
        <f>E35</f>
        <v>0</v>
      </c>
      <c r="S35" s="3518"/>
      <c r="T35" s="3518">
        <f>G35</f>
        <v>0</v>
      </c>
      <c r="U35" s="3518"/>
      <c r="V35" s="3518">
        <f>I35</f>
        <v>0</v>
      </c>
      <c r="W35" s="351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4" t="str">
        <f>A36</f>
        <v>比较价格（元/平方米）</v>
      </c>
      <c r="Q36" s="3414"/>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5" t="str">
        <f>A37</f>
        <v>估价对象XX用房的比较价格（楼面单价，元/平方米）</v>
      </c>
      <c r="Q37" s="3436"/>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3127</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3145</v>
      </c>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J29" sqref="J29"/>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ROUND(B4*G1/10000,4)</f>
        <v>12139.897499999999</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ROUND(B2/(G1/666.67),0)</f>
        <v>67</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H25">
        <v>1117</v>
      </c>
    </row>
    <row r="26" spans="1:10">
      <c r="A26" s="3226" t="s">
        <v>3157</v>
      </c>
      <c r="B26" s="3227">
        <v>0.06</v>
      </c>
      <c r="C26" s="3224"/>
      <c r="H26">
        <f>H25-H24</f>
        <v>112</v>
      </c>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abSelected="1" zoomScale="90" zoomScaleNormal="90" workbookViewId="0">
      <selection activeCell="G15" sqref="G15"/>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ROUND(B4*G1,0)</f>
        <v>4297621</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ROUND(B2/(G1/666.67)/10000,2)</f>
        <v>63.2</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20" sqref="G20"/>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ROUND(B4*G1,0)</f>
        <v>9803475</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ROUND(B2/(G1/666.67)/10000,2)</f>
        <v>62.33</v>
      </c>
      <c r="C5" s="431" t="s">
        <v>469</v>
      </c>
      <c r="D5" s="2094"/>
      <c r="E5" s="2094"/>
      <c r="F5" s="2094"/>
      <c r="G5" s="2094"/>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39"/>
      <c r="I7" s="3205" t="s">
        <v>3004</v>
      </c>
      <c r="J7" s="3530" t="s">
        <v>3007</v>
      </c>
    </row>
    <row r="8" spans="1:10" ht="24">
      <c r="A8" s="3533"/>
      <c r="B8" s="3535"/>
      <c r="C8" s="3187" t="s">
        <v>3000</v>
      </c>
      <c r="D8" s="3187" t="s">
        <v>3001</v>
      </c>
      <c r="E8" s="3188" t="s">
        <v>3000</v>
      </c>
      <c r="F8" s="3188" t="s">
        <v>3001</v>
      </c>
      <c r="G8" s="3196" t="s">
        <v>3005</v>
      </c>
      <c r="H8" s="3196" t="s">
        <v>3006</v>
      </c>
      <c r="I8" s="3205" t="s">
        <v>3006</v>
      </c>
      <c r="J8" s="3531"/>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32">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2" t="s">
        <v>2999</v>
      </c>
      <c r="B7" s="3534" t="s">
        <v>604</v>
      </c>
      <c r="C7" s="3536" t="s">
        <v>3002</v>
      </c>
      <c r="D7" s="3537"/>
      <c r="E7" s="3538" t="s">
        <v>3003</v>
      </c>
      <c r="F7" s="3539"/>
      <c r="G7" s="3538" t="s">
        <v>3004</v>
      </c>
      <c r="H7" s="3540"/>
      <c r="I7" s="3539"/>
      <c r="J7" s="3530" t="s">
        <v>3007</v>
      </c>
    </row>
    <row r="8" spans="1:10" ht="24">
      <c r="A8" s="3533"/>
      <c r="B8" s="3535"/>
      <c r="C8" s="3187" t="s">
        <v>3000</v>
      </c>
      <c r="D8" s="3187" t="s">
        <v>3001</v>
      </c>
      <c r="E8" s="3188" t="s">
        <v>3000</v>
      </c>
      <c r="F8" s="3188" t="s">
        <v>3001</v>
      </c>
      <c r="G8" s="3196" t="s">
        <v>3005</v>
      </c>
      <c r="H8" s="3196" t="s">
        <v>3116</v>
      </c>
      <c r="I8" s="3205" t="s">
        <v>3006</v>
      </c>
      <c r="J8" s="3531"/>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2038</v>
      </c>
      <c r="B1" s="3234"/>
      <c r="C1" s="3234"/>
      <c r="D1" s="3234"/>
      <c r="E1" s="3234"/>
      <c r="F1" s="3234"/>
      <c r="G1" s="3234"/>
      <c r="H1" s="3234"/>
      <c r="I1" s="3234"/>
      <c r="J1" s="3234"/>
      <c r="K1" s="3234"/>
      <c r="L1" s="3234"/>
      <c r="M1" s="3234"/>
      <c r="N1" s="3234"/>
      <c r="O1" s="3234"/>
      <c r="P1" s="3234"/>
      <c r="Q1" s="3234"/>
      <c r="R1" s="3234"/>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5" t="s">
        <v>2029</v>
      </c>
      <c r="B3" s="3235" t="s">
        <v>2731</v>
      </c>
      <c r="C3" s="3236" t="s">
        <v>2030</v>
      </c>
      <c r="D3" s="3235" t="s">
        <v>2735</v>
      </c>
      <c r="E3" s="3238" t="s">
        <v>2031</v>
      </c>
      <c r="F3" s="3238"/>
      <c r="G3" s="3238"/>
      <c r="H3" s="3238" t="s">
        <v>2032</v>
      </c>
      <c r="I3" s="3238"/>
      <c r="J3" s="3238"/>
      <c r="K3" s="3236" t="s">
        <v>2033</v>
      </c>
      <c r="L3" s="3236" t="s">
        <v>2034</v>
      </c>
      <c r="M3" s="3235" t="s">
        <v>2732</v>
      </c>
      <c r="N3" s="3237" t="str">
        <f>"（分摊）"&amp;项目基本情况!B16&amp;"国有建设用地使用权面积/㎡"</f>
        <v>（分摊）出让国有建设用地使用权面积/㎡</v>
      </c>
      <c r="O3" s="3235" t="s">
        <v>2063</v>
      </c>
      <c r="P3" s="3236" t="s">
        <v>2043</v>
      </c>
      <c r="Q3" s="3236" t="s">
        <v>2064</v>
      </c>
      <c r="R3" s="3236" t="s">
        <v>2035</v>
      </c>
    </row>
    <row r="4" spans="1:18" ht="36.75" customHeight="1">
      <c r="A4" s="3235"/>
      <c r="B4" s="3235"/>
      <c r="C4" s="3236"/>
      <c r="D4" s="3235"/>
      <c r="E4" s="2614" t="s">
        <v>2042</v>
      </c>
      <c r="F4" s="2614" t="s">
        <v>2744</v>
      </c>
      <c r="G4" s="2614" t="s">
        <v>2036</v>
      </c>
      <c r="H4" s="2614" t="s">
        <v>2037</v>
      </c>
      <c r="I4" s="2614" t="s">
        <v>2745</v>
      </c>
      <c r="J4" s="2614" t="s">
        <v>2036</v>
      </c>
      <c r="K4" s="3236"/>
      <c r="L4" s="3236"/>
      <c r="M4" s="3235"/>
      <c r="N4" s="3237"/>
      <c r="O4" s="3235"/>
      <c r="P4" s="3236"/>
      <c r="Q4" s="3236"/>
      <c r="R4" s="323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8" t="str">
        <f>结果表!O39</f>
        <v>——</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8" t="str">
        <f>结果表!O40</f>
        <v>——</v>
      </c>
    </row>
    <row r="8" spans="1:18">
      <c r="A8" s="3239">
        <f>IF(项目基本情况!B9="市场价格","——",项目基本情况!E9)</f>
        <v>0</v>
      </c>
      <c r="B8" s="3240"/>
      <c r="C8" s="3240"/>
      <c r="D8" s="3240"/>
      <c r="E8" s="3240"/>
      <c r="F8" s="3240"/>
      <c r="G8" s="3240"/>
      <c r="H8" s="3240"/>
      <c r="I8" s="3240"/>
      <c r="J8" s="3240"/>
      <c r="K8" s="3240"/>
      <c r="L8" s="3240"/>
      <c r="M8" s="3240"/>
      <c r="N8" s="3240"/>
      <c r="O8" s="3240"/>
      <c r="P8" s="3240"/>
      <c r="Q8" s="324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2" t="s">
        <v>2065</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2066</v>
      </c>
      <c r="B5" s="3245"/>
      <c r="C5" s="3245"/>
      <c r="D5" s="3245"/>
    </row>
    <row r="6" spans="1:4">
      <c r="A6" s="3242" t="s">
        <v>2044</v>
      </c>
      <c r="B6" s="3242"/>
      <c r="C6" s="3242"/>
      <c r="D6" s="3242"/>
    </row>
    <row r="7" spans="1:4" ht="33" customHeight="1">
      <c r="A7" s="3242" t="s">
        <v>2575</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5" t="s">
        <v>2068</v>
      </c>
      <c r="B12" s="3245"/>
      <c r="C12" s="3245"/>
      <c r="D12" s="3245"/>
    </row>
    <row r="13" spans="1:4">
      <c r="A13" s="3243" t="s">
        <v>2746</v>
      </c>
      <c r="B13" s="3243"/>
      <c r="C13" s="3243"/>
      <c r="D13" s="3243"/>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2702</v>
      </c>
      <c r="B17" s="3242"/>
      <c r="C17" s="3242"/>
      <c r="D17" s="3242"/>
    </row>
    <row r="18" spans="1:4">
      <c r="A18" s="3242" t="s">
        <v>2694</v>
      </c>
      <c r="B18" s="3242"/>
      <c r="C18" s="3242"/>
      <c r="D18" s="324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2" t="s">
        <v>2699</v>
      </c>
      <c r="B23" s="3242"/>
      <c r="C23" s="3242"/>
      <c r="D23" s="324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44566</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2022-01-05T03:00:55Z</dcterms:modified>
</cp:coreProperties>
</file>