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885" windowHeight="10665" tabRatio="899" firstSheet="16"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分套价值" sheetId="82" r:id="rId45"/>
    <sheet name="Sheet1" sheetId="77" r:id="rId46"/>
    <sheet name="Sheet2" sheetId="78" r:id="rId47"/>
    <sheet name="Sheet3" sheetId="79" r:id="rId48"/>
    <sheet name="Sheet4" sheetId="80" r:id="rId49"/>
    <sheet name="Sheet5" sheetId="81"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43" i="82" l="1"/>
  <c r="B63" i="31"/>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K1" i="73"/>
  <c r="D4"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D20" i="9"/>
  <c r="G20" i="9"/>
  <c r="R24" i="31"/>
  <c r="S24" i="31"/>
  <c r="I2" i="82"/>
  <c r="R27" i="31"/>
  <c r="S27" i="31"/>
  <c r="I3" i="82"/>
  <c r="R28" i="31"/>
  <c r="S28" i="31"/>
  <c r="I4" i="82"/>
  <c r="R30" i="31"/>
  <c r="S30" i="31"/>
  <c r="I5" i="82"/>
  <c r="R31" i="31"/>
  <c r="S31" i="31"/>
  <c r="I6" i="82"/>
  <c r="R33" i="31"/>
  <c r="S33" i="31"/>
  <c r="I7" i="82"/>
  <c r="R36" i="31"/>
  <c r="S36" i="31"/>
  <c r="I8" i="82"/>
  <c r="R38" i="31"/>
  <c r="S38" i="31"/>
  <c r="I9" i="82"/>
  <c r="R39" i="31"/>
  <c r="S39" i="31"/>
  <c r="I10" i="82"/>
  <c r="R41" i="31"/>
  <c r="S41" i="31"/>
  <c r="I11" i="82"/>
  <c r="R42" i="31"/>
  <c r="S42" i="31"/>
  <c r="I12" i="82"/>
  <c r="R43" i="31"/>
  <c r="S43" i="31"/>
  <c r="I13" i="82"/>
  <c r="R44" i="31"/>
  <c r="S44" i="31"/>
  <c r="I14" i="82"/>
  <c r="R47" i="31"/>
  <c r="S47" i="31"/>
  <c r="I15" i="82"/>
  <c r="R48" i="31"/>
  <c r="S48" i="31"/>
  <c r="I16" i="82"/>
  <c r="R25" i="31"/>
  <c r="S25" i="31"/>
  <c r="I17" i="82"/>
  <c r="R26" i="31"/>
  <c r="S26" i="31"/>
  <c r="I18" i="82"/>
  <c r="R29" i="31"/>
  <c r="S29" i="31"/>
  <c r="I19" i="82"/>
  <c r="R32" i="31"/>
  <c r="S32" i="31"/>
  <c r="I20" i="82"/>
  <c r="R34" i="31"/>
  <c r="S34" i="31"/>
  <c r="I21" i="82"/>
  <c r="R35" i="31"/>
  <c r="S35" i="31"/>
  <c r="I22" i="82"/>
  <c r="R46" i="31"/>
  <c r="S46" i="31"/>
  <c r="R37" i="31"/>
  <c r="S37" i="31"/>
  <c r="U38" i="31"/>
  <c r="I23" i="82"/>
  <c r="R40" i="31"/>
  <c r="S40" i="31"/>
  <c r="I24" i="82"/>
  <c r="R45" i="31"/>
  <c r="S45" i="31"/>
  <c r="I25" i="82"/>
  <c r="C49" i="31"/>
  <c r="R49" i="31"/>
  <c r="S49" i="31"/>
  <c r="I26" i="82"/>
  <c r="C50" i="31"/>
  <c r="R50" i="31"/>
  <c r="S50" i="31"/>
  <c r="I27" i="82"/>
  <c r="C51" i="31"/>
  <c r="R51" i="31"/>
  <c r="S51" i="31"/>
  <c r="I28" i="82"/>
  <c r="C52" i="31"/>
  <c r="R52" i="31"/>
  <c r="S52" i="31"/>
  <c r="I29" i="82"/>
  <c r="C53" i="31"/>
  <c r="R53" i="31"/>
  <c r="S53" i="31"/>
  <c r="I30" i="82"/>
  <c r="C54" i="31"/>
  <c r="R54" i="31"/>
  <c r="S54" i="31"/>
  <c r="I31" i="82"/>
  <c r="C55" i="31"/>
  <c r="R55" i="31"/>
  <c r="S55" i="31"/>
  <c r="I32" i="82"/>
  <c r="C56" i="31"/>
  <c r="R56" i="31"/>
  <c r="S56" i="31"/>
  <c r="I33" i="82"/>
  <c r="C57" i="31"/>
  <c r="R57" i="31"/>
  <c r="S57" i="31"/>
  <c r="I34" i="82"/>
  <c r="C58" i="31"/>
  <c r="R58" i="31"/>
  <c r="S58" i="31"/>
  <c r="I35" i="82"/>
  <c r="C59" i="31"/>
  <c r="R59" i="31"/>
  <c r="S59" i="31"/>
  <c r="I36" i="82"/>
  <c r="C60" i="31"/>
  <c r="R60" i="31"/>
  <c r="S60" i="31"/>
  <c r="I37" i="82"/>
  <c r="R61" i="31"/>
  <c r="S61" i="31"/>
  <c r="I38" i="82"/>
  <c r="R62" i="31"/>
  <c r="S62" i="31"/>
  <c r="I39" i="82"/>
  <c r="C63" i="31"/>
  <c r="R63" i="31"/>
  <c r="S63" i="31"/>
  <c r="I40" i="82"/>
  <c r="C64" i="31"/>
  <c r="R64" i="31"/>
  <c r="S64" i="31"/>
  <c r="I41" i="82"/>
  <c r="C65" i="31"/>
  <c r="R65" i="31"/>
  <c r="S65" i="31"/>
  <c r="I42" i="82"/>
  <c r="I43" i="82"/>
  <c r="H27" i="82"/>
  <c r="H28" i="82"/>
  <c r="H29" i="82"/>
  <c r="H30" i="82"/>
  <c r="H31" i="82"/>
  <c r="H32" i="82"/>
  <c r="H33" i="82"/>
  <c r="H34" i="82"/>
  <c r="H35" i="82"/>
  <c r="H36" i="82"/>
  <c r="H37" i="82"/>
  <c r="H38" i="82"/>
  <c r="H39" i="82"/>
  <c r="H40" i="82"/>
  <c r="H41" i="82"/>
  <c r="H42" i="82"/>
  <c r="H26" i="82"/>
  <c r="P50" i="31"/>
  <c r="P51" i="31"/>
  <c r="P52" i="31"/>
  <c r="P53" i="31"/>
  <c r="P54" i="31"/>
  <c r="P55" i="31"/>
  <c r="P56" i="31"/>
  <c r="P57" i="31"/>
  <c r="P58" i="31"/>
  <c r="P59" i="31"/>
  <c r="P60" i="31"/>
  <c r="P61" i="31"/>
  <c r="P62" i="31"/>
  <c r="P63" i="31"/>
  <c r="P64" i="31"/>
  <c r="P65" i="31"/>
  <c r="P49" i="31"/>
  <c r="B61" i="31"/>
  <c r="B62" i="31"/>
  <c r="A50" i="31"/>
  <c r="A51" i="31"/>
  <c r="A52" i="31"/>
  <c r="A53" i="31"/>
  <c r="A54" i="31"/>
  <c r="A55" i="31"/>
  <c r="A56" i="31"/>
  <c r="A57" i="31"/>
  <c r="A58" i="31"/>
  <c r="A59" i="31"/>
  <c r="A60" i="31"/>
  <c r="A61" i="31"/>
  <c r="A62" i="31"/>
  <c r="A63" i="31"/>
  <c r="A64" i="31"/>
  <c r="A65" i="31"/>
  <c r="A49" i="31"/>
  <c r="E47" i="33"/>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E81" i="33"/>
  <c r="F19" i="33"/>
  <c r="AA19" i="33"/>
  <c r="D83" i="33"/>
  <c r="F21" i="33"/>
  <c r="AA21" i="33"/>
  <c r="D85" i="33"/>
  <c r="E85" i="33"/>
  <c r="F23" i="33"/>
  <c r="AA23" i="33"/>
  <c r="F25" i="33"/>
  <c r="AA25" i="33"/>
  <c r="B88" i="33"/>
  <c r="F26" i="33"/>
  <c r="AA26" i="33"/>
  <c r="B90" i="33"/>
  <c r="D91" i="33"/>
  <c r="E91" i="33"/>
  <c r="F27" i="33"/>
  <c r="AA27" i="33"/>
  <c r="B92" i="33"/>
  <c r="F28" i="33"/>
  <c r="AA28" i="33"/>
  <c r="B94" i="33"/>
  <c r="F29" i="33"/>
  <c r="AA29" i="33"/>
  <c r="B96" i="33"/>
  <c r="F30" i="33"/>
  <c r="AA30" i="33"/>
  <c r="B98" i="33"/>
  <c r="F31" i="33"/>
  <c r="AA31" i="33"/>
  <c r="F32" i="33"/>
  <c r="AA32" i="33"/>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33"/>
  <c r="C33" i="33"/>
  <c r="F33" i="33"/>
  <c r="AA33" i="33"/>
  <c r="D106" i="33"/>
  <c r="F34" i="33"/>
  <c r="AA34" i="33"/>
  <c r="D108" i="33"/>
  <c r="F35" i="33"/>
  <c r="AA35" i="33"/>
  <c r="D111" i="33"/>
  <c r="E111" i="33"/>
  <c r="F111" i="33"/>
  <c r="F36" i="33"/>
  <c r="AA36" i="33"/>
  <c r="F37" i="33"/>
  <c r="AA37" i="33"/>
  <c r="F38" i="33"/>
  <c r="AA38" i="33"/>
  <c r="D117" i="33"/>
  <c r="F39" i="33"/>
  <c r="AA39" i="33"/>
  <c r="F40" i="33"/>
  <c r="AA40" i="33"/>
  <c r="F41" i="33"/>
  <c r="AA41" i="33"/>
  <c r="F42" i="33"/>
  <c r="AA42" i="33"/>
  <c r="F43" i="33"/>
  <c r="AA43" i="33"/>
  <c r="B126" i="33"/>
  <c r="F44" i="33"/>
  <c r="AA44" i="33"/>
  <c r="B128" i="33"/>
  <c r="F45" i="33"/>
  <c r="AA45" i="33"/>
  <c r="B130" i="33"/>
  <c r="F46" i="33"/>
  <c r="AA46" i="33"/>
  <c r="R48" i="33"/>
  <c r="G47"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I47"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A6" i="1"/>
  <c r="G1" i="67"/>
  <c r="F19" i="6"/>
  <c r="E19" i="6"/>
  <c r="K6" i="1"/>
  <c r="C1" i="73"/>
  <c r="L1" i="73"/>
  <c r="B43" i="1"/>
  <c r="B41" i="1"/>
  <c r="F32" i="67"/>
  <c r="C42" i="1"/>
  <c r="F33" i="6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BQ5" i="3"/>
  <c r="BS5" i="3"/>
  <c r="F28" i="6"/>
  <c r="BR5" i="3"/>
  <c r="BT5" i="3"/>
  <c r="G28" i="6"/>
  <c r="E28" i="6"/>
  <c r="E20" i="6"/>
  <c r="E21" i="6"/>
  <c r="E22" i="6"/>
  <c r="E23" i="6"/>
  <c r="E24" i="6"/>
  <c r="E25" i="6"/>
  <c r="E26" i="6"/>
  <c r="BA5" i="3"/>
  <c r="E27" i="6"/>
  <c r="K19" i="6"/>
  <c r="L19" i="6"/>
  <c r="M19" i="6"/>
  <c r="I19" i="6"/>
  <c r="H19" i="6"/>
  <c r="R19" i="6"/>
  <c r="B52" i="1"/>
  <c r="F34" i="67"/>
  <c r="S6" i="1"/>
  <c r="F15" i="67"/>
  <c r="F17" i="67"/>
  <c r="F18" i="67"/>
  <c r="F20" i="67"/>
  <c r="J1" i="73"/>
  <c r="B22" i="1"/>
  <c r="E1" i="73"/>
  <c r="F23" i="67"/>
  <c r="F21" i="67"/>
  <c r="F28" i="67"/>
  <c r="C28" i="67"/>
  <c r="Y6" i="1"/>
  <c r="E15" i="4"/>
  <c r="F6" i="1"/>
  <c r="M47" i="67"/>
  <c r="J50" i="67"/>
  <c r="J51" i="67"/>
  <c r="C17" i="9"/>
  <c r="D17" i="9"/>
  <c r="C18" i="9"/>
  <c r="D18" i="9"/>
  <c r="B24" i="31"/>
  <c r="C46" i="31"/>
  <c r="D6" i="31"/>
  <c r="E6" i="31"/>
  <c r="F6" i="31"/>
  <c r="E46" i="31"/>
  <c r="D8" i="31"/>
  <c r="G46" i="31"/>
  <c r="D10" i="31"/>
  <c r="I46" i="31"/>
  <c r="D12" i="31"/>
  <c r="K46" i="31"/>
  <c r="M46" i="31"/>
  <c r="O46" i="31"/>
  <c r="P24" i="31"/>
  <c r="Q46" i="31"/>
  <c r="C37" i="31"/>
  <c r="E37" i="31"/>
  <c r="G37" i="31"/>
  <c r="I37" i="31"/>
  <c r="K37" i="31"/>
  <c r="M37" i="31"/>
  <c r="O37" i="31"/>
  <c r="Q37" i="31"/>
  <c r="B27" i="31"/>
  <c r="C27" i="31"/>
  <c r="E27" i="31"/>
  <c r="G27" i="31"/>
  <c r="I27" i="31"/>
  <c r="K27" i="31"/>
  <c r="M27" i="31"/>
  <c r="O27" i="31"/>
  <c r="P27" i="31"/>
  <c r="Q27" i="31"/>
  <c r="B28" i="31"/>
  <c r="C28" i="31"/>
  <c r="E28" i="31"/>
  <c r="G28" i="31"/>
  <c r="I28" i="31"/>
  <c r="K28" i="31"/>
  <c r="M28" i="31"/>
  <c r="O28" i="31"/>
  <c r="P28" i="31"/>
  <c r="Q28" i="31"/>
  <c r="B30" i="31"/>
  <c r="C30" i="31"/>
  <c r="E30" i="31"/>
  <c r="G30" i="31"/>
  <c r="I30" i="31"/>
  <c r="E12" i="31"/>
  <c r="K30" i="31"/>
  <c r="M30" i="31"/>
  <c r="O30" i="31"/>
  <c r="P30" i="31"/>
  <c r="Q30" i="31"/>
  <c r="B31" i="31"/>
  <c r="C31" i="31"/>
  <c r="E31" i="31"/>
  <c r="G31" i="31"/>
  <c r="I31" i="31"/>
  <c r="K31" i="31"/>
  <c r="M31" i="31"/>
  <c r="O31" i="31"/>
  <c r="P31" i="31"/>
  <c r="Q31" i="31"/>
  <c r="B33" i="31"/>
  <c r="C33" i="31"/>
  <c r="E33" i="31"/>
  <c r="G33" i="31"/>
  <c r="I33" i="31"/>
  <c r="K33" i="31"/>
  <c r="M33" i="31"/>
  <c r="O33" i="31"/>
  <c r="P33" i="31"/>
  <c r="Q33" i="31"/>
  <c r="B36" i="31"/>
  <c r="C36" i="31"/>
  <c r="E36" i="31"/>
  <c r="G36" i="31"/>
  <c r="I36" i="31"/>
  <c r="K36" i="31"/>
  <c r="M36" i="31"/>
  <c r="O36" i="31"/>
  <c r="P36" i="31"/>
  <c r="Q36" i="31"/>
  <c r="B38" i="31"/>
  <c r="C38" i="31"/>
  <c r="E38" i="31"/>
  <c r="G38" i="31"/>
  <c r="I38" i="31"/>
  <c r="K38" i="31"/>
  <c r="M38" i="31"/>
  <c r="O38" i="31"/>
  <c r="P38" i="31"/>
  <c r="Q38" i="31"/>
  <c r="B39" i="31"/>
  <c r="C39" i="31"/>
  <c r="E39" i="31"/>
  <c r="G39" i="31"/>
  <c r="I39" i="31"/>
  <c r="K39" i="31"/>
  <c r="M39" i="31"/>
  <c r="O39" i="31"/>
  <c r="P39" i="31"/>
  <c r="Q39" i="31"/>
  <c r="B41" i="31"/>
  <c r="C41" i="31"/>
  <c r="E41" i="31"/>
  <c r="G41" i="31"/>
  <c r="I41" i="31"/>
  <c r="K41" i="31"/>
  <c r="M41" i="31"/>
  <c r="O41" i="31"/>
  <c r="P41" i="31"/>
  <c r="Q41" i="31"/>
  <c r="B42" i="31"/>
  <c r="C42" i="31"/>
  <c r="E42" i="31"/>
  <c r="G42" i="31"/>
  <c r="I42" i="31"/>
  <c r="K42" i="31"/>
  <c r="M42" i="31"/>
  <c r="O42" i="31"/>
  <c r="P42" i="31"/>
  <c r="Q42" i="31"/>
  <c r="B43" i="31"/>
  <c r="C43" i="31"/>
  <c r="E43" i="31"/>
  <c r="G43" i="31"/>
  <c r="I43" i="31"/>
  <c r="K43" i="31"/>
  <c r="M43" i="31"/>
  <c r="O43" i="31"/>
  <c r="P43" i="31"/>
  <c r="Q43" i="31"/>
  <c r="B44" i="31"/>
  <c r="C44" i="31"/>
  <c r="E44" i="31"/>
  <c r="G44" i="31"/>
  <c r="I44" i="31"/>
  <c r="K44" i="31"/>
  <c r="M44" i="31"/>
  <c r="O44" i="31"/>
  <c r="P44" i="31"/>
  <c r="Q44" i="31"/>
  <c r="B47" i="31"/>
  <c r="C47" i="31"/>
  <c r="E47" i="31"/>
  <c r="G47" i="31"/>
  <c r="I47" i="31"/>
  <c r="K47" i="31"/>
  <c r="M47" i="31"/>
  <c r="O47" i="31"/>
  <c r="Q47" i="31"/>
  <c r="B48" i="31"/>
  <c r="C48" i="31"/>
  <c r="E48" i="31"/>
  <c r="G48" i="31"/>
  <c r="I48" i="31"/>
  <c r="K48" i="31"/>
  <c r="M48" i="31"/>
  <c r="O48" i="31"/>
  <c r="Q48" i="31"/>
  <c r="B25" i="31"/>
  <c r="C25" i="31"/>
  <c r="E25" i="31"/>
  <c r="G25" i="31"/>
  <c r="I25" i="31"/>
  <c r="K25" i="31"/>
  <c r="M25" i="31"/>
  <c r="O25" i="31"/>
  <c r="P25" i="31"/>
  <c r="Q25" i="31"/>
  <c r="B26" i="31"/>
  <c r="C26" i="31"/>
  <c r="E26" i="31"/>
  <c r="G26" i="31"/>
  <c r="I26" i="31"/>
  <c r="K26" i="31"/>
  <c r="M26" i="31"/>
  <c r="O26" i="31"/>
  <c r="P26" i="31"/>
  <c r="Q26" i="31"/>
  <c r="B29" i="31"/>
  <c r="C29" i="31"/>
  <c r="E29" i="31"/>
  <c r="G29" i="31"/>
  <c r="I29" i="31"/>
  <c r="K29" i="31"/>
  <c r="M29" i="31"/>
  <c r="O29" i="31"/>
  <c r="P29" i="31"/>
  <c r="Q29" i="31"/>
  <c r="C32" i="31"/>
  <c r="E32" i="31"/>
  <c r="G32" i="31"/>
  <c r="I32" i="31"/>
  <c r="K32" i="31"/>
  <c r="M32" i="31"/>
  <c r="O32" i="31"/>
  <c r="P32" i="31"/>
  <c r="Q32" i="31"/>
  <c r="B34" i="31"/>
  <c r="C34" i="31"/>
  <c r="E34" i="31"/>
  <c r="G34" i="31"/>
  <c r="I34" i="31"/>
  <c r="K34" i="31"/>
  <c r="M34" i="31"/>
  <c r="O34" i="31"/>
  <c r="Q34" i="31"/>
  <c r="B35" i="31"/>
  <c r="C35" i="31"/>
  <c r="E35" i="31"/>
  <c r="G35" i="31"/>
  <c r="I35" i="31"/>
  <c r="K35" i="31"/>
  <c r="M35" i="31"/>
  <c r="O35" i="31"/>
  <c r="Q35" i="31"/>
  <c r="C40" i="31"/>
  <c r="E40" i="31"/>
  <c r="G40" i="31"/>
  <c r="I40" i="31"/>
  <c r="K40" i="31"/>
  <c r="M40" i="31"/>
  <c r="O40" i="31"/>
  <c r="P40" i="31"/>
  <c r="Q40" i="31"/>
  <c r="C45" i="31"/>
  <c r="E45" i="31"/>
  <c r="G45" i="31"/>
  <c r="I45" i="31"/>
  <c r="K45" i="31"/>
  <c r="M45" i="31"/>
  <c r="O45" i="31"/>
  <c r="P45" i="31"/>
  <c r="Q45" i="31"/>
  <c r="H25" i="82"/>
  <c r="H24" i="82"/>
  <c r="U39" i="31"/>
  <c r="H23" i="82"/>
  <c r="H22" i="82"/>
  <c r="H21" i="82"/>
  <c r="H20" i="82"/>
  <c r="H19" i="82"/>
  <c r="H18" i="82"/>
  <c r="H17" i="82"/>
  <c r="H16" i="82"/>
  <c r="H15" i="82"/>
  <c r="H14" i="82"/>
  <c r="H13" i="82"/>
  <c r="H12" i="82"/>
  <c r="H11" i="82"/>
  <c r="H10" i="82"/>
  <c r="H9" i="82"/>
  <c r="H8" i="82"/>
  <c r="H7" i="82"/>
  <c r="H6" i="82"/>
  <c r="H5" i="82"/>
  <c r="H4" i="82"/>
  <c r="H3" i="82"/>
  <c r="H2" i="82"/>
  <c r="A48" i="31"/>
  <c r="A47" i="31"/>
  <c r="Y26" i="31"/>
  <c r="Y27" i="31"/>
  <c r="Z27" i="31"/>
  <c r="AA27" i="31"/>
  <c r="Z26" i="31"/>
  <c r="AA26" i="31"/>
  <c r="X27" i="31"/>
  <c r="X26" i="31"/>
  <c r="L16" i="77"/>
  <c r="L17" i="77"/>
  <c r="L18" i="77"/>
  <c r="L19" i="77"/>
  <c r="L20" i="77"/>
  <c r="L21" i="77"/>
  <c r="L22" i="77"/>
  <c r="L23" i="77"/>
  <c r="L15" i="77"/>
  <c r="L14" i="77"/>
  <c r="L13" i="77"/>
  <c r="L12" i="77"/>
  <c r="L11" i="77"/>
  <c r="L10" i="77"/>
  <c r="L9" i="77"/>
  <c r="L8" i="77"/>
  <c r="L7" i="77"/>
  <c r="L6" i="77"/>
  <c r="L5" i="77"/>
  <c r="L4" i="77"/>
  <c r="L3" i="77"/>
  <c r="L2" i="77"/>
  <c r="AF5" i="81"/>
  <c r="AF6" i="81"/>
  <c r="AF8" i="81"/>
  <c r="AF9" i="81"/>
  <c r="AF10" i="81"/>
  <c r="AF11" i="81"/>
  <c r="AF12" i="81"/>
  <c r="AF13" i="81"/>
  <c r="AF14" i="81"/>
  <c r="AF15" i="81"/>
  <c r="AF16" i="81"/>
  <c r="AF17" i="81"/>
  <c r="AF19" i="81"/>
  <c r="AF20" i="81"/>
  <c r="AF22" i="81"/>
  <c r="AF23" i="81"/>
  <c r="AF26" i="81"/>
  <c r="AF27" i="81"/>
  <c r="AF28" i="81"/>
  <c r="AF29" i="81"/>
  <c r="AF30" i="81"/>
  <c r="AF33" i="81"/>
  <c r="AF34" i="81"/>
  <c r="AF35" i="81"/>
  <c r="AF36" i="81"/>
  <c r="AF37" i="81"/>
  <c r="AF38" i="81"/>
  <c r="AF39" i="81"/>
  <c r="AF40" i="81"/>
  <c r="AF41" i="81"/>
  <c r="AF42" i="81"/>
  <c r="AF43" i="81"/>
  <c r="AF44" i="81"/>
  <c r="AF46" i="81"/>
  <c r="AF47" i="81"/>
  <c r="AF48" i="81"/>
  <c r="AF49" i="81"/>
  <c r="AF50" i="81"/>
  <c r="AF51" i="81"/>
  <c r="AF52" i="81"/>
  <c r="AF56" i="81"/>
  <c r="AF58" i="81"/>
  <c r="AF59" i="81"/>
  <c r="AF60" i="81"/>
  <c r="AF61" i="81"/>
  <c r="AF63" i="81"/>
  <c r="AF65" i="81"/>
  <c r="AF66" i="81"/>
  <c r="AF67" i="81"/>
  <c r="AF68" i="81"/>
  <c r="AF69" i="81"/>
  <c r="AF70" i="81"/>
  <c r="AF71" i="81"/>
  <c r="AF73" i="81"/>
  <c r="AF74" i="81"/>
  <c r="X5" i="81"/>
  <c r="X6" i="81"/>
  <c r="X7" i="81"/>
  <c r="X8" i="81"/>
  <c r="X9" i="81"/>
  <c r="X10" i="81"/>
  <c r="X11" i="81"/>
  <c r="X12" i="81"/>
  <c r="X13" i="81"/>
  <c r="X14" i="81"/>
  <c r="X15" i="81"/>
  <c r="X16" i="81"/>
  <c r="X17" i="81"/>
  <c r="X18" i="81"/>
  <c r="X19" i="81"/>
  <c r="X20" i="81"/>
  <c r="X21" i="81"/>
  <c r="X22" i="81"/>
  <c r="X23" i="81"/>
  <c r="X26" i="81"/>
  <c r="X27" i="81"/>
  <c r="X28" i="81"/>
  <c r="X31" i="81"/>
  <c r="X32" i="81"/>
  <c r="X33" i="81"/>
  <c r="X34" i="81"/>
  <c r="X35" i="81"/>
  <c r="X36" i="81"/>
  <c r="X37" i="81"/>
  <c r="X38" i="81"/>
  <c r="X4" i="81"/>
  <c r="P15" i="81"/>
  <c r="P16" i="81"/>
  <c r="P14" i="81"/>
  <c r="G15" i="81"/>
  <c r="G16" i="81"/>
  <c r="G18" i="81"/>
  <c r="G19" i="81"/>
  <c r="G20" i="81"/>
  <c r="G21" i="81"/>
  <c r="G23" i="81"/>
  <c r="G25" i="81"/>
  <c r="G28" i="81"/>
  <c r="G29" i="81"/>
  <c r="G30" i="81"/>
  <c r="G31" i="81"/>
  <c r="G32" i="81"/>
  <c r="G33" i="81"/>
  <c r="G14" i="81"/>
  <c r="B2" i="49"/>
  <c r="B13" i="49"/>
  <c r="E4" i="4"/>
  <c r="B5" i="62"/>
  <c r="B7" i="49"/>
  <c r="C4" i="4"/>
  <c r="B4" i="62"/>
  <c r="B2" i="33"/>
  <c r="C19" i="9"/>
  <c r="B2" i="67"/>
  <c r="D19" i="9"/>
  <c r="G19" i="9"/>
  <c r="C24" i="9"/>
  <c r="C32" i="9"/>
  <c r="D35" i="9"/>
  <c r="C35" i="9"/>
  <c r="F118" i="9"/>
  <c r="F119" i="9"/>
  <c r="F5" i="52"/>
  <c r="M18" i="9"/>
  <c r="B118" i="9"/>
  <c r="G118" i="9"/>
  <c r="G4" i="52"/>
  <c r="F4" i="52"/>
  <c r="C34" i="9"/>
  <c r="D118" i="9"/>
  <c r="D119" i="9"/>
  <c r="D5" i="52"/>
  <c r="H118" i="9"/>
  <c r="I118" i="9"/>
  <c r="E118" i="9"/>
  <c r="E4" i="52"/>
  <c r="D4" i="52"/>
  <c r="H101" i="9"/>
  <c r="E107" i="9"/>
  <c r="H105" i="9"/>
  <c r="H106" i="9"/>
  <c r="H103" i="9"/>
  <c r="H107" i="9"/>
  <c r="D13" i="53"/>
  <c r="D14" i="53"/>
  <c r="H108" i="9"/>
  <c r="D15" i="53"/>
  <c r="D5" i="53"/>
  <c r="D6" i="53"/>
  <c r="H102" i="9"/>
  <c r="D7" i="53"/>
  <c r="K4" i="4"/>
  <c r="B46" i="48"/>
  <c r="G1" i="15"/>
  <c r="F6" i="15"/>
  <c r="F8" i="15"/>
  <c r="F7" i="15"/>
  <c r="F9" i="15"/>
  <c r="C6" i="15"/>
  <c r="F11" i="15"/>
  <c r="C10" i="15"/>
  <c r="C5" i="15"/>
  <c r="F32" i="15"/>
  <c r="C32" i="15"/>
  <c r="F33" i="15"/>
  <c r="C33" i="15"/>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L48" i="15"/>
  <c r="M47" i="15"/>
  <c r="J50" i="15"/>
  <c r="J51" i="15"/>
  <c r="J53" i="15"/>
  <c r="F1" i="15"/>
  <c r="F41" i="15"/>
  <c r="C40" i="15"/>
  <c r="M6" i="15"/>
  <c r="M8" i="15"/>
  <c r="M7" i="15"/>
  <c r="M9" i="15"/>
  <c r="J6" i="15"/>
  <c r="M11" i="15"/>
  <c r="J10" i="15"/>
  <c r="J5" i="15"/>
  <c r="J26" i="15"/>
  <c r="J29" i="15"/>
  <c r="J60" i="15"/>
  <c r="L46" i="15"/>
  <c r="B2" i="15"/>
  <c r="B3" i="15"/>
  <c r="E49" i="31"/>
  <c r="Q49" i="31"/>
  <c r="G49" i="31"/>
  <c r="I49" i="31"/>
  <c r="K49" i="31"/>
  <c r="M49" i="31"/>
  <c r="O49" i="31"/>
  <c r="E50" i="31"/>
  <c r="Q50" i="31"/>
  <c r="G50" i="31"/>
  <c r="I50" i="31"/>
  <c r="K50" i="31"/>
  <c r="M50" i="31"/>
  <c r="O50" i="31"/>
  <c r="E51" i="31"/>
  <c r="Q51" i="31"/>
  <c r="G51" i="31"/>
  <c r="I51" i="31"/>
  <c r="K51" i="31"/>
  <c r="M51" i="31"/>
  <c r="O51" i="31"/>
  <c r="E52" i="31"/>
  <c r="Q52" i="31"/>
  <c r="G52" i="31"/>
  <c r="I52" i="31"/>
  <c r="K52" i="31"/>
  <c r="M52" i="31"/>
  <c r="O52" i="31"/>
  <c r="E53" i="31"/>
  <c r="Q53" i="31"/>
  <c r="G53" i="31"/>
  <c r="I53" i="31"/>
  <c r="K53" i="31"/>
  <c r="M53" i="31"/>
  <c r="O53" i="31"/>
  <c r="E54" i="31"/>
  <c r="Q54" i="31"/>
  <c r="G54" i="31"/>
  <c r="I54" i="31"/>
  <c r="K54" i="31"/>
  <c r="M54" i="31"/>
  <c r="O54" i="31"/>
  <c r="E55" i="31"/>
  <c r="Q55" i="31"/>
  <c r="G55" i="31"/>
  <c r="I55" i="31"/>
  <c r="K55" i="31"/>
  <c r="M55" i="31"/>
  <c r="O55" i="31"/>
  <c r="E56" i="31"/>
  <c r="Q56" i="31"/>
  <c r="G56" i="31"/>
  <c r="I56" i="31"/>
  <c r="K56" i="31"/>
  <c r="M56" i="31"/>
  <c r="O56" i="31"/>
  <c r="E57" i="31"/>
  <c r="Q57" i="31"/>
  <c r="G57" i="31"/>
  <c r="I57" i="31"/>
  <c r="K57" i="31"/>
  <c r="M57" i="31"/>
  <c r="O57" i="31"/>
  <c r="E58" i="31"/>
  <c r="Q58" i="31"/>
  <c r="G58" i="31"/>
  <c r="I58" i="31"/>
  <c r="K58" i="31"/>
  <c r="M58" i="31"/>
  <c r="O58" i="31"/>
  <c r="E59" i="31"/>
  <c r="Q59" i="31"/>
  <c r="G59" i="31"/>
  <c r="I59" i="31"/>
  <c r="K59" i="31"/>
  <c r="M59" i="31"/>
  <c r="O59" i="31"/>
  <c r="E60" i="31"/>
  <c r="Q60" i="31"/>
  <c r="G60" i="31"/>
  <c r="I60" i="31"/>
  <c r="K60" i="31"/>
  <c r="M60" i="31"/>
  <c r="O60" i="31"/>
  <c r="C61" i="31"/>
  <c r="E61" i="31"/>
  <c r="Q61" i="31"/>
  <c r="G61" i="31"/>
  <c r="I61" i="31"/>
  <c r="K61" i="31"/>
  <c r="M61" i="31"/>
  <c r="O61" i="31"/>
  <c r="C62" i="31"/>
  <c r="E62" i="31"/>
  <c r="Q62" i="31"/>
  <c r="G62" i="31"/>
  <c r="I62" i="31"/>
  <c r="K62" i="31"/>
  <c r="M62" i="31"/>
  <c r="O62" i="31"/>
  <c r="E63" i="31"/>
  <c r="Q63" i="31"/>
  <c r="G63" i="31"/>
  <c r="I63" i="31"/>
  <c r="K63" i="31"/>
  <c r="M63" i="31"/>
  <c r="O63" i="31"/>
  <c r="E64" i="31"/>
  <c r="Q64" i="31"/>
  <c r="G64" i="31"/>
  <c r="I64" i="31"/>
  <c r="K64" i="31"/>
  <c r="M64" i="31"/>
  <c r="O64" i="31"/>
  <c r="E65" i="31"/>
  <c r="Q65" i="31"/>
  <c r="G65" i="31"/>
  <c r="I65" i="31"/>
  <c r="K65" i="31"/>
  <c r="M65" i="31"/>
  <c r="O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22" i="31"/>
  <c r="B15" i="74"/>
  <c r="K24" i="77"/>
  <c r="F12" i="77"/>
  <c r="H12" i="77"/>
  <c r="I12" i="77"/>
  <c r="F7" i="77"/>
  <c r="H7" i="77"/>
  <c r="I7" i="77"/>
  <c r="F3" i="77"/>
  <c r="H3" i="77"/>
  <c r="I3" i="77"/>
  <c r="BB10" i="3"/>
  <c r="BB5" i="3"/>
  <c r="BC10" i="3"/>
  <c r="BD10" i="3"/>
  <c r="BE10" i="3"/>
  <c r="BF10" i="3"/>
  <c r="BG10" i="3"/>
  <c r="BH10" i="3"/>
  <c r="BI10" i="3"/>
  <c r="BJ10" i="3"/>
  <c r="BK10" i="3"/>
  <c r="BC5" i="3"/>
  <c r="BD5" i="3"/>
  <c r="BE5" i="3"/>
  <c r="BF5" i="3"/>
  <c r="BG5" i="3"/>
  <c r="BH5" i="3"/>
  <c r="BI5" i="3"/>
  <c r="BJ5" i="3"/>
  <c r="BK5" i="3"/>
  <c r="E8" i="6"/>
  <c r="E56" i="39"/>
  <c r="D3" i="39"/>
  <c r="G5" i="39"/>
  <c r="E5" i="39"/>
  <c r="I7" i="39"/>
  <c r="G7" i="39"/>
  <c r="E7" i="39"/>
  <c r="I5" i="39"/>
  <c r="A24" i="31"/>
  <c r="C13" i="3"/>
  <c r="A45" i="31"/>
  <c r="A25" i="31"/>
  <c r="A26" i="31"/>
  <c r="A27" i="31"/>
  <c r="A28" i="31"/>
  <c r="A29" i="31"/>
  <c r="A30" i="31"/>
  <c r="A31" i="31"/>
  <c r="A32" i="31"/>
  <c r="A33" i="31"/>
  <c r="A34" i="31"/>
  <c r="A35" i="31"/>
  <c r="A36" i="31"/>
  <c r="A38" i="31"/>
  <c r="A39" i="31"/>
  <c r="A40" i="31"/>
  <c r="A41" i="31"/>
  <c r="A42" i="31"/>
  <c r="A43" i="31"/>
  <c r="A44" i="31"/>
  <c r="C24" i="77"/>
  <c r="F7" i="1"/>
  <c r="B24"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C25" i="71"/>
  <c r="C26" i="71"/>
  <c r="C27" i="71"/>
  <c r="M19" i="43"/>
  <c r="D12" i="71"/>
  <c r="AH10" i="71"/>
  <c r="AG10" i="71"/>
  <c r="AE10" i="71"/>
  <c r="AF10" i="71"/>
  <c r="AD10" i="71"/>
  <c r="M19" i="9"/>
  <c r="C118" i="9"/>
  <c r="C14" i="74"/>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A7" i="1"/>
  <c r="G1"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9" i="68"/>
  <c r="E9" i="68"/>
  <c r="C9" i="68"/>
  <c r="E6" i="6"/>
  <c r="D10" i="68"/>
  <c r="E10" i="68"/>
  <c r="C10" i="68"/>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D50" i="43"/>
  <c r="D51" i="43"/>
  <c r="D52" i="43"/>
  <c r="D53" i="43"/>
  <c r="D54" i="43"/>
  <c r="D55"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1" i="15"/>
  <c r="Q59" i="15"/>
  <c r="AE10" i="1"/>
  <c r="AE11" i="1"/>
  <c r="AE12" i="1"/>
  <c r="AE13" i="1"/>
  <c r="AG7" i="1"/>
  <c r="AG8" i="1"/>
  <c r="AG9" i="1"/>
  <c r="AG10" i="1"/>
  <c r="AG11" i="1"/>
  <c r="AG12" i="1"/>
  <c r="AG13" i="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25" i="33"/>
  <c r="D123" i="33"/>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101" i="33"/>
  <c r="E101"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F59" i="43"/>
  <c r="H62" i="43"/>
  <c r="F29"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 i="12"/>
  <c r="F31"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O6" i="1"/>
  <c r="P6" i="1"/>
  <c r="F30" i="68"/>
  <c r="F30" i="11"/>
  <c r="C48" i="11"/>
  <c r="F52" i="9"/>
  <c r="M18"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71" i="72"/>
  <c r="D2" i="34"/>
  <c r="M23" i="15"/>
  <c r="D2" i="33"/>
  <c r="E13" i="76"/>
  <c r="J15" i="67"/>
  <c r="B10" i="76"/>
  <c r="M27" i="67"/>
  <c r="AO8" i="1"/>
  <c r="B8" i="76"/>
  <c r="F3" i="73"/>
  <c r="M29" i="67"/>
  <c r="E7" i="76"/>
  <c r="AO7" i="1"/>
  <c r="F20" i="31"/>
  <c r="D2" i="35"/>
  <c r="M21" i="15"/>
  <c r="L47" i="67"/>
  <c r="F5" i="73"/>
  <c r="M24" i="15"/>
  <c r="D2" i="21"/>
  <c r="M26" i="15"/>
  <c r="J57" i="15"/>
  <c r="J55" i="15"/>
  <c r="J58" i="15"/>
  <c r="J59" i="15"/>
  <c r="C76" i="15"/>
  <c r="L51" i="15"/>
  <c r="L47" i="15"/>
  <c r="L58" i="15"/>
  <c r="M59" i="15"/>
  <c r="N59" i="15"/>
  <c r="L59" i="15"/>
  <c r="J57" i="67"/>
  <c r="J55" i="67"/>
  <c r="J58" i="67"/>
  <c r="J59" i="67"/>
  <c r="C76" i="67"/>
  <c r="L51" i="67"/>
  <c r="L57" i="67"/>
  <c r="L58" i="67"/>
  <c r="L59" i="67"/>
  <c r="L60" i="67"/>
  <c r="AO6" i="1"/>
  <c r="B12" i="76"/>
  <c r="E11" i="76"/>
  <c r="M29" i="15"/>
  <c r="F7" i="73"/>
  <c r="E10" i="76"/>
  <c r="M22" i="67"/>
  <c r="AO10" i="1"/>
  <c r="AO12" i="1"/>
  <c r="F6" i="73"/>
  <c r="M26" i="67"/>
  <c r="D34" i="9"/>
  <c r="M23" i="67"/>
  <c r="D2" i="37"/>
  <c r="E9" i="76"/>
  <c r="E2" i="69"/>
  <c r="M21" i="67"/>
  <c r="E2" i="68"/>
  <c r="M27" i="15"/>
  <c r="E12" i="76"/>
  <c r="J15" i="15"/>
  <c r="M28" i="15"/>
  <c r="AO9" i="1"/>
  <c r="D2" i="36"/>
  <c r="M22" i="15"/>
  <c r="M24" i="67"/>
  <c r="B11" i="76"/>
  <c r="AO13" i="1"/>
  <c r="B13" i="76"/>
  <c r="B9" i="76"/>
  <c r="M28" i="67"/>
  <c r="AO11" i="1"/>
  <c r="B7" i="76"/>
  <c r="E8" i="76"/>
  <c r="C65" i="40"/>
  <c r="D63" i="40"/>
  <c r="C36" i="11"/>
  <c r="C33" i="11"/>
  <c r="C39" i="11"/>
  <c r="C46" i="11"/>
  <c r="C45" i="11"/>
  <c r="C36" i="68"/>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D19" i="68"/>
  <c r="C19"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M59" i="67"/>
  <c r="N59" i="67"/>
  <c r="F68"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33" i="68"/>
  <c r="C39" i="68"/>
  <c r="J24" i="67"/>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B49" i="72"/>
  <c r="C46" i="68"/>
  <c r="C45" i="68"/>
  <c r="C26" i="68"/>
  <c r="D22" i="68"/>
  <c r="C24" i="68"/>
  <c r="C44" i="68"/>
  <c r="D41" i="68"/>
  <c r="C42" i="68"/>
  <c r="C66" i="15"/>
  <c r="C60" i="15"/>
  <c r="C60" i="67"/>
  <c r="C66" i="67"/>
  <c r="D14" i="74"/>
  <c r="H119" i="9"/>
  <c r="H5" i="52"/>
  <c r="H4" i="52"/>
  <c r="C104" i="9"/>
  <c r="B51" i="72"/>
  <c r="B53" i="72"/>
  <c r="B52" i="72"/>
  <c r="C43" i="68"/>
  <c r="C25" i="69"/>
  <c r="C43" i="69"/>
  <c r="C26" i="11"/>
  <c r="D22" i="11"/>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I4" i="52"/>
  <c r="C105" i="9"/>
  <c r="B48" i="72"/>
  <c r="B21" i="72"/>
  <c r="C41" i="68"/>
  <c r="C49" i="68"/>
  <c r="C51" i="68"/>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79" i="9"/>
  <c r="C95" i="9"/>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66" i="67"/>
  <c r="Q75" i="67"/>
  <c r="Q57" i="67"/>
  <c r="Q62"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L49" i="15"/>
  <c r="L57" i="15"/>
  <c r="L60" i="15"/>
  <c r="Q57" i="15"/>
  <c r="Q62" i="15"/>
  <c r="Q66" i="15"/>
  <c r="Q75" i="15"/>
  <c r="C6" i="68"/>
  <c r="C7" i="68"/>
  <c r="C5" i="68"/>
  <c r="C20" i="68"/>
  <c r="C23" i="68"/>
  <c r="C25" i="68"/>
  <c r="C22" i="68"/>
  <c r="C28" i="68"/>
  <c r="C27" i="68"/>
  <c r="C31" i="68"/>
  <c r="C52" i="68"/>
  <c r="C57" i="68"/>
  <c r="C56" i="68"/>
  <c r="B2" i="68"/>
  <c r="B3" i="68"/>
  <c r="S10" i="39"/>
  <c r="F10" i="40"/>
  <c r="S10" i="40"/>
  <c r="AA10" i="40"/>
  <c r="H10" i="40"/>
  <c r="AB10" i="40"/>
  <c r="U10" i="40"/>
  <c r="J10" i="40"/>
  <c r="AC10" i="40"/>
  <c r="W10" i="40"/>
  <c r="W10" i="39"/>
  <c r="U10" i="39"/>
  <c r="Q58"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<sst xmlns="http://schemas.openxmlformats.org/spreadsheetml/2006/main" count="8351" uniqueCount="3465">
  <si>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</si>
  <si>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</si>
  <si>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</si>
  <si>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</si>
  <si>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</si>
  <si>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</si>
  <si>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</si>
  <si>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</si>
  <si>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</si>
  <si>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</si>
  <si>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</si>
  <si>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</si>
  <si>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</si>
  <si>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</si>
  <si>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</si>
  <si>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</si>
  <si>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</si>
  <si>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</si>
  <si>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</si>
  <si>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</si>
  <si>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</si>
  <si>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</si>
  <si>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</si>
  <si>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</si>
  <si>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</si>
  <si>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</si>
  <si>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</si>
  <si>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</si>
  <si>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</si>
  <si>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</si>
  <si>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</si>
  <si>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</si>
  <si>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</si>
  <si>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</si>
  <si>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</si>
  <si>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</si>
  <si>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</si>
  <si>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</si>
  <si>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</si>
  <si>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</si>
  <si>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</si>
  <si>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</si>
  <si>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</si>
  <si>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</si>
  <si>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</si>
  <si>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</si>
  <si>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</si>
  <si>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</si>
  <si>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</si>
  <si>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</si>
  <si>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</si>
  <si>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</si>
  <si>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</si>
  <si>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</si>
  <si>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</si>
  <si>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</si>
  <si>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</si>
  <si>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</si>
  <si>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</si>
  <si>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</si>
  <si>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</si>
  <si>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</si>
  <si>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</si>
  <si>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</si>
  <si>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</si>
  <si>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</si>
  <si>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</si>
  <si>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</si>
  <si>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</si>
  <si>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</si>
  <si>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</si>
  <si>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</si>
  <si>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</si>
  <si>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</si>
  <si>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</si>
  <si>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</si>
  <si>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</si>
  <si>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</si>
  <si>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</si>
  <si>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</si>
  <si>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</si>
  <si>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</si>
  <si>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</si>
  <si>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</si>
  <si>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</si>
  <si>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</si>
  <si>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</si>
  <si>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</si>
  <si>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</si>
  <si>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</si>
  <si>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</si>
  <si>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</si>
  <si>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</si>
  <si>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</si>
  <si>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</si>
  <si>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</si>
  <si>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</si>
  <si>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</si>
  <si>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</si>
  <si>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</si>
  <si>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</si>
  <si>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</si>
  <si>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</si>
  <si>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</si>
  <si>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</si>
  <si>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</si>
  <si>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</si>
  <si>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</si>
  <si>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</si>
  <si>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</si>
  <si>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</si>
  <si>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</si>
  <si>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</si>
  <si>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</si>
  <si>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</si>
  <si>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</si>
  <si>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</si>
  <si>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</si>
  <si>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</si>
  <si>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</si>
  <si>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</si>
  <si>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</si>
  <si>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</si>
  <si>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</si>
  <si>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</si>
  <si>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</si>
  <si>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</si>
  <si>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</si>
  <si>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</si>
  <si>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</si>
  <si>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</si>
  <si>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</si>
  <si>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</si>
  <si>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</si>
  <si>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</si>
  <si>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</si>
  <si>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</si>
  <si>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</si>
  <si>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</si>
  <si>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</si>
  <si>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</si>
  <si>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</si>
  <si>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</si>
  <si>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</si>
  <si>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</si>
  <si>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</si>
  <si>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</si>
  <si>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</si>
  <si>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</si>
  <si>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</si>
  <si>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</si>
  <si>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</si>
  <si>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</si>
  <si>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</si>
  <si>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</si>
  <si>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</si>
  <si>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</si>
  <si>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</si>
  <si>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</si>
  <si>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</si>
  <si>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</si>
  <si>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</si>
  <si>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</si>
  <si>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</si>
  <si>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</si>
  <si>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</si>
  <si>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</si>
  <si>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</si>
  <si>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</si>
  <si>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</si>
  <si>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</si>
  <si>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</si>
  <si>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</si>
  <si>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</si>
  <si>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</si>
  <si>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</si>
  <si>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</si>
  <si>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</si>
  <si>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</si>
  <si>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</si>
  <si>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</si>
  <si>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</si>
  <si>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</si>
  <si>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</si>
  <si>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</si>
  <si>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</si>
  <si>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</si>
  <si>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</si>
  <si>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</si>
  <si>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</si>
  <si>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</si>
  <si>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</si>
  <si>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</si>
  <si>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</si>
  <si>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</si>
  <si>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</si>
  <si>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</si>
  <si>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</si>
  <si>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</si>
  <si>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</si>
  <si>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</si>
  <si>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</si>
  <si>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</si>
  <si>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</si>
  <si>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</si>
  <si>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</si>
  <si>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</si>
  <si>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</si>
  <si>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</si>
  <si>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</si>
  <si>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</si>
  <si>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</si>
  <si>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</si>
  <si>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</si>
  <si>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</si>
  <si>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</si>
  <si>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</si>
  <si>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</si>
  <si>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</si>
  <si>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</si>
  <si>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</si>
  <si>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</si>
  <si>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</si>
  <si>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</si>
  <si>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</si>
  <si>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</si>
  <si>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</si>
  <si>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</si>
  <si>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</si>
  <si>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</si>
  <si>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</si>
  <si>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</si>
  <si>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</si>
  <si>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</si>
  <si>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</si>
  <si>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</si>
  <si>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</si>
  <si>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</si>
  <si>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</si>
  <si>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</si>
  <si>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</si>
  <si>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</si>
  <si>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</si>
  <si>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</si>
  <si>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</si>
  <si>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</si>
  <si>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</si>
  <si>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</si>
  <si>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</si>
  <si>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</si>
  <si>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</si>
  <si>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</si>
  <si>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</si>
  <si>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</si>
  <si>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</si>
  <si>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</si>
  <si>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</si>
  <si>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</si>
  <si>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</si>
  <si>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</si>
  <si>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</si>
  <si>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</si>
  <si>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</si>
  <si>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</si>
  <si>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</si>
  <si>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</si>
  <si>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</si>
  <si>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</si>
  <si>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</si>
  <si>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</si>
  <si>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</si>
  <si>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</si>
  <si>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</si>
  <si>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</si>
  <si>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</si>
  <si>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</si>
  <si>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</si>
  <si>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</si>
  <si>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</si>
  <si>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</si>
  <si>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</si>
  <si>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</si>
  <si>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</si>
  <si>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</si>
  <si>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</si>
  <si>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</si>
  <si>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</si>
  <si>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</si>
  <si>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</si>
  <si>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</si>
  <si>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</si>
  <si>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</si>
  <si>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</si>
  <si>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</si>
  <si>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</si>
  <si>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</si>
  <si>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</si>
  <si>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</si>
  <si>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</si>
  <si>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</si>
  <si>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</si>
  <si>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</si>
  <si>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</si>
  <si>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</si>
  <si>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</si>
  <si>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</si>
  <si>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</si>
  <si>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</si>
  <si>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</si>
  <si>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</si>
  <si>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</si>
  <si>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</si>
  <si>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</si>
  <si>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</si>
  <si>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</si>
  <si>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</si>
  <si>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</si>
  <si>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</si>
  <si>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</si>
  <si>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</si>
  <si>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</si>
  <si>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</si>
  <si>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</si>
  <si>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</si>
  <si>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</si>
  <si>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</si>
  <si>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</si>
  <si>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</si>
  <si>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</si>
  <si>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</si>
  <si>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</si>
  <si>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</si>
  <si>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</si>
  <si>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</si>
  <si>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</si>
  <si>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</si>
  <si>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</si>
  <si>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</si>
  <si>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</si>
  <si>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</si>
  <si>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</si>
  <si>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</si>
  <si>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</si>
  <si>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</si>
  <si>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</si>
  <si>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</si>
  <si>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</si>
  <si>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</si>
  <si>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</si>
  <si>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</si>
  <si>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</si>
  <si>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</si>
  <si>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</si>
  <si>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</si>
  <si>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</si>
  <si>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</si>
  <si>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</si>
  <si>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</si>
  <si>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</si>
  <si>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</si>
  <si>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</si>
  <si>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</si>
  <si>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</si>
  <si>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</si>
  <si>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</si>
  <si>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</si>
  <si>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</si>
  <si>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</si>
  <si>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</si>
  <si>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</si>
  <si>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</si>
  <si>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</si>
  <si>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</si>
  <si>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</si>
  <si>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</si>
  <si>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</si>
  <si>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</si>
  <si>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</si>
  <si>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</si>
  <si>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</si>
  <si>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</si>
  <si>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</si>
  <si>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</si>
  <si>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</si>
  <si>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</si>
  <si>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</si>
  <si>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</si>
  <si>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</si>
  <si>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</si>
  <si>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</si>
  <si>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</si>
  <si>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</si>
  <si>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</si>
  <si>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</si>
  <si>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</si>
  <si>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</si>
  <si>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</si>
  <si>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</si>
  <si>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</si>
  <si>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</si>
  <si>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</si>
  <si>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</si>
  <si>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</si>
  <si>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</si>
  <si>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</si>
  <si>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</si>
  <si>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</si>
  <si>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</si>
  <si>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</si>
  <si>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</si>
  <si>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</si>
  <si>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</si>
  <si>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</si>
  <si>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</si>
  <si>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</si>
  <si>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</si>
  <si>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</si>
  <si>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</si>
  <si>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</si>
  <si>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</si>
  <si>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</si>
  <si>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</si>
  <si>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</si>
  <si>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</si>
  <si>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</si>
  <si>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</si>
  <si>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</si>
  <si>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</si>
  <si>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</si>
  <si>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</si>
  <si>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</si>
  <si>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</si>
  <si>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</si>
  <si>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</si>
  <si>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</si>
  <si>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</si>
  <si>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</si>
  <si>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</si>
  <si>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</si>
  <si>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</si>
  <si>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</si>
  <si>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</si>
  <si>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</si>
  <si>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</si>
  <si>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</si>
  <si>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</si>
  <si>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</si>
  <si>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</si>
  <si>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</si>
  <si>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</si>
  <si>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</si>
  <si>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</si>
  <si>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</si>
  <si>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</si>
  <si>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</si>
  <si>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</si>
  <si>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</si>
  <si>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</si>
  <si>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</si>
  <si>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</si>
  <si>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</si>
  <si>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</si>
  <si>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</si>
  <si>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</si>
  <si>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</si>
  <si>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</si>
  <si>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</si>
  <si>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</si>
  <si>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</si>
  <si>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</si>
  <si>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</si>
  <si>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</si>
  <si>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</si>
  <si>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</si>
  <si>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</si>
  <si>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</si>
  <si>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</si>
  <si>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</si>
  <si>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</si>
  <si>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</si>
  <si>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</si>
  <si>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</si>
  <si>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</si>
  <si>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</si>
  <si>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</si>
  <si>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</si>
  <si>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</si>
  <si>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</si>
  <si>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</si>
  <si>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</si>
  <si>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</si>
  <si>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</si>
  <si>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</si>
  <si>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</si>
  <si>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</si>
  <si>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</si>
  <si>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</si>
  <si>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</si>
  <si>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</si>
  <si>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</si>
  <si>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</si>
  <si>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</si>
  <si>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</si>
  <si>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</si>
  <si>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</si>
  <si>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</si>
  <si>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</si>
  <si>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</si>
  <si>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</si>
  <si>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</si>
  <si>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</si>
  <si>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</si>
  <si>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</si>
  <si>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</si>
  <si>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</si>
  <si>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</si>
  <si>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</si>
  <si>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</si>
  <si>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</si>
  <si>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</si>
  <si>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</si>
  <si>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</si>
  <si>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</si>
  <si>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</si>
  <si>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</si>
  <si>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</si>
  <si>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</si>
  <si>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</si>
  <si>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</si>
  <si>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</si>
  <si>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</si>
  <si>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</si>
  <si>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</si>
  <si>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</si>
  <si>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</si>
  <si>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</si>
  <si>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</si>
  <si>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</si>
  <si>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</si>
  <si>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</si>
  <si>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</si>
  <si>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</si>
  <si>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</si>
  <si>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</si>
  <si>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</si>
  <si>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</si>
  <si>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</si>
  <si>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</si>
  <si>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</si>
  <si>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</si>
  <si>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</si>
  <si>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</si>
  <si>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</si>
  <si>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</si>
  <si>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</si>
  <si>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</si>
  <si>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</si>
  <si>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</si>
  <si>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</si>
  <si>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</si>
  <si>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</si>
  <si>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</si>
  <si>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</si>
  <si>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</si>
  <si>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</si>
  <si>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</si>
  <si>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</si>
  <si>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</si>
  <si>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</si>
  <si>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</si>
  <si>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</si>
  <si>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</si>
  <si>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</si>
  <si>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</si>
  <si>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</si>
  <si>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</si>
  <si>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</si>
  <si>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</si>
  <si>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</si>
  <si>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</si>
  <si>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</si>
  <si>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</si>
  <si>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</si>
  <si>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</si>
  <si>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</si>
  <si>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</si>
  <si>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</si>
  <si>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</si>
  <si>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</si>
  <si>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</si>
  <si>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</si>
  <si>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</si>
  <si>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</si>
  <si>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</si>
  <si>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</si>
  <si>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</si>
  <si>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</si>
  <si>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</si>
  <si>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</si>
  <si>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</si>
  <si>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</si>
  <si>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</si>
  <si>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</si>
  <si>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</si>
  <si>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</si>
  <si>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</si>
  <si>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</si>
  <si>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</si>
  <si>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</si>
  <si>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</si>
  <si>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</si>
  <si>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</si>
  <si>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</si>
  <si>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</si>
  <si>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</si>
  <si>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</si>
  <si>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</si>
  <si>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</si>
  <si>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</si>
  <si>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</si>
  <si>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</si>
  <si>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</si>
  <si>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</si>
  <si>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</si>
  <si>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</si>
  <si>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</si>
  <si>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</si>
  <si>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</si>
  <si>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</si>
  <si>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</si>
  <si>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</si>
  <si>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</si>
  <si>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</si>
  <si>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</si>
  <si>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</si>
  <si>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</si>
  <si>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</si>
  <si>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</si>
  <si>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</si>
  <si>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</si>
  <si>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</si>
  <si>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</si>
  <si>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</si>
  <si>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</si>
  <si>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</si>
  <si>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</si>
  <si>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</si>
  <si>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</si>
  <si>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</si>
  <si>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</si>
  <si>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</si>
  <si>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</si>
  <si>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</si>
  <si>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</si>
  <si>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</si>
  <si>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</si>
  <si>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</si>
  <si>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</si>
  <si>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</si>
  <si>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</si>
  <si>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</si>
  <si>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</si>
  <si>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</si>
  <si>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</si>
  <si>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</si>
  <si>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</si>
  <si>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</si>
  <si>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</si>
  <si>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</si>
  <si>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</si>
  <si>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</si>
  <si>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</si>
  <si>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</si>
  <si>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</si>
  <si>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</si>
  <si>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</si>
  <si>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</si>
  <si>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</si>
  <si>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</si>
  <si>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</si>
  <si>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</si>
  <si>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</si>
  <si>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</si>
  <si>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</si>
  <si>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</si>
  <si>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</si>
  <si>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</si>
  <si>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</si>
  <si>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</si>
  <si>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</si>
  <si>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</si>
  <si>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</si>
  <si>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</si>
  <si>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</si>
  <si>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</si>
  <si>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</si>
  <si>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</si>
  <si>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</si>
  <si>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</si>
  <si>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</si>
  <si>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</si>
  <si>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</si>
  <si>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</si>
  <si>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</si>
  <si>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</si>
  <si>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</si>
  <si>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</si>
  <si>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</si>
  <si>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</si>
  <si>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</si>
  <si>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</si>
  <si>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</si>
  <si>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</si>
  <si>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</si>
  <si>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</si>
  <si>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</si>
  <si>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</si>
  <si>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</si>
  <si>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</si>
  <si>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</si>
  <si>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</si>
  <si>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</si>
  <si>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</si>
  <si>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</si>
  <si>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</si>
  <si>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</si>
  <si>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</si>
  <si>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</si>
  <si>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</si>
  <si>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</si>
  <si>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</si>
  <si>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</si>
  <si>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</si>
  <si>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</si>
  <si>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</si>
  <si>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</si>
  <si>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</si>
  <si>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</si>
  <si>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</si>
  <si>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</si>
  <si>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</si>
  <si>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</si>
  <si>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</si>
  <si>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</si>
  <si>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</si>
  <si>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</si>
  <si>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</si>
  <si>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</si>
  <si>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</si>
  <si>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</si>
  <si>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</si>
  <si>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</si>
  <si>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</si>
  <si>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</si>
  <si>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</si>
  <si>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</si>
  <si>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</si>
  <si>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</si>
  <si>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</si>
  <si>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</si>
  <si>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</si>
  <si>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</si>
  <si>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</si>
  <si>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</si>
  <si>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</si>
  <si>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</si>
  <si>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</si>
  <si>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</si>
  <si>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</si>
  <si>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</si>
  <si>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</si>
  <si>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</si>
  <si>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</si>
  <si>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</si>
  <si>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</si>
  <si>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</si>
  <si>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</si>
  <si>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</si>
  <si>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</si>
  <si>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</si>
  <si>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</si>
  <si>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</si>
  <si>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</si>
  <si>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</si>
  <si>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</si>
  <si>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</si>
  <si>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</si>
  <si>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</si>
  <si>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</si>
  <si>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</si>
  <si>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</si>
  <si>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</si>
  <si>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</si>
  <si>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</si>
  <si>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</si>
  <si>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</si>
  <si>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</si>
  <si>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</si>
  <si>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</si>
  <si>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</si>
  <si>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</si>
  <si>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</si>
  <si>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</si>
  <si>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</si>
  <si>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</si>
  <si>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</si>
  <si>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</si>
  <si>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</si>
  <si>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</si>
  <si>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</si>
  <si>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</si>
  <si>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</si>
  <si>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</si>
  <si>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</si>
  <si>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</si>
  <si>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</si>
  <si>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</si>
  <si>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</si>
  <si>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</si>
  <si>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</si>
  <si>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</si>
  <si>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</si>
  <si>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</si>
  <si>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</si>
  <si>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</si>
  <si>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</si>
  <si>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</si>
  <si>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</si>
  <si>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</si>
  <si>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</si>
  <si>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</si>
  <si>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</si>
  <si>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</si>
  <si>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</si>
  <si>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</si>
  <si>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</si>
  <si>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</si>
  <si>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</si>
  <si>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</si>
  <si>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</si>
  <si>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</si>
  <si>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</si>
  <si>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</si>
  <si>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</si>
  <si>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</si>
  <si>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</si>
  <si>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</si>
  <si>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</si>
  <si>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</si>
  <si>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</si>
  <si>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</si>
  <si>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</si>
  <si>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</si>
  <si>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</si>
  <si>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</si>
  <si>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</si>
  <si>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</si>
  <si>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</si>
  <si>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</si>
  <si>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</si>
  <si>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</si>
  <si>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</si>
  <si>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</si>
  <si>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</si>
  <si>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</si>
  <si>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</si>
  <si>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</si>
  <si>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</si>
  <si>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</si>
  <si>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</si>
  <si>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</si>
  <si>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</si>
  <si>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</si>
  <si>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</si>
  <si>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</si>
  <si>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</si>
  <si>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</si>
  <si>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</si>
  <si>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</si>
  <si>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</si>
  <si>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</si>
  <si>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</si>
  <si>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</si>
  <si>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</si>
  <si>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</si>
  <si>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</si>
  <si>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</si>
  <si>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</si>
  <si>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</si>
  <si>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</si>
  <si>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</si>
  <si>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</si>
  <si>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</si>
  <si>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</si>
  <si>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</si>
  <si>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</si>
  <si>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</si>
  <si>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</si>
  <si>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</si>
  <si>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</si>
  <si>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</si>
  <si>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</si>
  <si>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</si>
  <si>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</si>
  <si>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</si>
  <si>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</si>
  <si>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</si>
  <si>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</si>
  <si>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</si>
  <si>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</si>
  <si>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</si>
  <si>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</si>
  <si>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</si>
  <si>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</si>
  <si>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</si>
  <si>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</si>
  <si>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</si>
  <si>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</si>
  <si>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</si>
  <si>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</si>
  <si>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</si>
  <si>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</si>
  <si>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</si>
  <si>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</si>
  <si>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</si>
  <si>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</si>
  <si>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</si>
  <si>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</si>
  <si>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</si>
  <si>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</si>
  <si>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</si>
  <si>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</si>
  <si>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</si>
  <si>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</si>
  <si>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</si>
  <si>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</si>
  <si>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</si>
  <si>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</si>
  <si>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</si>
  <si>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</si>
  <si>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</si>
  <si>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</si>
  <si>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</si>
  <si>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</si>
  <si>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</si>
  <si>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</si>
  <si>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</si>
  <si>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</si>
  <si>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</si>
  <si>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</si>
  <si>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</si>
  <si>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</si>
  <si>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</si>
  <si>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</si>
  <si>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</si>
  <si>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</si>
  <si>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</si>
  <si>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</si>
  <si>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</si>
  <si>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</si>
  <si>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</si>
  <si>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</si>
  <si>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</si>
  <si>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</si>
  <si>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</si>
  <si>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</si>
  <si>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</si>
  <si>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</si>
  <si>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</si>
  <si>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</si>
  <si>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</si>
  <si>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</si>
  <si>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</si>
  <si>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</si>
  <si>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</si>
  <si>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</si>
  <si>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</si>
  <si>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</si>
  <si>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</si>
  <si>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</si>
  <si>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</si>
  <si>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</si>
  <si>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</si>
  <si>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</si>
  <si>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</si>
  <si>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</si>
  <si>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</si>
  <si>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</si>
  <si>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</si>
  <si>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</si>
  <si>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</si>
  <si>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</si>
  <si>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</si>
  <si>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</si>
  <si>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</si>
  <si>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</si>
  <si>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</si>
  <si>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</si>
  <si>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</si>
  <si>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</si>
  <si>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</si>
  <si>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</si>
  <si>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</si>
  <si>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</si>
  <si>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</si>
  <si>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</si>
  <si>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</si>
  <si>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</si>
  <si>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</si>
  <si>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</si>
  <si>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</si>
  <si>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</si>
  <si>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</si>
  <si>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</si>
  <si>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</si>
  <si>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</si>
  <si>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</si>
  <si>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</si>
  <si>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</si>
  <si>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</si>
  <si>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</si>
  <si>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</si>
  <si>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</si>
  <si>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</si>
  <si>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</si>
  <si>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</si>
  <si>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</si>
  <si>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</si>
  <si>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</si>
  <si>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</si>
  <si>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</si>
  <si>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</si>
  <si>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</si>
  <si>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</si>
  <si>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</si>
  <si>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</si>
  <si>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</si>
  <si>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</si>
  <si>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</si>
  <si>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</si>
  <si>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</si>
  <si>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</si>
  <si>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</si>
  <si>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</si>
  <si>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</si>
  <si>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</si>
  <si>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</si>
  <si>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</si>
  <si>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</si>
  <si>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</si>
  <si>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</si>
  <si>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</si>
  <si>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</si>
  <si>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</si>
  <si>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</si>
  <si>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</si>
  <si>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</si>
  <si>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</si>
  <si>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</si>
  <si>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</si>
  <si>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</si>
  <si>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</si>
  <si>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</si>
  <si>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</si>
  <si>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</si>
  <si>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</si>
  <si>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</si>
  <si>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</si>
  <si>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</si>
  <si>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</si>
  <si>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</si>
  <si>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</si>
  <si>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</si>
  <si>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</si>
  <si>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</si>
  <si>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</si>
  <si>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</si>
  <si>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</si>
  <si>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</si>
  <si>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</si>
  <si>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</si>
  <si>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</si>
  <si>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</si>
  <si>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</si>
  <si>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</si>
  <si>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</si>
  <si>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</si>
  <si>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</si>
  <si>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</si>
  <si>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</si>
  <si>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</si>
  <si>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</si>
  <si>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</si>
  <si>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</si>
  <si>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</si>
  <si>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</si>
  <si>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</si>
  <si>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</si>
  <si>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</si>
  <si>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</si>
  <si>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</si>
  <si>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</si>
  <si>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</si>
  <si>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</si>
  <si>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</si>
  <si>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</si>
  <si>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</si>
  <si>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</si>
  <si>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</si>
  <si>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</si>
  <si>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</si>
  <si>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</si>
  <si>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</si>
  <si>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</si>
  <si>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</si>
  <si>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</si>
  <si>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</si>
  <si>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</si>
  <si>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</si>
  <si>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</si>
  <si>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</si>
  <si>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</si>
  <si>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</si>
  <si>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</si>
  <si>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</si>
  <si>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</si>
  <si>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</si>
  <si>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</si>
  <si>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</si>
  <si>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</si>
  <si>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</si>
  <si>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</si>
  <si>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</si>
  <si>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</si>
  <si>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</si>
  <si>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</si>
  <si>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</si>
  <si>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</si>
  <si>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</si>
  <si>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</si>
  <si>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</si>
  <si>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</si>
  <si>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</si>
  <si>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</si>
  <si>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</si>
  <si>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</si>
  <si>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</si>
  <si>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</si>
  <si>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</si>
  <si>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</si>
  <si>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</si>
  <si>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</si>
  <si>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</si>
  <si>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</si>
  <si>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</si>
  <si>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</si>
  <si>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</si>
  <si>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</si>
  <si>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</si>
  <si>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</si>
  <si>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</si>
  <si>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</si>
  <si>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</si>
  <si>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</si>
  <si>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</si>
  <si>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</si>
  <si>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</si>
  <si>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</si>
  <si>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</si>
  <si>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</si>
  <si>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</si>
  <si>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</si>
  <si>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</si>
  <si>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</si>
  <si>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</si>
  <si>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</si>
  <si>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</si>
  <si>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</si>
  <si>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</si>
  <si>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</si>
  <si>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</si>
  <si>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</si>
  <si>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</si>
  <si>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</si>
  <si>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</si>
  <si>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</si>
  <si>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</si>
  <si>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</si>
  <si>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</si>
  <si>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</si>
  <si>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</si>
  <si>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</si>
  <si>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</si>
  <si>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</si>
  <si>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</si>
  <si>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</si>
  <si>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</si>
  <si>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</si>
  <si>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</si>
  <si>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</si>
  <si>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</si>
  <si>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</si>
  <si>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</si>
  <si>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</si>
  <si>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</si>
  <si>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</si>
  <si>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</si>
  <si>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</si>
  <si>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</si>
  <si>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</si>
  <si>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</si>
  <si>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</si>
  <si>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</si>
  <si>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</si>
  <si>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</si>
  <si>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</si>
  <si>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</si>
  <si>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</si>
  <si>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</si>
  <si>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</si>
  <si>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</si>
  <si>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</si>
  <si>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</si>
  <si>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</si>
  <si>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</si>
  <si>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</si>
  <si>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</si>
  <si>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</si>
  <si>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</si>
  <si>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</si>
  <si>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</si>
  <si>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</si>
  <si>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</si>
  <si>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</si>
  <si>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</si>
  <si>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</si>
  <si>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</si>
  <si>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</si>
  <si>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</si>
  <si>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</si>
  <si>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</si>
  <si>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</si>
  <si>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</si>
  <si>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</si>
  <si>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</si>
  <si>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</si>
  <si>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</si>
  <si>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</si>
  <si>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</si>
  <si>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</si>
  <si>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</si>
  <si>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</si>
  <si>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</si>
  <si>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</si>
  <si>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</si>
  <si>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</si>
  <si>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</si>
  <si>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</si>
  <si>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</si>
  <si>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</si>
  <si>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</si>
  <si>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</si>
  <si>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</si>
  <si>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</si>
  <si>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</si>
  <si>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</si>
  <si>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</si>
  <si>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</si>
  <si>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</si>
  <si>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</si>
  <si>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</si>
  <si>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</si>
  <si>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</si>
  <si>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</si>
  <si>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</si>
  <si>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</si>
  <si>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</si>
  <si>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</si>
  <si>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</si>
  <si>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</si>
  <si>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</si>
  <si>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</si>
  <si>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</si>
  <si>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</si>
  <si>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</si>
  <si>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</si>
  <si>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</si>
  <si>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</si>
  <si>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</si>
  <si>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</si>
  <si>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</si>
  <si>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</si>
  <si>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</si>
  <si>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</si>
  <si>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</si>
  <si>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</si>
  <si>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</si>
  <si>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</si>
  <si>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</si>
  <si>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</si>
  <si>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</si>
  <si>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</si>
  <si>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</si>
  <si>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</si>
  <si>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</si>
  <si>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</si>
  <si>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</si>
  <si>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</si>
  <si>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</si>
  <si>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</si>
  <si>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</si>
  <si>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</si>
  <si>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</si>
  <si>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</si>
  <si>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</si>
  <si>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</si>
  <si>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</si>
  <si>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</si>
  <si>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</si>
  <si>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</si>
  <si>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</si>
  <si>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</si>
  <si>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</si>
  <si>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</si>
  <si>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</si>
  <si>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</si>
  <si>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</si>
  <si>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</si>
  <si>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</si>
  <si>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</si>
  <si>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</si>
  <si>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</si>
  <si>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</si>
  <si>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</si>
  <si>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</si>
  <si>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</si>
  <si>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</si>
  <si>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</si>
  <si>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</si>
  <si>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</si>
  <si>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</si>
  <si>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</si>
  <si>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</si>
  <si>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</si>
  <si>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</si>
  <si>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</si>
  <si>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</si>
  <si>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</si>
  <si>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</si>
  <si>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</si>
  <si>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</si>
  <si>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</si>
  <si>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</si>
  <si>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</si>
  <si>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</si>
  <si>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</si>
  <si>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</si>
  <si>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</si>
  <si>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</si>
  <si>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</si>
  <si>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</si>
  <si>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</si>
  <si>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</si>
  <si>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</si>
  <si>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</si>
  <si>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</si>
  <si>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</si>
  <si>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</si>
  <si>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</si>
  <si>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</si>
  <si>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</si>
  <si>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</si>
  <si>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</si>
  <si>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</si>
  <si>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</si>
  <si>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</si>
  <si>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</si>
  <si>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</si>
  <si>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</si>
  <si>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</si>
  <si>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</si>
  <si>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</si>
  <si>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</si>
  <si>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</si>
  <si>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</si>
  <si>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</si>
  <si>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</si>
  <si>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</si>
  <si>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</si>
  <si>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</si>
  <si>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</si>
  <si>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</si>
  <si>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</si>
  <si>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</si>
  <si>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</si>
  <si>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</si>
  <si>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</si>
  <si>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</si>
  <si>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</si>
  <si>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</si>
  <si>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</si>
  <si>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</si>
  <si>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</si>
  <si>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</si>
  <si>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</si>
  <si>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</si>
  <si>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</si>
  <si>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</si>
  <si>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</si>
  <si>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</si>
  <si>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</si>
  <si>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</si>
  <si>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</si>
  <si>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</si>
  <si>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</si>
  <si>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</si>
  <si>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</si>
  <si>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</si>
  <si>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</si>
  <si>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</si>
  <si>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</si>
  <si>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</si>
  <si>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</si>
  <si>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</si>
  <si>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</si>
  <si>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</si>
  <si>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</si>
  <si>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</si>
  <si>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</si>
  <si>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</si>
  <si>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</si>
  <si>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</si>
  <si>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</si>
  <si>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</si>
  <si>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</si>
  <si>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</si>
  <si>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</si>
  <si>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</si>
  <si>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</si>
  <si>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</si>
  <si>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</si>
  <si>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</si>
  <si>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</si>
  <si>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</si>
  <si>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</si>
  <si>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</si>
  <si>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</si>
  <si>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</si>
  <si>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</si>
  <si>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</si>
  <si>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</si>
  <si>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</si>
  <si>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</si>
  <si>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</si>
  <si>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</si>
  <si>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</si>
  <si>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</si>
  <si>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</si>
  <si>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</si>
  <si>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</si>
  <si>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</si>
  <si>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</si>
  <si>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</si>
  <si>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</si>
  <si>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</si>
  <si>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</si>
  <si>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</si>
  <si>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</si>
  <si>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</si>
  <si>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</si>
  <si>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</si>
  <si>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</si>
  <si>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</si>
  <si>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</si>
  <si>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</si>
  <si>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</si>
  <si>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</si>
  <si>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</si>
  <si>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</si>
  <si>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</si>
  <si>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</si>
  <si>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</si>
  <si>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</si>
  <si>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</si>
  <si>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</si>
  <si>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</si>
  <si>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</si>
  <si>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</si>
  <si>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</si>
  <si>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</si>
  <si>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</si>
  <si>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</si>
  <si>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</si>
  <si>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</si>
  <si>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</si>
  <si>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</si>
  <si>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</si>
  <si>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</si>
  <si>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</si>
  <si>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</si>
  <si>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</si>
  <si>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</si>
  <si>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</si>
  <si>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</si>
  <si>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</si>
  <si>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</si>
  <si>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</si>
  <si>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</si>
  <si>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</si>
  <si>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</si>
  <si>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</si>
  <si>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</si>
  <si>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</si>
  <si>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</si>
  <si>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</si>
  <si>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</si>
  <si>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</si>
  <si>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</si>
  <si>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</si>
  <si>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</si>
  <si>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</si>
  <si>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</si>
  <si>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</si>
  <si>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</si>
  <si>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</si>
  <si>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</si>
  <si>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</si>
  <si>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</si>
  <si>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</si>
  <si>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</si>
  <si>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</si>
  <si>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</si>
  <si>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</si>
  <si>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</si>
  <si>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</si>
  <si>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</si>
  <si>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</si>
  <si>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</si>
  <si>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</si>
  <si>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</si>
  <si>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</si>
  <si>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</si>
  <si>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</si>
  <si>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</si>
  <si>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</si>
  <si>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</si>
  <si>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</si>
  <si>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</si>
  <si>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</si>
  <si>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</si>
  <si>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</si>
  <si>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</si>
  <si>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</si>
  <si>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</si>
  <si>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</si>
  <si>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</si>
  <si>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</si>
  <si>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</si>
  <si>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</si>
  <si>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</si>
  <si>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</si>
  <si>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</si>
  <si>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</si>
  <si>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</si>
  <si>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</si>
  <si>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</si>
  <si>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</si>
  <si>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</si>
  <si>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</si>
  <si>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</si>
  <si>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</si>
  <si>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</si>
  <si>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</si>
  <si>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</si>
  <si>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</si>
  <si>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</si>
  <si>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</si>
  <si>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</si>
  <si>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</si>
  <si>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</si>
  <si>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</si>
  <si>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</si>
  <si>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</si>
  <si>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</si>
  <si>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</si>
  <si>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</si>
  <si>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</si>
  <si>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</si>
  <si>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</si>
  <si>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</si>
  <si>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</si>
  <si>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</si>
  <si>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</si>
  <si>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</si>
  <si>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</si>
  <si>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</si>
  <si>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</si>
  <si>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</si>
  <si>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</si>
  <si>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</si>
  <si>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</si>
  <si>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</si>
  <si>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</si>
  <si>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</si>
  <si>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</si>
  <si>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</si>
  <si>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</si>
  <si>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</si>
  <si>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</si>
  <si>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</si>
  <si>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</si>
  <si>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</si>
  <si>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</si>
  <si>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</si>
  <si>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</si>
  <si>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</si>
  <si>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</si>
  <si>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</si>
  <si>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</si>
  <si>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</si>
  <si>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</si>
  <si>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</si>
  <si>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</si>
  <si>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</si>
  <si>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</si>
  <si>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</si>
  <si>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</si>
  <si>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</si>
  <si>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</si>
  <si>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</si>
  <si>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</si>
  <si>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</si>
  <si>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</si>
  <si>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</si>
  <si>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</si>
  <si>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</si>
  <si>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</si>
  <si>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</si>
  <si>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</si>
  <si>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</si>
  <si>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</si>
  <si>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</si>
  <si>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</si>
  <si>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</si>
  <si>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</si>
  <si>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</si>
  <si>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</si>
  <si>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</si>
  <si>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</si>
  <si>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</si>
  <si>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</si>
  <si>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</si>
  <si>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</si>
  <si>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</si>
  <si>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</si>
  <si>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</si>
  <si>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</si>
  <si>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</si>
  <si>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</si>
  <si>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</si>
  <si>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</si>
  <si>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</si>
  <si>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</si>
  <si>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</si>
  <si>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</si>
  <si>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</si>
  <si>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</si>
  <si>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</si>
  <si>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</si>
  <si>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</si>
  <si>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</si>
  <si>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</si>
  <si>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</si>
  <si>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</si>
  <si>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</si>
  <si>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</si>
  <si>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</si>
  <si>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</si>
  <si>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</si>
  <si>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</si>
  <si>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</si>
  <si>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</si>
  <si>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</si>
  <si>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</si>
  <si>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</si>
  <si>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</si>
  <si>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</si>
  <si>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</si>
  <si>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</si>
  <si>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</si>
  <si>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</si>
  <si>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</si>
  <si>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</si>
  <si>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</si>
  <si>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</si>
  <si>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</si>
  <si>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</si>
  <si>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</si>
  <si>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</si>
  <si>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</si>
  <si>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</si>
  <si>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</si>
  <si>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</si>
  <si>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</si>
  <si>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</si>
  <si>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</si>
  <si>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</si>
  <si>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</si>
  <si>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</si>
  <si>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</si>
  <si>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</si>
  <si>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</si>
  <si>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</si>
  <si>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</si>
  <si>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</si>
  <si>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</si>
  <si>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</si>
  <si>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</si>
  <si>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</si>
  <si>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</si>
  <si>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</si>
  <si>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</si>
  <si>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</si>
  <si>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</si>
  <si>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</si>
  <si>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</si>
  <si>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</si>
  <si>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</si>
  <si>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</si>
  <si>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</si>
  <si>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</si>
  <si>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</si>
  <si>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</si>
  <si>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</si>
  <si>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</si>
  <si>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</si>
  <si>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</si>
  <si>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</si>
  <si>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</si>
  <si>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</si>
  <si>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</si>
  <si>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</si>
  <si>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</si>
  <si>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</si>
  <si>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</si>
  <si>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</si>
  <si>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</si>
  <si>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</si>
  <si>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</si>
  <si>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</si>
  <si>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</si>
  <si>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</si>
  <si>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</si>
  <si>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</si>
  <si>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</si>
  <si>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</si>
  <si>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</si>
  <si>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</si>
  <si>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</si>
  <si>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</si>
  <si>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</si>
  <si>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</si>
  <si>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</si>
  <si>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</si>
  <si>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</si>
  <si>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</si>
  <si>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</si>
  <si>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</si>
  <si>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</si>
  <si>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</si>
  <si>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</si>
  <si>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</si>
  <si>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</si>
  <si>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</si>
  <si>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</si>
  <si>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</si>
  <si>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</si>
  <si>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</si>
  <si>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</si>
  <si>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</si>
  <si>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</si>
  <si>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</si>
  <si>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</si>
  <si>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</si>
  <si>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</si>
  <si>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</si>
  <si>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</si>
  <si>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</si>
  <si>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</si>
  <si>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</si>
  <si>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</si>
  <si>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</si>
  <si>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</si>
  <si>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</si>
  <si>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</si>
  <si>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</si>
  <si>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</si>
  <si>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</si>
  <si>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</si>
  <si>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</si>
  <si>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</si>
  <si>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</si>
  <si>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</si>
  <si>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</si>
  <si>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</si>
  <si>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</si>
  <si>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</si>
  <si>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</si>
  <si>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</si>
  <si>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</si>
  <si>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</si>
  <si>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</si>
  <si>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</si>
  <si>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</si>
  <si>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</si>
  <si>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</si>
  <si>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</si>
  <si>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</si>
  <si>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</si>
  <si>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</si>
  <si>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</si>
  <si>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</si>
  <si>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</si>
  <si>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</si>
  <si>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</si>
  <si>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</si>
  <si>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</si>
  <si>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</si>
  <si>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</si>
  <si>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</si>
  <si>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</si>
  <si>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</si>
  <si>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</si>
  <si>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</si>
  <si>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</si>
  <si>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</si>
  <si>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</si>
  <si>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</si>
  <si>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</si>
  <si>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</si>
  <si>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</si>
  <si>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</si>
  <si>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</si>
  <si>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</si>
  <si>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</si>
  <si>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</si>
  <si>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</si>
  <si>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</si>
  <si>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</si>
  <si>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</si>
  <si>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</si>
  <si>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</si>
  <si>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</si>
  <si>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</si>
  <si>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</si>
  <si>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</si>
  <si>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</si>
  <si>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</si>
  <si>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</si>
  <si>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</si>
  <si>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</si>
  <si>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</si>
  <si>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</si>
  <si>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</si>
  <si>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</si>
  <si>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</si>
  <si>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</si>
  <si>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</si>
  <si>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</si>
  <si>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</si>
  <si>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</si>
  <si>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</si>
  <si>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</si>
  <si>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</si>
  <si>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</si>
  <si>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</si>
  <si>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</si>
  <si>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</si>
  <si>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</si>
  <si>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</si>
  <si>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</si>
  <si>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</si>
  <si>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</si>
  <si>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</si>
  <si>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</si>
  <si>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</si>
  <si>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</si>
  <si>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</si>
  <si>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</si>
  <si>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</si>
  <si>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</si>
  <si>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</si>
  <si>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</si>
  <si>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</si>
  <si>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</si>
  <si>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</si>
  <si>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</si>
  <si>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</si>
  <si>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</si>
  <si>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</si>
  <si>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</si>
  <si>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</si>
  <si>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</si>
  <si>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</si>
  <si>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</si>
  <si>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</si>
  <si>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</si>
  <si>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</si>
  <si>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</si>
  <si>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</si>
  <si>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</si>
  <si>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</si>
  <si>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</si>
  <si>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</si>
  <si>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</si>
  <si>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</si>
  <si>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</si>
  <si>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</si>
  <si>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</si>
  <si>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</si>
  <si>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</si>
  <si>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</si>
  <si>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</si>
  <si>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</si>
  <si>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</si>
  <si>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</si>
  <si>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</si>
  <si>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</si>
  <si>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</si>
  <si>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</si>
  <si>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</si>
  <si>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</si>
  <si>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</si>
  <si>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</si>
  <si>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</si>
  <si>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</si>
  <si>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</si>
  <si>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</si>
  <si>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</si>
  <si>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</si>
  <si>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</si>
  <si>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</si>
  <si>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</si>
  <si>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</si>
  <si>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</si>
  <si>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</si>
  <si>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</si>
  <si>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</si>
  <si>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</si>
  <si>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</si>
  <si>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</si>
  <si>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</si>
  <si>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</si>
  <si>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</si>
  <si>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</si>
  <si>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</si>
  <si>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</si>
  <si>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</si>
  <si>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</si>
  <si>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</si>
  <si>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</si>
  <si>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</si>
  <si>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</si>
  <si>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</si>
  <si>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</si>
  <si>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</si>
  <si>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</si>
  <si>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</si>
  <si>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</si>
  <si>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</si>
  <si>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</si>
  <si>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</si>
  <si>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</si>
  <si>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</si>
  <si>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</si>
  <si>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</si>
  <si>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</si>
  <si>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</si>
  <si>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</si>
  <si>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</si>
  <si>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</si>
  <si>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</si>
  <si>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</si>
  <si>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</si>
  <si>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</si>
  <si>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</si>
  <si>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</si>
  <si>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</si>
  <si>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</si>
  <si>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</si>
  <si>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</si>
  <si>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</si>
  <si>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</si>
  <si>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</si>
  <si>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</si>
  <si>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</si>
  <si>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</si>
  <si>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</si>
  <si>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</si>
  <si>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</si>
  <si>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</si>
  <si>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</si>
  <si>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</si>
  <si>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</si>
  <si>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</si>
  <si>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</si>
  <si>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</si>
  <si>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</si>
  <si>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</si>
  <si>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</si>
  <si>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</si>
  <si>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</si>
  <si>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</si>
  <si>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</si>
  <si>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</si>
  <si>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</si>
  <si>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</si>
  <si>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</si>
  <si>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</si>
  <si>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</si>
  <si>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</si>
  <si>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</si>
  <si>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</si>
  <si>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</si>
  <si>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</si>
  <si>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</si>
  <si>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</si>
  <si>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</si>
  <si>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</si>
  <si>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</si>
  <si>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</si>
  <si>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</si>
  <si>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</si>
  <si>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</si>
  <si>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</si>
  <si>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</si>
  <si>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</si>
  <si>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</si>
  <si>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</si>
  <si>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</si>
  <si>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</si>
  <si>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</si>
  <si>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</si>
  <si>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</si>
  <si>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</si>
  <si>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</si>
  <si>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</si>
  <si>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</si>
  <si>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</si>
  <si>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</si>
  <si>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</si>
  <si>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</si>
  <si>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</si>
  <si>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</si>
  <si>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</si>
  <si>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</si>
  <si>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</si>
  <si>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</si>
  <si>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</si>
  <si>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</si>
  <si>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</si>
  <si>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</si>
  <si>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</si>
  <si>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</si>
  <si>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</si>
  <si>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</si>
  <si>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</si>
  <si>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</si>
  <si>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</si>
  <si>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</si>
  <si>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</si>
  <si>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</si>
  <si>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</si>
  <si>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</si>
  <si>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</si>
  <si>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</si>
  <si>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</si>
  <si>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</si>
  <si>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</si>
  <si>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</si>
  <si>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</si>
  <si>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</si>
  <si>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</si>
  <si>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</si>
  <si>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</si>
  <si>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</si>
  <si>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</si>
  <si>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</si>
  <si>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</si>
  <si>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</si>
  <si>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</si>
  <si>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</si>
  <si>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</si>
  <si>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</si>
  <si>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</si>
  <si>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</si>
  <si>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</si>
  <si>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</si>
  <si>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</si>
  <si>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</si>
  <si>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</si>
  <si>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</si>
  <si>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</si>
  <si>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</si>
  <si>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</si>
  <si>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</si>
  <si>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</si>
  <si>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</si>
  <si>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</si>
  <si>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</si>
  <si>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</si>
  <si>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</si>
  <si>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</si>
  <si>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</si>
  <si>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</si>
  <si>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</si>
  <si>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</si>
  <si>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</si>
  <si>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</si>
  <si>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</si>
  <si>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</si>
  <si>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</si>
  <si>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</si>
  <si>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</si>
  <si>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</si>
  <si>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</si>
  <si>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</si>
  <si>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</si>
  <si>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</si>
  <si>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</si>
  <si>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</si>
  <si>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</si>
  <si>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</si>
  <si>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</si>
  <si>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</si>
  <si>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</si>
  <si>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</si>
  <si>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</si>
  <si>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</si>
  <si>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</si>
  <si>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</si>
  <si>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</si>
  <si>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</si>
  <si>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</si>
  <si>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</si>
  <si>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</si>
  <si>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</si>
  <si>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</si>
  <si>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</si>
  <si>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</si>
  <si>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</si>
  <si>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</si>
  <si>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</si>
  <si>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</si>
  <si>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</si>
  <si>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</si>
  <si>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</si>
  <si>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</si>
  <si>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</si>
  <si>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</si>
  <si>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</si>
  <si>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</si>
  <si>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</si>
  <si>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</si>
  <si>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</si>
  <si>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</si>
  <si>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</si>
  <si>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</si>
  <si>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</si>
  <si>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</si>
  <si>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</si>
  <si>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</si>
  <si>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</si>
  <si>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</si>
  <si>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</si>
  <si>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</si>
  <si>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</si>
  <si>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</si>
  <si>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</si>
  <si>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</si>
  <si>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</si>
  <si>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</si>
  <si>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</si>
  <si>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</si>
  <si>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</si>
  <si>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</si>
  <si>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</si>
  <si>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</si>
  <si>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</si>
  <si>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</si>
  <si>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</si>
  <si>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</si>
  <si>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</si>
  <si>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</si>
  <si>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</si>
  <si>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</si>
  <si>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</si>
  <si>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</si>
  <si>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</si>
  <si>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</si>
  <si>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</si>
  <si>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</si>
  <si>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</si>
  <si>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</si>
  <si>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</si>
  <si>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</si>
  <si>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</si>
  <si>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</si>
  <si>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</si>
  <si>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</si>
  <si>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</si>
  <si>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</si>
  <si>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</si>
  <si>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</si>
  <si>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</si>
  <si>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</si>
  <si>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</si>
  <si>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</si>
  <si>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</si>
  <si>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</si>
  <si>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</si>
  <si>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</si>
  <si>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</si>
  <si>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</si>
  <si>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</si>
  <si>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</si>
  <si>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</si>
  <si>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</si>
  <si>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</si>
  <si>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</si>
  <si>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</si>
  <si>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</si>
  <si>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</si>
  <si>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</si>
  <si>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</si>
  <si>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</si>
  <si>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</si>
  <si>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</si>
  <si>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</si>
  <si>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</si>
  <si>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</si>
  <si>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</si>
  <si>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</si>
  <si>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</si>
  <si>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</si>
  <si>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</si>
  <si>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</si>
  <si>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</si>
  <si>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</si>
  <si>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</si>
  <si>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</si>
  <si>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</si>
  <si>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</si>
  <si>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</si>
  <si>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</si>
  <si>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</si>
  <si>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</si>
  <si>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</si>
  <si>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</si>
  <si>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</si>
  <si>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</si>
  <si>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</si>
  <si>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</si>
  <si>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</si>
  <si>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</si>
  <si>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</si>
  <si>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</si>
  <si>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</si>
  <si>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</si>
  <si>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</si>
  <si>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</si>
  <si>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</si>
  <si>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</si>
  <si>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</si>
  <si>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</si>
  <si>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</si>
  <si>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</si>
  <si>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</si>
  <si>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</si>
  <si>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</si>
  <si>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</si>
  <si>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</si>
  <si>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</si>
  <si>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</si>
  <si>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</si>
  <si>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</si>
  <si>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</si>
  <si>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</si>
  <si>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</si>
  <si>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</si>
  <si>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</si>
  <si>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</si>
  <si>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</si>
  <si>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</si>
  <si>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</si>
  <si>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</si>
  <si>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</si>
  <si>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</si>
  <si>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</si>
  <si>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</si>
  <si>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</si>
  <si>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</si>
  <si>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</si>
  <si>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</si>
  <si>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</si>
  <si>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</si>
  <si>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</si>
  <si>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</si>
  <si>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</si>
  <si>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</si>
  <si>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</si>
  <si>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</si>
  <si>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</si>
  <si>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</si>
  <si>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</si>
  <si>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</si>
  <si>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</si>
  <si>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</si>
  <si>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</si>
  <si>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</si>
  <si>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</si>
  <si>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</si>
  <si>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</si>
  <si>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</si>
  <si>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</si>
  <si>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</si>
  <si>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</si>
  <si>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</si>
  <si>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</si>
  <si>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</si>
  <si>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</si>
  <si>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</si>
  <si>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</si>
  <si>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</si>
  <si>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</si>
  <si>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</si>
  <si>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</si>
  <si>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</si>
  <si>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</si>
  <si>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</si>
  <si>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</si>
  <si>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</si>
  <si>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</si>
  <si>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</si>
  <si>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</si>
  <si>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</si>
  <si>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</si>
  <si>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</si>
  <si>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</si>
  <si>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</si>
  <si>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</si>
  <si>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</si>
  <si>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</si>
  <si>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</si>
  <si>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</si>
  <si>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</si>
  <si>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</si>
  <si>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</si>
  <si>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</si>
  <si>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</si>
  <si>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</si>
  <si>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</si>
  <si>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</si>
  <si>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</si>
  <si>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</si>
  <si>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</si>
  <si>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</si>
  <si>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</si>
  <si>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</si>
  <si>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</si>
  <si>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</si>
  <si>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</si>
  <si>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</si>
  <si>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</si>
  <si>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</si>
  <si>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</si>
  <si>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</si>
  <si>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</si>
  <si>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</si>
  <si>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</si>
  <si>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</si>
  <si>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</si>
  <si>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</si>
  <si>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</si>
  <si>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</si>
  <si>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</si>
  <si>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</si>
  <si>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</si>
  <si>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</si>
  <si>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</si>
  <si>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</si>
  <si>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</si>
  <si>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</si>
  <si>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</si>
  <si>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</si>
  <si>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</si>
  <si>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</si>
  <si>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</si>
  <si>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</si>
  <si>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</si>
  <si>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</si>
  <si>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</si>
  <si>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</si>
  <si>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</si>
  <si>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</si>
  <si>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</si>
  <si>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</si>
  <si>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</si>
  <si>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</si>
  <si>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</si>
  <si>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</si>
  <si>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</si>
  <si>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</si>
  <si>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</si>
  <si>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</si>
  <si>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</si>
  <si>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</si>
  <si>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</si>
  <si>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</si>
  <si>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</si>
  <si>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</si>
  <si>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</si>
  <si>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</si>
  <si>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</si>
  <si>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</si>
  <si>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</si>
  <si>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</si>
  <si>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</si>
  <si>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</si>
  <si>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</si>
  <si>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</si>
  <si>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</si>
  <si>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</si>
  <si>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</si>
  <si>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</si>
  <si>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</si>
  <si>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</si>
  <si>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</si>
  <si>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</si>
  <si>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</si>
  <si>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</si>
  <si>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</si>
  <si>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</si>
  <si>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</si>
  <si>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</si>
  <si>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</si>
  <si>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</si>
  <si>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</si>
  <si>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</si>
  <si>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</si>
  <si>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</si>
  <si>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</si>
  <si>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</si>
  <si>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</si>
  <si>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</si>
  <si>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</si>
  <si>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</si>
  <si>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</si>
  <si>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</si>
  <si>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</si>
  <si>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</si>
  <si>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</si>
  <si>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</si>
  <si>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</si>
  <si>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</si>
  <si>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</si>
  <si>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</si>
  <si>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</si>
  <si>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</si>
  <si>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</si>
  <si>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</si>
  <si>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</si>
  <si>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</si>
  <si>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</si>
  <si>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</si>
  <si>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</si>
  <si>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</si>
  <si>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</si>
  <si>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</si>
  <si>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</si>
  <si>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</si>
  <si>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</si>
  <si>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</si>
  <si>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</si>
  <si>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</si>
  <si>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</si>
  <si>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</si>
  <si>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</si>
  <si>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</si>
  <si>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</si>
  <si>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</si>
  <si>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</si>
  <si>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</si>
  <si>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</si>
  <si>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</si>
  <si>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</si>
  <si>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</si>
  <si>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</si>
  <si>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</si>
  <si>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</si>
  <si>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</si>
  <si>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</si>
  <si>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</si>
  <si>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</si>
  <si>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</si>
  <si>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</si>
  <si>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</si>
  <si>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</si>
  <si>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</si>
  <si>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</si>
  <si>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</si>
  <si>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</si>
  <si>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</si>
  <si>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</si>
  <si>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</si>
  <si>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</si>
  <si>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</si>
  <si>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</si>
  <si>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</si>
  <si>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</si>
  <si>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</si>
  <si>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</si>
  <si>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</si>
  <si>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</si>
  <si>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</si>
  <si>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</si>
  <si>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</si>
  <si>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</si>
  <si>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</si>
  <si>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</si>
  <si>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</si>
  <si>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</si>
  <si>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</si>
  <si>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</si>
  <si>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</si>
  <si>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</si>
  <si>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</si>
  <si>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</si>
  <si>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</si>
  <si>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</si>
  <si>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</si>
  <si>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</si>
  <si>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</si>
  <si>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</si>
  <si>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</si>
  <si>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</si>
  <si>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</si>
  <si>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</si>
  <si>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</si>
  <si>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</si>
  <si>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</si>
  <si>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</si>
  <si>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</si>
  <si>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</si>
  <si>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</si>
  <si>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</si>
  <si>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</si>
  <si>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</si>
  <si>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</si>
  <si>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</si>
  <si>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</si>
  <si>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</si>
  <si>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</si>
  <si>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</si>
  <si>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</si>
  <si>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</si>
  <si>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</si>
  <si>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</si>
  <si>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</si>
  <si>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</si>
  <si>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</si>
  <si>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</si>
  <si>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</si>
  <si>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</si>
  <si>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</si>
  <si>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</si>
  <si>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</si>
  <si>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</si>
  <si>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</si>
  <si>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</si>
  <si>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</si>
  <si>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</si>
  <si>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</si>
  <si>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</si>
  <si>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</si>
  <si>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</si>
  <si>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</si>
  <si>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</si>
  <si>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</si>
  <si>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</si>
  <si>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</si>
  <si>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</si>
  <si>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</si>
  <si>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</si>
  <si>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</si>
  <si>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</si>
  <si>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</si>
  <si>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</si>
  <si>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</si>
  <si>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</si>
  <si>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</si>
  <si>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</si>
  <si>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</si>
  <si>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</si>
  <si>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</si>
  <si>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</si>
  <si>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</si>
  <si>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</si>
  <si>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</si>
  <si>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</si>
  <si>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</si>
  <si>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</si>
  <si>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</si>
  <si>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</si>
  <si>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</si>
  <si>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</si>
  <si>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</si>
  <si>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</si>
  <si>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</si>
  <si>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</si>
  <si>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</si>
  <si>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</si>
  <si>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</si>
  <si>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</si>
  <si>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</si>
  <si>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</si>
  <si>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</si>
  <si>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</si>
  <si>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</si>
  <si>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</si>
  <si>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</si>
  <si>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</si>
  <si>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</si>
  <si>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</si>
  <si>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</si>
  <si>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</si>
  <si>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</si>
  <si>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</si>
  <si>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</si>
  <si>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</si>
  <si>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</si>
  <si>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</si>
  <si>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</si>
  <si>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</si>
  <si>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</si>
  <si>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</si>
  <si>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</si>
  <si>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</si>
  <si>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</si>
  <si>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</si>
  <si>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</si>
  <si>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</si>
  <si>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</si>
  <si>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</si>
  <si>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</si>
  <si>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</si>
  <si>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</si>
  <si>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</si>
  <si>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</si>
  <si>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</si>
  <si>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</si>
  <si>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</si>
  <si>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</si>
  <si>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</si>
  <si>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</si>
  <si>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</si>
  <si>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</si>
  <si>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</si>
  <si>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</si>
  <si>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</si>
  <si>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</si>
  <si>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</si>
  <si>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</si>
  <si>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</si>
  <si>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</si>
  <si>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</si>
  <si>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</si>
  <si>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</si>
  <si>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</si>
  <si>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</si>
  <si>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</si>
  <si>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</si>
  <si>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</si>
  <si>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</si>
  <si>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</si>
  <si>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</si>
  <si>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</si>
  <si>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</si>
  <si>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</si>
  <si>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</si>
  <si>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</si>
  <si>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</si>
  <si>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</si>
  <si>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</si>
  <si>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</si>
  <si>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</si>
  <si>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</si>
  <si>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</si>
  <si>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</si>
  <si>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</si>
  <si>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</si>
  <si>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</si>
  <si>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</si>
  <si>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</si>
  <si>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</si>
  <si>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</si>
  <si>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</si>
  <si>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</si>
  <si>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</si>
  <si>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</si>
  <si>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</si>
  <si>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</si>
  <si>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</si>
  <si>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</si>
  <si>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</si>
  <si>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</si>
  <si>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</si>
  <si>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</si>
  <si>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</si>
  <si>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</si>
  <si>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</si>
  <si>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</si>
  <si>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</si>
  <si>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</si>
  <si>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</si>
  <si>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</si>
  <si>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</si>
  <si>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</si>
  <si>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</si>
  <si>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</si>
  <si>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</si>
  <si>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</si>
  <si>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</si>
  <si>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</si>
  <si>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</si>
  <si>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</si>
  <si>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</si>
  <si>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</si>
  <si>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</si>
  <si>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</si>
  <si>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</si>
  <si>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</si>
  <si>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</si>
  <si>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</si>
  <si>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</si>
  <si>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</si>
  <si>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</si>
  <si>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</si>
  <si>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</si>
  <si>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</si>
  <si>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</si>
  <si>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</si>
  <si>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</si>
  <si>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</si>
  <si>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</si>
  <si>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</si>
  <si>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</si>
  <si>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</si>
  <si>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</si>
  <si>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</si>
  <si>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</si>
  <si>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</si>
  <si>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</si>
  <si>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</si>
  <si>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</si>
  <si>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</si>
  <si>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</si>
  <si>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</si>
  <si>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</si>
  <si>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</si>
  <si>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</si>
  <si>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</si>
  <si>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</si>
  <si>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</si>
  <si>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</si>
  <si>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</si>
  <si>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</si>
  <si>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</si>
  <si>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</si>
  <si>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</si>
  <si>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</si>
  <si>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</si>
  <si>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</si>
  <si>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</si>
  <si>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</si>
  <si>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</si>
  <si>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</si>
  <si>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</si>
  <si>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</si>
  <si>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</si>
  <si>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</si>
  <si>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</si>
  <si>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</si>
  <si>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</si>
  <si>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</si>
  <si>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</si>
  <si>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</si>
  <si>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</si>
  <si>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</si>
  <si>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</si>
  <si>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</si>
  <si>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</si>
  <si>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</si>
  <si>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</si>
  <si>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</si>
  <si>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</si>
  <si>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</si>
  <si>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</si>
  <si>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</si>
  <si>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</si>
  <si>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</si>
  <si>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</si>
  <si>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</si>
  <si>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</si>
  <si>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</si>
  <si>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</si>
  <si>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</si>
  <si>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</si>
  <si>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</si>
  <si>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</si>
  <si>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</si>
  <si>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</si>
  <si>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</si>
  <si>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</si>
  <si>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</si>
  <si>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</si>
  <si>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</si>
  <si>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</si>
  <si>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</si>
  <si>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</si>
  <si>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</si>
  <si>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</si>
  <si>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</si>
  <si>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</si>
  <si>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</si>
  <si>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</si>
  <si>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</si>
  <si>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</si>
  <si>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</si>
  <si>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</si>
  <si>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</si>
  <si>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</si>
  <si>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</si>
  <si>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</si>
  <si>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</si>
  <si>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</si>
  <si>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</si>
  <si>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</si>
  <si>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</si>
  <si>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</si>
  <si>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</si>
  <si>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</si>
  <si>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</si>
  <si>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</si>
  <si>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</si>
  <si>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</si>
  <si>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</si>
  <si>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</si>
  <si>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</si>
  <si>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</si>
  <si>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</si>
  <si>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</si>
  <si>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</si>
  <si>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</si>
  <si>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</si>
  <si>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</si>
  <si>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</si>
  <si>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</si>
  <si>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</si>
  <si>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</si>
  <si>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</si>
  <si>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</si>
  <si>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</si>
  <si>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</si>
  <si>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</si>
  <si>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</si>
  <si>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</si>
  <si>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</si>
  <si>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</si>
  <si>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</si>
  <si>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</si>
  <si>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</si>
  <si>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</si>
  <si>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</si>
  <si>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</si>
  <si>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</si>
  <si>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</si>
  <si>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</si>
  <si>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</si>
  <si>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</si>
  <si>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</si>
  <si>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</si>
  <si>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</si>
  <si>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</si>
  <si>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</si>
  <si>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</si>
  <si>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</si>
  <si>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</si>
  <si>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</si>
  <si>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</si>
  <si>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</si>
  <si>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</si>
  <si>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</si>
  <si>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</si>
  <si>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</si>
  <si>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</si>
  <si>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</si>
  <si>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</si>
  <si>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</si>
  <si>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</si>
  <si>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</si>
  <si>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</si>
  <si>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</si>
  <si>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</si>
  <si>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</si>
  <si>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</si>
  <si>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</si>
  <si>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</si>
  <si>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</si>
  <si>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</si>
  <si>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</si>
  <si>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</si>
  <si>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</si>
  <si>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</si>
  <si>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</si>
  <si>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</si>
  <si>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</si>
  <si>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</si>
  <si>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</si>
  <si>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</si>
  <si>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</si>
  <si>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</si>
  <si>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</si>
  <si>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</si>
  <si>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</si>
  <si>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</si>
  <si>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</si>
  <si>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</si>
  <si>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</si>
  <si>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</si>
  <si>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</si>
  <si>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</si>
  <si>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</si>
  <si>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</si>
  <si>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</si>
  <si>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</si>
  <si>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</si>
  <si>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</si>
  <si>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</si>
  <si>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</si>
  <si>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</si>
  <si>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</si>
  <si>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</si>
  <si>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</si>
  <si>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</si>
  <si>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</si>
  <si>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</si>
  <si>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</si>
  <si>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</si>
  <si>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</si>
  <si>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</si>
  <si>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</si>
  <si>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</si>
  <si>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</si>
  <si>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</si>
  <si>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</si>
  <si>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</si>
  <si>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</si>
  <si>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</si>
  <si>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</si>
  <si>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</si>
  <si>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</si>
  <si>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</si>
  <si>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</si>
  <si>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</si>
  <si>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</si>
  <si>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</si>
  <si>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</si>
  <si>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</si>
  <si>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</si>
  <si>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</si>
  <si>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</si>
  <si>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</si>
  <si>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</si>
  <si>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</si>
  <si>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</si>
  <si>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</si>
  <si>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</si>
  <si>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</si>
  <si>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</si>
  <si>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</si>
  <si>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</si>
  <si>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</si>
  <si>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</si>
  <si>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</si>
  <si>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</si>
  <si>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</si>
  <si>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</si>
  <si>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</si>
  <si>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</si>
  <si>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</si>
  <si>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</si>
  <si>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</si>
  <si>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</si>
  <si>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</si>
  <si>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</si>
  <si>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</si>
  <si>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</si>
  <si>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</si>
  <si>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</si>
  <si>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</si>
  <si>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</si>
  <si>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</si>
  <si>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</si>
  <si>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</si>
  <si>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</si>
  <si>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</si>
  <si>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</si>
  <si>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</si>
  <si>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</si>
  <si>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</si>
  <si>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</si>
  <si>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</si>
  <si>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</si>
  <si>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</si>
  <si>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</si>
  <si>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</si>
  <si>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</si>
  <si>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</si>
  <si>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</si>
  <si>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</si>
  <si>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</si>
  <si>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</si>
  <si>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</si>
  <si>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</si>
  <si>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</si>
  <si>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</si>
  <si>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</si>
  <si>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</si>
  <si>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</si>
  <si>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</si>
  <si>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</si>
  <si>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</si>
  <si>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</si>
  <si>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</si>
  <si>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</si>
  <si>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建筑面积</t>
    <phoneticPr fontId="143" type="noConversion"/>
  </si>
  <si>
    <t>楼层</t>
    <phoneticPr fontId="143" type="noConversion"/>
  </si>
  <si>
    <t>年代</t>
    <phoneticPr fontId="143" type="noConversion"/>
  </si>
  <si>
    <t>15万楼</t>
    <phoneticPr fontId="143" type="noConversion"/>
  </si>
  <si>
    <t>和平商场</t>
    <phoneticPr fontId="143" type="noConversion"/>
  </si>
  <si>
    <t>敬业商场</t>
    <phoneticPr fontId="143" type="noConversion"/>
  </si>
  <si>
    <t>西桥街平房</t>
    <phoneticPr fontId="143" type="noConversion"/>
  </si>
  <si>
    <t>老水力局楼</t>
    <phoneticPr fontId="143" type="noConversion"/>
  </si>
  <si>
    <t>炕头街平房</t>
    <phoneticPr fontId="143" type="noConversion"/>
  </si>
  <si>
    <t>炕头街平房</t>
    <phoneticPr fontId="143" type="noConversion"/>
  </si>
  <si>
    <t>梦洁商场</t>
    <phoneticPr fontId="143" type="noConversion"/>
  </si>
  <si>
    <t>物回楼</t>
    <phoneticPr fontId="143" type="noConversion"/>
  </si>
  <si>
    <t>知青楼</t>
    <phoneticPr fontId="143" type="noConversion"/>
  </si>
  <si>
    <t>平房</t>
    <phoneticPr fontId="143" type="noConversion"/>
  </si>
  <si>
    <t>房管所楼</t>
    <phoneticPr fontId="143" type="noConversion"/>
  </si>
  <si>
    <t>幼儿园楼</t>
    <phoneticPr fontId="143" type="noConversion"/>
  </si>
  <si>
    <t>炕头路</t>
    <phoneticPr fontId="143" type="noConversion"/>
  </si>
  <si>
    <t>1-2</t>
    <phoneticPr fontId="143" type="noConversion"/>
  </si>
  <si>
    <t>1-3</t>
    <phoneticPr fontId="143" type="noConversion"/>
  </si>
  <si>
    <t>1-2</t>
    <phoneticPr fontId="143" type="noConversion"/>
  </si>
  <si>
    <t>是</t>
  </si>
  <si>
    <t>地上</t>
  </si>
  <si>
    <t>商业</t>
    <phoneticPr fontId="7" type="noConversion"/>
  </si>
  <si>
    <t>成新度</t>
  </si>
  <si>
    <r>
      <t>8</t>
    </r>
    <r>
      <rPr>
        <sz val="11"/>
        <color theme="1"/>
        <rFont val="宋体"/>
        <family val="3"/>
        <charset val="134"/>
        <scheme val="minor"/>
      </rPr>
      <t>0年代初</t>
    </r>
    <phoneticPr fontId="143" type="noConversion"/>
  </si>
  <si>
    <t>出让</t>
  </si>
  <si>
    <t>其他：</t>
  </si>
  <si>
    <t>企业</t>
  </si>
  <si>
    <t>押一</t>
  </si>
  <si>
    <t>按租金收入计税</t>
  </si>
  <si>
    <t>砖混</t>
  </si>
  <si>
    <t>非生产用房</t>
  </si>
  <si>
    <t>批发零售用地</t>
  </si>
  <si>
    <t>自定义容积率</t>
  </si>
  <si>
    <t>楼层修正</t>
  </si>
  <si>
    <t>地价指数</t>
  </si>
  <si>
    <t>比较法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</si>
  <si>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</si>
  <si>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</si>
  <si>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</si>
  <si>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</si>
  <si>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</si>
  <si>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</si>
  <si>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</si>
  <si>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</si>
  <si>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</si>
  <si>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</si>
  <si>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</si>
  <si>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</si>
  <si>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</si>
  <si>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</si>
  <si>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月亮山路以东金山大道以北A-01</t>
  </si>
  <si>
    <t>黄石市</t>
  </si>
  <si>
    <t>商业/办公用地</t>
  </si>
  <si>
    <t>小于或等于2.5</t>
  </si>
  <si>
    <t>挂牌</t>
  </si>
  <si>
    <t>2018-12-24</t>
  </si>
  <si>
    <t>湖北光亮新能源产业投资有限公司</t>
  </si>
  <si>
    <t>0星</t>
  </si>
  <si>
    <t>大冶湖核心区地质馆以西经三路两侧801、804、805、806、807地块</t>
  </si>
  <si>
    <t>≤3.93</t>
  </si>
  <si>
    <t>2018-12-18</t>
  </si>
  <si>
    <t>黄石绿地置业有限公司</t>
  </si>
  <si>
    <t>大冶湖核心区地质馆以西经四路以南园博路以北716、808、809地块</t>
  </si>
  <si>
    <t>≤1.3</t>
  </si>
  <si>
    <t>金山大道以南A15路以东中级法院以西</t>
  </si>
  <si>
    <t>2018-12-13</t>
  </si>
  <si>
    <t>黄石市铁路建设投资有限公司</t>
  </si>
  <si>
    <t>大金省道南侧陈贵镇杨庚村地块</t>
  </si>
  <si>
    <t>等于0.18</t>
  </si>
  <si>
    <t>2018-10-15</t>
  </si>
  <si>
    <t>大冶市杨庚加油站(普通合伙)</t>
  </si>
  <si>
    <t>刘仁八镇刘仁八路北侧</t>
  </si>
  <si>
    <t>小于或等于1.25</t>
  </si>
  <si>
    <t>大冶市恒泰益生态农业专业合作社</t>
  </si>
  <si>
    <t>还地桥镇光谷大道连接线以南</t>
  </si>
  <si>
    <t>小于或等于0.3</t>
  </si>
  <si>
    <t>中国石油天然气股份有限公司湖北黄石销售分公司</t>
  </si>
  <si>
    <t>保安镇铁贺线段北侧塘湾村</t>
  </si>
  <si>
    <t>小于或等于0.25</t>
  </si>
  <si>
    <t>2018-06-14</t>
  </si>
  <si>
    <t>大冶市保安桥头加油站</t>
  </si>
  <si>
    <t>东风东路以北、金湖大道以东</t>
  </si>
  <si>
    <t>小于或等于3</t>
  </si>
  <si>
    <t>2018-04-17</t>
  </si>
  <si>
    <t>湖北大冶湖高新技术产业投资有限公司</t>
  </si>
  <si>
    <t>高铁大道以西、纬十路以南</t>
  </si>
  <si>
    <t>小于或等于4.5</t>
  </si>
  <si>
    <t>大冶市城市建设投资开发有限公司</t>
  </si>
  <si>
    <t>纬四路南侧、高铁大道西侧</t>
  </si>
  <si>
    <t>小于或等于3.5</t>
  </si>
  <si>
    <t>纬十路北侧、经四路西侧</t>
  </si>
  <si>
    <t>小于或等于4</t>
  </si>
  <si>
    <t>经六路以西、纬十路以南</t>
  </si>
  <si>
    <t>高铁大道以西、纬九路以南</t>
  </si>
  <si>
    <t>高铁大道以西、纬十一路以南</t>
  </si>
  <si>
    <t>小于或等于1.5</t>
  </si>
  <si>
    <t>尹一路南侧、尹三路北侧</t>
  </si>
  <si>
    <t>小于或等于2</t>
  </si>
  <si>
    <t>大冶市交通投资有限公司</t>
  </si>
  <si>
    <t>高铁大道以西、纬十二路以南</t>
  </si>
  <si>
    <t>纬四路南侧、经六路西侧</t>
  </si>
  <si>
    <t>经六路以西、纬十一路以南</t>
  </si>
  <si>
    <t>儿童公园以南、金湖大道以东</t>
  </si>
  <si>
    <t>大箕铺镇106国道以西</t>
  </si>
  <si>
    <t>小于或等于0.2</t>
  </si>
  <si>
    <t>2018-02-13</t>
  </si>
  <si>
    <t>金湖大道以西、熊家洲大道以南</t>
  </si>
  <si>
    <t>2017-12-24</t>
  </si>
  <si>
    <t>金湖大道以东、熊家洲大道以南</t>
  </si>
  <si>
    <t>城西北新区37号路以东28号路以南</t>
  </si>
  <si>
    <t>小于或等于0.4</t>
  </si>
  <si>
    <t>2017-12-21</t>
  </si>
  <si>
    <t>中国石化销售有限公司湖北黄石石油分公司</t>
  </si>
  <si>
    <t>大棋路以北月亮山路以东</t>
  </si>
  <si>
    <t>小于或等于0.5</t>
  </si>
  <si>
    <t>2017-11-30</t>
  </si>
  <si>
    <t>金桥大道以南站东小区二区东侧</t>
  </si>
  <si>
    <t>2017-11-21</t>
  </si>
  <si>
    <t>火车站片区环城北路以南</t>
  </si>
  <si>
    <t>大棋路以南钟山路以东A14路以西</t>
  </si>
  <si>
    <t>2017-09-11</t>
  </si>
  <si>
    <t>黄石市新世界汽车贸易有限公司</t>
  </si>
  <si>
    <t>中央景观轴以东经四路以北</t>
  </si>
  <si>
    <t>大于或等于1并且小于或等于4.5</t>
  </si>
  <si>
    <t>2017-07-07</t>
  </si>
  <si>
    <t>黄石市益民投资有限公司</t>
  </si>
  <si>
    <t>中央景观轴以西经四路以北</t>
  </si>
  <si>
    <t>黄石市国有资产经营有限公司</t>
  </si>
  <si>
    <t>正常</t>
    <phoneticPr fontId="31" type="noConversion"/>
  </si>
  <si>
    <t>40</t>
    <phoneticPr fontId="31" type="noConversion"/>
  </si>
  <si>
    <t>商业</t>
    <phoneticPr fontId="31" type="noConversion"/>
  </si>
  <si>
    <t>较好</t>
  </si>
  <si>
    <t>较好</t>
    <phoneticPr fontId="31" type="noConversion"/>
  </si>
  <si>
    <t>未包含在土地购买价格中</t>
  </si>
  <si>
    <t>全部缴纳</t>
  </si>
  <si>
    <t>已包含在土地取得成本中</t>
  </si>
  <si>
    <t>售价</t>
  </si>
  <si>
    <t>正常</t>
  </si>
  <si>
    <t>比较法-商业</t>
  </si>
  <si>
    <t>1-2</t>
    <phoneticPr fontId="25" type="noConversion"/>
  </si>
  <si>
    <t>1-3</t>
    <phoneticPr fontId="25" type="noConversion"/>
  </si>
  <si>
    <t>成新率</t>
    <phoneticPr fontId="3" type="noConversion"/>
  </si>
  <si>
    <t>90-100</t>
    <phoneticPr fontId="25" type="noConversion"/>
  </si>
  <si>
    <t>80-89</t>
  </si>
  <si>
    <t>80-89</t>
    <phoneticPr fontId="25" type="noConversion"/>
  </si>
  <si>
    <t>70-79</t>
  </si>
  <si>
    <t>70-79</t>
    <phoneticPr fontId="25" type="noConversion"/>
  </si>
  <si>
    <t>60-69</t>
  </si>
  <si>
    <t>60-69</t>
    <phoneticPr fontId="25" type="noConversion"/>
  </si>
  <si>
    <t>50-59</t>
    <phoneticPr fontId="25" type="noConversion"/>
  </si>
  <si>
    <t>较好</t>
    <phoneticPr fontId="31" type="noConversion"/>
  </si>
  <si>
    <t>标准</t>
    <phoneticPr fontId="31" type="noConversion"/>
  </si>
  <si>
    <t>非标准</t>
    <phoneticPr fontId="31" type="noConversion"/>
  </si>
  <si>
    <t>砖混</t>
    <phoneticPr fontId="31" type="noConversion"/>
  </si>
  <si>
    <t>钢混</t>
    <phoneticPr fontId="31" type="noConversion"/>
  </si>
  <si>
    <t>收益法 (元)</t>
  </si>
  <si>
    <t>直线成新度</t>
    <phoneticPr fontId="143" type="noConversion"/>
  </si>
  <si>
    <t>观察成新度</t>
    <phoneticPr fontId="143" type="noConversion"/>
  </si>
  <si>
    <t>综合成新度</t>
    <phoneticPr fontId="143" type="noConversion"/>
  </si>
  <si>
    <t>现房</t>
  </si>
  <si>
    <t>郑燚</t>
  </si>
  <si>
    <t>王鹏</t>
  </si>
  <si>
    <t>房地产市场价值</t>
  </si>
  <si>
    <t>核定资产</t>
  </si>
  <si>
    <t>商业</t>
    <phoneticPr fontId="31" type="noConversion"/>
  </si>
  <si>
    <t>30-40（含）</t>
  </si>
  <si>
    <t>一般</t>
  </si>
  <si>
    <t>一般</t>
    <phoneticPr fontId="31" type="noConversion"/>
  </si>
  <si>
    <t>六通</t>
    <phoneticPr fontId="31" type="noConversion"/>
  </si>
  <si>
    <t>一般</t>
    <phoneticPr fontId="31" type="noConversion"/>
  </si>
  <si>
    <r>
      <t>冶房权证0</t>
    </r>
    <r>
      <rPr>
        <sz val="11"/>
        <color theme="1"/>
        <rFont val="宋体"/>
        <family val="3"/>
        <charset val="134"/>
        <scheme val="minor"/>
      </rPr>
      <t>1字第13181号</t>
    </r>
    <phoneticPr fontId="143" type="noConversion"/>
  </si>
  <si>
    <r>
      <t>大冶市房权证0</t>
    </r>
    <r>
      <rPr>
        <sz val="11"/>
        <color theme="1"/>
        <rFont val="宋体"/>
        <family val="3"/>
        <charset val="134"/>
        <scheme val="minor"/>
      </rPr>
      <t>1字第20546号</t>
    </r>
    <phoneticPr fontId="143" type="noConversion"/>
  </si>
  <si>
    <t>大冶市房权证01字第20547号</t>
    <phoneticPr fontId="143" type="noConversion"/>
  </si>
  <si>
    <r>
      <t>大冶市房权证0</t>
    </r>
    <r>
      <rPr>
        <sz val="11"/>
        <color theme="1"/>
        <rFont val="宋体"/>
        <family val="3"/>
        <charset val="134"/>
        <scheme val="minor"/>
      </rPr>
      <t>1字第30362号</t>
    </r>
    <phoneticPr fontId="143" type="noConversion"/>
  </si>
  <si>
    <t>大冶市房权证01字第30363号</t>
    <phoneticPr fontId="143" type="noConversion"/>
  </si>
  <si>
    <r>
      <t>大冶市房权证0</t>
    </r>
    <r>
      <rPr>
        <sz val="11"/>
        <color theme="1"/>
        <rFont val="宋体"/>
        <family val="3"/>
        <charset val="134"/>
        <scheme val="minor"/>
      </rPr>
      <t>1字第30423号</t>
    </r>
    <phoneticPr fontId="143" type="noConversion"/>
  </si>
  <si>
    <r>
      <t>大冶市房权证0</t>
    </r>
    <r>
      <rPr>
        <sz val="11"/>
        <color theme="1"/>
        <rFont val="宋体"/>
        <family val="3"/>
        <charset val="134"/>
        <scheme val="minor"/>
      </rPr>
      <t>1字第30425号</t>
    </r>
    <phoneticPr fontId="143" type="noConversion"/>
  </si>
  <si>
    <r>
      <t>大冶市房权证0</t>
    </r>
    <r>
      <rPr>
        <sz val="11"/>
        <color theme="1"/>
        <rFont val="宋体"/>
        <family val="3"/>
        <charset val="134"/>
        <scheme val="minor"/>
      </rPr>
      <t>1字第30439号</t>
    </r>
    <phoneticPr fontId="143" type="noConversion"/>
  </si>
  <si>
    <r>
      <t>大冶市房权证0</t>
    </r>
    <r>
      <rPr>
        <sz val="11"/>
        <color theme="1"/>
        <rFont val="宋体"/>
        <family val="3"/>
        <charset val="134"/>
        <scheme val="minor"/>
      </rPr>
      <t>1字第30608号</t>
    </r>
    <phoneticPr fontId="143" type="noConversion"/>
  </si>
  <si>
    <r>
      <t>大冶市房权证0</t>
    </r>
    <r>
      <rPr>
        <sz val="11"/>
        <color theme="1"/>
        <rFont val="宋体"/>
        <family val="3"/>
        <charset val="134"/>
        <scheme val="minor"/>
      </rPr>
      <t>1字第30616号</t>
    </r>
    <phoneticPr fontId="143" type="noConversion"/>
  </si>
  <si>
    <r>
      <t>大冶市房权证0</t>
    </r>
    <r>
      <rPr>
        <sz val="11"/>
        <color theme="1"/>
        <rFont val="宋体"/>
        <family val="3"/>
        <charset val="134"/>
        <scheme val="minor"/>
      </rPr>
      <t>1字第30642号</t>
    </r>
    <phoneticPr fontId="143" type="noConversion"/>
  </si>
  <si>
    <r>
      <t>大冶市房权证0</t>
    </r>
    <r>
      <rPr>
        <sz val="11"/>
        <color theme="1"/>
        <rFont val="宋体"/>
        <family val="3"/>
        <charset val="134"/>
        <scheme val="minor"/>
      </rPr>
      <t>1字第30643号</t>
    </r>
    <phoneticPr fontId="143" type="noConversion"/>
  </si>
  <si>
    <t>大冶市房权证01字第30430号</t>
    <phoneticPr fontId="143" type="noConversion"/>
  </si>
  <si>
    <t>大冶市房权证01字第30365号</t>
    <phoneticPr fontId="143" type="noConversion"/>
  </si>
  <si>
    <t>底商</t>
    <phoneticPr fontId="31" type="noConversion"/>
  </si>
  <si>
    <t>普装</t>
    <phoneticPr fontId="31" type="noConversion"/>
  </si>
  <si>
    <t>精装</t>
    <phoneticPr fontId="31" type="noConversion"/>
  </si>
  <si>
    <t>东岳路办事处新华路十五万楼等商业用房</t>
    <phoneticPr fontId="6" type="noConversion"/>
  </si>
  <si>
    <t>湖北省黄石市大冶市</t>
    <phoneticPr fontId="6" type="noConversion"/>
  </si>
  <si>
    <r>
      <t>大冶市房权证0</t>
    </r>
    <r>
      <rPr>
        <sz val="11"/>
        <color theme="1"/>
        <rFont val="宋体"/>
        <family val="3"/>
        <charset val="134"/>
        <scheme val="minor"/>
      </rPr>
      <t>1字第30371号</t>
    </r>
    <phoneticPr fontId="143" type="noConversion"/>
  </si>
  <si>
    <t>国民信托有限公司</t>
    <phoneticPr fontId="6" type="noConversion"/>
  </si>
  <si>
    <t>湖北大冶湖高新技术产业投资有限公司</t>
    <phoneticPr fontId="6" type="noConversion"/>
  </si>
  <si>
    <t>大冶市龙发物业管理有限公司、大冶市城区房管所</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</si>
  <si>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大冶市房权证</t>
    </r>
    <r>
      <rPr>
        <sz val="12"/>
        <color theme="9" tint="-0.249977111117893"/>
        <rFont val="Arial"/>
        <family val="2"/>
      </rPr>
      <t>01</t>
    </r>
    <r>
      <rPr>
        <sz val="12"/>
        <color theme="9" tint="-0.249977111117893"/>
        <rFont val="宋体"/>
        <family val="3"/>
        <charset val="134"/>
      </rPr>
      <t>字第</t>
    </r>
    <r>
      <rPr>
        <sz val="12"/>
        <color theme="9" tint="-0.249977111117893"/>
        <rFont val="Arial"/>
        <family val="2"/>
      </rPr>
      <t>30439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</si>
  <si>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国民信托有限公司</t>
    <phoneticPr fontId="6" type="noConversion"/>
  </si>
  <si>
    <t>2019-1-0478-P02DYGJ2</t>
    <phoneticPr fontId="6" type="noConversion"/>
  </si>
  <si>
    <t>建筑结构</t>
    <phoneticPr fontId="3" type="noConversion"/>
  </si>
  <si>
    <t>黄石</t>
    <phoneticPr fontId="143" type="noConversion"/>
  </si>
  <si>
    <t>住宅二手房</t>
    <phoneticPr fontId="143" type="noConversion"/>
  </si>
  <si>
    <t>住宅新房</t>
    <phoneticPr fontId="143" type="noConversion"/>
  </si>
  <si>
    <t>商铺</t>
    <phoneticPr fontId="143" type="noConversion"/>
  </si>
  <si>
    <t>办公</t>
    <phoneticPr fontId="143" type="noConversion"/>
  </si>
  <si>
    <t>小区名称</t>
  </si>
  <si>
    <t>户型（室）</t>
  </si>
  <si>
    <t>面积（㎡）</t>
  </si>
  <si>
    <t>楼层</t>
  </si>
  <si>
    <t>总价（元/月）</t>
  </si>
  <si>
    <t>更新时间</t>
  </si>
  <si>
    <t>龙盘小区</t>
  </si>
  <si>
    <t>雨润国际广场</t>
  </si>
  <si>
    <t>阳光新都</t>
  </si>
  <si>
    <t>碧桂园城市花园</t>
  </si>
  <si>
    <t>都市·阳光花园</t>
  </si>
  <si>
    <t>出售</t>
    <phoneticPr fontId="143" type="noConversion"/>
  </si>
  <si>
    <t>黄石港</t>
    <phoneticPr fontId="143" type="noConversion"/>
  </si>
  <si>
    <t>上上坊</t>
  </si>
  <si>
    <t>黄石万达广场</t>
  </si>
  <si>
    <t>1/32</t>
  </si>
  <si>
    <t>航宇香格里拉</t>
  </si>
  <si>
    <t>中冶·黄石公园</t>
  </si>
  <si>
    <t>黄石·铜锣湾广场</t>
  </si>
  <si>
    <t>天方百花园</t>
  </si>
  <si>
    <t>航宇花湖广场</t>
  </si>
  <si>
    <t>东方装饰城</t>
  </si>
  <si>
    <t>黄石市中山小学</t>
  </si>
  <si>
    <t>天虹小区</t>
  </si>
  <si>
    <t>华夏城</t>
  </si>
  <si>
    <t>黄石市工人文化宫</t>
  </si>
  <si>
    <t>天虹·金福园</t>
  </si>
  <si>
    <t>下陆区</t>
    <phoneticPr fontId="143" type="noConversion"/>
  </si>
  <si>
    <t>才子家园</t>
  </si>
  <si>
    <t>下陆广场</t>
  </si>
  <si>
    <t>中和新纪元</t>
  </si>
  <si>
    <t>中窑江滩公园</t>
  </si>
  <si>
    <t>上窑新城</t>
  </si>
  <si>
    <t>花园广场</t>
  </si>
  <si>
    <t>长龙综合市场</t>
  </si>
  <si>
    <t>上窑财富广场</t>
  </si>
  <si>
    <t>西塞山区</t>
    <phoneticPr fontId="143" type="noConversion"/>
  </si>
  <si>
    <t>奥山星城</t>
  </si>
  <si>
    <t>湛月花园</t>
  </si>
  <si>
    <t>湖滨花园</t>
  </si>
  <si>
    <t>日租金</t>
    <phoneticPr fontId="143" type="noConversion"/>
  </si>
  <si>
    <t>出租</t>
    <phoneticPr fontId="143" type="noConversion"/>
  </si>
  <si>
    <t>辽原公寓</t>
  </si>
  <si>
    <t>沈家营社区</t>
  </si>
  <si>
    <t>黄石摩尔城</t>
  </si>
  <si>
    <t>湖北师范大学</t>
  </si>
  <si>
    <t>红旗桥社区</t>
  </si>
  <si>
    <t>天方百花园二期玫瑰园</t>
  </si>
  <si>
    <t>法院里小区</t>
  </si>
  <si>
    <t>铁山区第四医院</t>
  </si>
  <si>
    <t>亚东市场</t>
  </si>
  <si>
    <t>铁山广场</t>
  </si>
  <si>
    <t>金角华府</t>
  </si>
  <si>
    <t>铁山区</t>
    <phoneticPr fontId="143" type="noConversion"/>
  </si>
  <si>
    <t>宏维·星都</t>
  </si>
  <si>
    <t>金广厦</t>
  </si>
  <si>
    <t>有色第一中学</t>
  </si>
  <si>
    <t>湖北理工学院</t>
  </si>
  <si>
    <t>下陆区政府</t>
  </si>
  <si>
    <t>百事威尊邸小区</t>
  </si>
  <si>
    <t>阳光水岸</t>
  </si>
  <si>
    <t>阳光新干线</t>
  </si>
  <si>
    <t>黄石市交运集团下陆客运站</t>
  </si>
  <si>
    <t>1/33</t>
  </si>
  <si>
    <t>青龙苑</t>
  </si>
  <si>
    <t>下陆区</t>
    <phoneticPr fontId="143" type="noConversion"/>
  </si>
  <si>
    <t>大上海广场</t>
  </si>
  <si>
    <t>黄石市第九中学</t>
  </si>
  <si>
    <t>武商黄石购物中心</t>
  </si>
  <si>
    <t>黄石市第六中学</t>
  </si>
  <si>
    <t>月桂花苑</t>
  </si>
  <si>
    <t>西塞山区</t>
    <phoneticPr fontId="143" type="noConversion"/>
  </si>
  <si>
    <t>大冶</t>
    <phoneticPr fontId="143" type="noConversion"/>
  </si>
  <si>
    <t>售价</t>
    <phoneticPr fontId="143" type="noConversion"/>
  </si>
  <si>
    <t>租金</t>
    <phoneticPr fontId="143" type="noConversion"/>
  </si>
  <si>
    <t>阳光花园</t>
    <phoneticPr fontId="143" type="noConversion"/>
  </si>
  <si>
    <t>陶器楼</t>
    <phoneticPr fontId="143" type="noConversion"/>
  </si>
  <si>
    <t>食品公司</t>
    <phoneticPr fontId="143" type="noConversion"/>
  </si>
  <si>
    <t>楚剧团还建楼</t>
    <phoneticPr fontId="143" type="noConversion"/>
  </si>
  <si>
    <t>梦欧商场</t>
    <phoneticPr fontId="143" type="noConversion"/>
  </si>
  <si>
    <t>劳保楼</t>
    <phoneticPr fontId="143" type="noConversion"/>
  </si>
  <si>
    <t>红旗商店</t>
    <phoneticPr fontId="143" type="noConversion"/>
  </si>
  <si>
    <t>现状用途</t>
    <phoneticPr fontId="143" type="noConversion"/>
  </si>
  <si>
    <t>位置</t>
    <phoneticPr fontId="143" type="noConversion"/>
  </si>
  <si>
    <t>未搜到</t>
    <phoneticPr fontId="143" type="noConversion"/>
  </si>
  <si>
    <t>不确定</t>
    <phoneticPr fontId="143" type="noConversion"/>
  </si>
  <si>
    <t>和平大厦，不确定</t>
    <phoneticPr fontId="143" type="noConversion"/>
  </si>
  <si>
    <t>梦洁超市，不确定</t>
    <phoneticPr fontId="143" type="noConversion"/>
  </si>
  <si>
    <t>——</t>
    <phoneticPr fontId="143" type="noConversion"/>
  </si>
  <si>
    <t>劳保局，不确定</t>
    <phoneticPr fontId="143" type="noConversion"/>
  </si>
  <si>
    <t>房地局，不确定</t>
    <phoneticPr fontId="143" type="noConversion"/>
  </si>
  <si>
    <t>能否抵押</t>
    <phoneticPr fontId="143" type="noConversion"/>
  </si>
  <si>
    <t>不可抵</t>
    <phoneticPr fontId="143" type="noConversion"/>
  </si>
  <si>
    <t>评估值（单价）</t>
    <phoneticPr fontId="143" type="noConversion"/>
  </si>
  <si>
    <t>大冶市第一中学</t>
    <phoneticPr fontId="143" type="noConversion"/>
  </si>
  <si>
    <t>荟翠花园</t>
    <phoneticPr fontId="143" type="noConversion"/>
  </si>
  <si>
    <t>商会大厦</t>
    <phoneticPr fontId="143" type="noConversion"/>
  </si>
  <si>
    <t>联润国际商贸城</t>
    <phoneticPr fontId="143" type="noConversion"/>
  </si>
  <si>
    <t>嘉兴花园</t>
    <phoneticPr fontId="143" type="noConversion"/>
  </si>
  <si>
    <t>下冯小学</t>
    <phoneticPr fontId="143" type="noConversion"/>
  </si>
  <si>
    <t>大冶市中医医院</t>
    <phoneticPr fontId="143" type="noConversion"/>
  </si>
  <si>
    <t>普装</t>
    <phoneticPr fontId="31" type="noConversion"/>
  </si>
  <si>
    <t>https://j.map.baidu.com/57/cWA</t>
    <phoneticPr fontId="25" type="noConversion"/>
  </si>
  <si>
    <t>建筑类型</t>
    <phoneticPr fontId="3" type="noConversion"/>
  </si>
  <si>
    <t>商场</t>
    <phoneticPr fontId="25" type="noConversion"/>
  </si>
  <si>
    <t>底商</t>
    <phoneticPr fontId="25" type="noConversion"/>
  </si>
  <si>
    <t>钢混</t>
    <phoneticPr fontId="25" type="noConversion"/>
  </si>
  <si>
    <t>砖混</t>
    <phoneticPr fontId="25" type="noConversion"/>
  </si>
  <si>
    <t>底商</t>
    <phoneticPr fontId="25" type="noConversion"/>
  </si>
  <si>
    <t>商场</t>
    <phoneticPr fontId="25" type="noConversion"/>
  </si>
  <si>
    <r>
      <rPr>
        <b/>
        <sz val="10"/>
        <color indexed="10"/>
        <rFont val="宋体"/>
        <family val="3"/>
        <charset val="134"/>
      </rPr>
      <t>梦欧商场</t>
    </r>
    <r>
      <rPr>
        <b/>
        <sz val="10"/>
        <color indexed="10"/>
        <rFont val="Arial"/>
        <family val="2"/>
      </rPr>
      <t>1</t>
    </r>
    <r>
      <rPr>
        <b/>
        <sz val="10"/>
        <color indexed="10"/>
        <rFont val="宋体"/>
        <family val="3"/>
        <charset val="134"/>
      </rPr>
      <t>层</t>
    </r>
    <phoneticPr fontId="25" type="noConversion"/>
  </si>
  <si>
    <r>
      <rPr>
        <b/>
        <sz val="10"/>
        <color indexed="10"/>
        <rFont val="宋体"/>
        <family val="3"/>
        <charset val="134"/>
      </rPr>
      <t>梦欧商场</t>
    </r>
    <r>
      <rPr>
        <b/>
        <sz val="10"/>
        <color indexed="10"/>
        <rFont val="Arial"/>
        <family val="2"/>
      </rPr>
      <t>2</t>
    </r>
    <r>
      <rPr>
        <b/>
        <sz val="10"/>
        <color indexed="10"/>
        <rFont val="宋体"/>
        <family val="3"/>
        <charset val="134"/>
      </rPr>
      <t>层</t>
    </r>
    <phoneticPr fontId="25" type="noConversion"/>
  </si>
  <si>
    <t>砖混</t>
    <phoneticPr fontId="25" type="noConversion"/>
  </si>
  <si>
    <t>钢混</t>
    <phoneticPr fontId="25" type="noConversion"/>
  </si>
  <si>
    <t>一般</t>
    <phoneticPr fontId="31" type="noConversion"/>
  </si>
  <si>
    <t>一般</t>
    <phoneticPr fontId="25" type="noConversion"/>
  </si>
  <si>
    <t>较差</t>
    <phoneticPr fontId="25" type="noConversion"/>
  </si>
  <si>
    <t>差</t>
    <phoneticPr fontId="25" type="noConversion"/>
  </si>
  <si>
    <t>人流量</t>
    <phoneticPr fontId="3" type="noConversion"/>
  </si>
  <si>
    <t>高</t>
    <phoneticPr fontId="25" type="noConversion"/>
  </si>
  <si>
    <t>较高</t>
  </si>
  <si>
    <t>较高</t>
    <phoneticPr fontId="25" type="noConversion"/>
  </si>
  <si>
    <t>高</t>
    <phoneticPr fontId="31" type="noConversion"/>
  </si>
  <si>
    <t>较高</t>
    <phoneticPr fontId="31" type="noConversion"/>
  </si>
  <si>
    <t>一般</t>
    <phoneticPr fontId="31" type="noConversion"/>
  </si>
  <si>
    <t>较低</t>
    <phoneticPr fontId="31" type="noConversion"/>
  </si>
  <si>
    <t>低</t>
    <phoneticPr fontId="31" type="noConversion"/>
  </si>
  <si>
    <t>大冶市房权证01字第30434号</t>
    <phoneticPr fontId="143" type="noConversion"/>
  </si>
  <si>
    <t>大冶市东岳路办事处保康北潞</t>
    <phoneticPr fontId="143" type="noConversion"/>
  </si>
  <si>
    <t>大冶市房权证01字第30428号</t>
    <phoneticPr fontId="143" type="noConversion"/>
  </si>
  <si>
    <t>大冶市东岳路办事处坑头路</t>
    <phoneticPr fontId="143" type="noConversion"/>
  </si>
  <si>
    <t>底商</t>
  </si>
  <si>
    <t>序号</t>
  </si>
  <si>
    <t>房屋所有权证号</t>
  </si>
  <si>
    <t>不动产权利人</t>
  </si>
  <si>
    <t>位置</t>
  </si>
  <si>
    <t>建筑面积</t>
  </si>
  <si>
    <t>现状用途</t>
  </si>
  <si>
    <r>
      <t>大冶市房权证</t>
    </r>
    <r>
      <rPr>
        <sz val="9"/>
        <color rgb="FF000000"/>
        <rFont val="Arial"/>
        <family val="2"/>
      </rPr>
      <t>01</t>
    </r>
    <r>
      <rPr>
        <sz val="9"/>
        <color rgb="FF000000"/>
        <rFont val="华文细黑"/>
        <family val="3"/>
        <charset val="134"/>
      </rPr>
      <t>字第</t>
    </r>
    <r>
      <rPr>
        <sz val="9"/>
        <color rgb="FF000000"/>
        <rFont val="Arial"/>
        <family val="2"/>
      </rPr>
      <t>30439</t>
    </r>
    <r>
      <rPr>
        <sz val="9"/>
        <color rgb="FF000000"/>
        <rFont val="华文细黑"/>
        <family val="3"/>
        <charset val="134"/>
      </rPr>
      <t>号</t>
    </r>
  </si>
  <si>
    <t>大冶市东岳路办事处新华路十五万楼</t>
  </si>
  <si>
    <t>未提供</t>
  </si>
  <si>
    <t>阳光花园</t>
  </si>
  <si>
    <t>西桥街平房</t>
  </si>
  <si>
    <t>炕头街平房</t>
  </si>
  <si>
    <r>
      <t>大冶市房权证</t>
    </r>
    <r>
      <rPr>
        <sz val="9"/>
        <color rgb="FF000000"/>
        <rFont val="Arial"/>
        <family val="2"/>
      </rPr>
      <t>01</t>
    </r>
    <r>
      <rPr>
        <sz val="9"/>
        <color rgb="FF000000"/>
        <rFont val="华文细黑"/>
        <family val="3"/>
        <charset val="134"/>
      </rPr>
      <t>字第</t>
    </r>
    <r>
      <rPr>
        <sz val="9"/>
        <color rgb="FF000000"/>
        <rFont val="Arial"/>
        <family val="2"/>
      </rPr>
      <t>30371</t>
    </r>
    <r>
      <rPr>
        <sz val="9"/>
        <color rgb="FF000000"/>
        <rFont val="华文细黑"/>
        <family val="3"/>
        <charset val="134"/>
      </rPr>
      <t>号</t>
    </r>
  </si>
  <si>
    <r>
      <t>大冶市东岳路办事处坑头路</t>
    </r>
    <r>
      <rPr>
        <sz val="9"/>
        <color theme="1"/>
        <rFont val="Arial"/>
        <family val="2"/>
      </rPr>
      <t>122</t>
    </r>
    <r>
      <rPr>
        <sz val="9"/>
        <color theme="1"/>
        <rFont val="华文细黑"/>
        <family val="3"/>
        <charset val="134"/>
      </rPr>
      <t>号</t>
    </r>
  </si>
  <si>
    <r>
      <t>大冶市房权证</t>
    </r>
    <r>
      <rPr>
        <sz val="9"/>
        <color rgb="FF000000"/>
        <rFont val="Arial"/>
        <family val="2"/>
      </rPr>
      <t>01</t>
    </r>
    <r>
      <rPr>
        <sz val="9"/>
        <color rgb="FF000000"/>
        <rFont val="华文细黑"/>
        <family val="3"/>
        <charset val="134"/>
      </rPr>
      <t>字第</t>
    </r>
    <r>
      <rPr>
        <sz val="9"/>
        <color rgb="FF000000"/>
        <rFont val="Arial"/>
        <family val="2"/>
      </rPr>
      <t>30423</t>
    </r>
    <r>
      <rPr>
        <sz val="9"/>
        <color rgb="FF000000"/>
        <rFont val="华文细黑"/>
        <family val="3"/>
        <charset val="134"/>
      </rPr>
      <t>号</t>
    </r>
  </si>
  <si>
    <t>大冶市东岳路办事处黄狮海菜场楼</t>
  </si>
  <si>
    <r>
      <t>大冶市房权证</t>
    </r>
    <r>
      <rPr>
        <sz val="9"/>
        <color rgb="FF000000"/>
        <rFont val="Arial"/>
        <family val="2"/>
      </rPr>
      <t>01</t>
    </r>
    <r>
      <rPr>
        <sz val="9"/>
        <color rgb="FF000000"/>
        <rFont val="华文细黑"/>
        <family val="3"/>
        <charset val="134"/>
      </rPr>
      <t>字第</t>
    </r>
    <r>
      <rPr>
        <sz val="9"/>
        <color rgb="FF000000"/>
        <rFont val="Arial"/>
        <family val="2"/>
      </rPr>
      <t>30363</t>
    </r>
    <r>
      <rPr>
        <sz val="9"/>
        <color rgb="FF000000"/>
        <rFont val="华文细黑"/>
        <family val="3"/>
        <charset val="134"/>
      </rPr>
      <t>号</t>
    </r>
  </si>
  <si>
    <t>大冶市东岳路办事处坑头路</t>
  </si>
  <si>
    <r>
      <t>大冶市房权证</t>
    </r>
    <r>
      <rPr>
        <sz val="9"/>
        <color rgb="FF000000"/>
        <rFont val="Arial"/>
        <family val="2"/>
      </rPr>
      <t>01</t>
    </r>
    <r>
      <rPr>
        <sz val="9"/>
        <color rgb="FF000000"/>
        <rFont val="华文细黑"/>
        <family val="3"/>
        <charset val="134"/>
      </rPr>
      <t>字第</t>
    </r>
    <r>
      <rPr>
        <sz val="9"/>
        <color rgb="FF000000"/>
        <rFont val="Arial"/>
        <family val="2"/>
      </rPr>
      <t>30362</t>
    </r>
    <r>
      <rPr>
        <sz val="9"/>
        <color rgb="FF000000"/>
        <rFont val="华文细黑"/>
        <family val="3"/>
        <charset val="134"/>
      </rPr>
      <t>号</t>
    </r>
  </si>
  <si>
    <t>大冶市东岳路办事处坑头路（知青路）</t>
  </si>
  <si>
    <r>
      <t>大冶市房权证</t>
    </r>
    <r>
      <rPr>
        <sz val="9"/>
        <color rgb="FF000000"/>
        <rFont val="Arial"/>
        <family val="2"/>
      </rPr>
      <t>01</t>
    </r>
    <r>
      <rPr>
        <sz val="9"/>
        <color rgb="FF000000"/>
        <rFont val="华文细黑"/>
        <family val="3"/>
        <charset val="134"/>
      </rPr>
      <t>字第</t>
    </r>
    <r>
      <rPr>
        <sz val="9"/>
        <color rgb="FF000000"/>
        <rFont val="Arial"/>
        <family val="2"/>
      </rPr>
      <t>30608</t>
    </r>
    <r>
      <rPr>
        <sz val="9"/>
        <color rgb="FF000000"/>
        <rFont val="华文细黑"/>
        <family val="3"/>
        <charset val="134"/>
      </rPr>
      <t>号</t>
    </r>
  </si>
  <si>
    <t>大冶市东岳路办事处新华东路</t>
  </si>
  <si>
    <r>
      <t>大冶市房权证</t>
    </r>
    <r>
      <rPr>
        <sz val="9"/>
        <color rgb="FF000000"/>
        <rFont val="Arial"/>
        <family val="2"/>
      </rPr>
      <t>01</t>
    </r>
    <r>
      <rPr>
        <sz val="9"/>
        <color rgb="FF000000"/>
        <rFont val="华文细黑"/>
        <family val="3"/>
        <charset val="134"/>
      </rPr>
      <t>字第</t>
    </r>
    <r>
      <rPr>
        <sz val="9"/>
        <color rgb="FF000000"/>
        <rFont val="Arial"/>
        <family val="2"/>
      </rPr>
      <t>30365</t>
    </r>
    <r>
      <rPr>
        <sz val="9"/>
        <color rgb="FF000000"/>
        <rFont val="华文细黑"/>
        <family val="3"/>
        <charset val="134"/>
      </rPr>
      <t>号</t>
    </r>
  </si>
  <si>
    <r>
      <t>大冶市东岳路办事处黄狮海</t>
    </r>
    <r>
      <rPr>
        <sz val="9"/>
        <color theme="1"/>
        <rFont val="Arial"/>
        <family val="2"/>
      </rPr>
      <t>8</t>
    </r>
    <r>
      <rPr>
        <sz val="9"/>
        <color theme="1"/>
        <rFont val="华文细黑"/>
        <family val="3"/>
        <charset val="134"/>
      </rPr>
      <t>号</t>
    </r>
  </si>
  <si>
    <r>
      <t>大冶市房权证</t>
    </r>
    <r>
      <rPr>
        <sz val="9"/>
        <color rgb="FF000000"/>
        <rFont val="Arial"/>
        <family val="2"/>
      </rPr>
      <t>01</t>
    </r>
    <r>
      <rPr>
        <sz val="9"/>
        <color rgb="FF000000"/>
        <rFont val="华文细黑"/>
        <family val="3"/>
        <charset val="134"/>
      </rPr>
      <t>字第</t>
    </r>
    <r>
      <rPr>
        <sz val="9"/>
        <color rgb="FF000000"/>
        <rFont val="Arial"/>
        <family val="2"/>
      </rPr>
      <t>30430</t>
    </r>
    <r>
      <rPr>
        <sz val="9"/>
        <color rgb="FF000000"/>
        <rFont val="华文细黑"/>
        <family val="3"/>
        <charset val="134"/>
      </rPr>
      <t>号</t>
    </r>
  </si>
  <si>
    <t>大冶市东岳路办事处保康北路</t>
  </si>
  <si>
    <r>
      <t>大冶市房权证</t>
    </r>
    <r>
      <rPr>
        <sz val="9"/>
        <color rgb="FF000000"/>
        <rFont val="Arial"/>
        <family val="2"/>
      </rPr>
      <t>01</t>
    </r>
    <r>
      <rPr>
        <sz val="9"/>
        <color rgb="FF000000"/>
        <rFont val="华文细黑"/>
        <family val="3"/>
        <charset val="134"/>
      </rPr>
      <t>字第</t>
    </r>
    <r>
      <rPr>
        <sz val="9"/>
        <color rgb="FF000000"/>
        <rFont val="Arial"/>
        <family val="2"/>
      </rPr>
      <t>30425</t>
    </r>
    <r>
      <rPr>
        <sz val="9"/>
        <color rgb="FF000000"/>
        <rFont val="华文细黑"/>
        <family val="3"/>
        <charset val="134"/>
      </rPr>
      <t>号</t>
    </r>
  </si>
  <si>
    <t>大冶市东岳路办事处保康北路红旗商店楼</t>
  </si>
  <si>
    <r>
      <t>大冶市房权证</t>
    </r>
    <r>
      <rPr>
        <sz val="9"/>
        <color rgb="FF000000"/>
        <rFont val="Arial"/>
        <family val="2"/>
      </rPr>
      <t>01</t>
    </r>
    <r>
      <rPr>
        <sz val="9"/>
        <color rgb="FF000000"/>
        <rFont val="华文细黑"/>
        <family val="3"/>
        <charset val="134"/>
      </rPr>
      <t>字第</t>
    </r>
    <r>
      <rPr>
        <sz val="9"/>
        <color rgb="FF000000"/>
        <rFont val="Arial"/>
        <family val="2"/>
      </rPr>
      <t>30434</t>
    </r>
    <r>
      <rPr>
        <sz val="9"/>
        <color rgb="FF000000"/>
        <rFont val="华文细黑"/>
        <family val="3"/>
        <charset val="134"/>
      </rPr>
      <t>号</t>
    </r>
  </si>
  <si>
    <t>大冶市东岳路办事处保康北潞</t>
  </si>
  <si>
    <r>
      <t>大冶市房权证</t>
    </r>
    <r>
      <rPr>
        <sz val="9"/>
        <color rgb="FF000000"/>
        <rFont val="Arial"/>
        <family val="2"/>
      </rPr>
      <t>01</t>
    </r>
    <r>
      <rPr>
        <sz val="9"/>
        <color rgb="FF000000"/>
        <rFont val="华文细黑"/>
        <family val="3"/>
        <charset val="134"/>
      </rPr>
      <t>字第</t>
    </r>
    <r>
      <rPr>
        <sz val="9"/>
        <color rgb="FF000000"/>
        <rFont val="Arial"/>
        <family val="2"/>
      </rPr>
      <t>30428</t>
    </r>
    <r>
      <rPr>
        <sz val="9"/>
        <color rgb="FF000000"/>
        <rFont val="华文细黑"/>
        <family val="3"/>
        <charset val="134"/>
      </rPr>
      <t>号</t>
    </r>
  </si>
  <si>
    <r>
      <t>大冶市房权证</t>
    </r>
    <r>
      <rPr>
        <sz val="9"/>
        <color rgb="FF000000"/>
        <rFont val="Arial"/>
        <family val="2"/>
      </rPr>
      <t>01</t>
    </r>
    <r>
      <rPr>
        <sz val="9"/>
        <color rgb="FF000000"/>
        <rFont val="华文细黑"/>
        <family val="3"/>
        <charset val="134"/>
      </rPr>
      <t>字第</t>
    </r>
    <r>
      <rPr>
        <sz val="9"/>
        <color rgb="FF000000"/>
        <rFont val="Arial"/>
        <family val="2"/>
      </rPr>
      <t>30642</t>
    </r>
    <r>
      <rPr>
        <sz val="9"/>
        <color rgb="FF000000"/>
        <rFont val="华文细黑"/>
        <family val="3"/>
        <charset val="134"/>
      </rPr>
      <t>号</t>
    </r>
  </si>
  <si>
    <r>
      <t>大冶市房权证</t>
    </r>
    <r>
      <rPr>
        <sz val="9"/>
        <color rgb="FF000000"/>
        <rFont val="Arial"/>
        <family val="2"/>
      </rPr>
      <t>01</t>
    </r>
    <r>
      <rPr>
        <sz val="9"/>
        <color rgb="FF000000"/>
        <rFont val="华文细黑"/>
        <family val="3"/>
        <charset val="134"/>
      </rPr>
      <t>字第</t>
    </r>
    <r>
      <rPr>
        <sz val="9"/>
        <color rgb="FF000000"/>
        <rFont val="Arial"/>
        <family val="2"/>
      </rPr>
      <t>30643</t>
    </r>
    <r>
      <rPr>
        <sz val="9"/>
        <color rgb="FF000000"/>
        <rFont val="华文细黑"/>
        <family val="3"/>
        <charset val="134"/>
      </rPr>
      <t>号</t>
    </r>
  </si>
  <si>
    <r>
      <t>大冶市房权证</t>
    </r>
    <r>
      <rPr>
        <sz val="9"/>
        <color rgb="FF000000"/>
        <rFont val="Arial"/>
        <family val="2"/>
      </rPr>
      <t>01</t>
    </r>
    <r>
      <rPr>
        <sz val="9"/>
        <color rgb="FF000000"/>
        <rFont val="华文细黑"/>
        <family val="3"/>
        <charset val="134"/>
      </rPr>
      <t>字第</t>
    </r>
    <r>
      <rPr>
        <sz val="9"/>
        <color rgb="FF000000"/>
        <rFont val="Arial"/>
        <family val="2"/>
      </rPr>
      <t>30616</t>
    </r>
    <r>
      <rPr>
        <sz val="9"/>
        <color rgb="FF000000"/>
        <rFont val="华文细黑"/>
        <family val="3"/>
        <charset val="134"/>
      </rPr>
      <t>号</t>
    </r>
  </si>
  <si>
    <r>
      <t>大冶市东岳路办事处儒学路</t>
    </r>
    <r>
      <rPr>
        <sz val="9"/>
        <color theme="1"/>
        <rFont val="Arial"/>
        <family val="2"/>
      </rPr>
      <t>5</t>
    </r>
    <r>
      <rPr>
        <sz val="9"/>
        <color theme="1"/>
        <rFont val="华文细黑"/>
        <family val="3"/>
        <charset val="134"/>
      </rPr>
      <t>号康馨园</t>
    </r>
  </si>
  <si>
    <r>
      <t>大冶市房权证</t>
    </r>
    <r>
      <rPr>
        <sz val="9"/>
        <color rgb="FF000000"/>
        <rFont val="Arial"/>
        <family val="2"/>
      </rPr>
      <t>01</t>
    </r>
    <r>
      <rPr>
        <sz val="9"/>
        <color rgb="FF000000"/>
        <rFont val="华文细黑"/>
        <family val="3"/>
        <charset val="134"/>
      </rPr>
      <t>字第</t>
    </r>
    <r>
      <rPr>
        <sz val="9"/>
        <color rgb="FF000000"/>
        <rFont val="Arial"/>
        <family val="2"/>
      </rPr>
      <t>20547</t>
    </r>
    <r>
      <rPr>
        <sz val="9"/>
        <color rgb="FF000000"/>
        <rFont val="华文细黑"/>
        <family val="3"/>
        <charset val="134"/>
      </rPr>
      <t>号</t>
    </r>
  </si>
  <si>
    <r>
      <t>大冶市东岳路办事处余府路</t>
    </r>
    <r>
      <rPr>
        <sz val="9"/>
        <color theme="1"/>
        <rFont val="Arial"/>
        <family val="2"/>
      </rPr>
      <t>18</t>
    </r>
    <r>
      <rPr>
        <sz val="9"/>
        <color theme="1"/>
        <rFont val="华文细黑"/>
        <family val="3"/>
        <charset val="134"/>
      </rPr>
      <t>号</t>
    </r>
  </si>
  <si>
    <r>
      <t>大冶市房权证</t>
    </r>
    <r>
      <rPr>
        <sz val="9"/>
        <color rgb="FF000000"/>
        <rFont val="Arial"/>
        <family val="2"/>
      </rPr>
      <t>01</t>
    </r>
    <r>
      <rPr>
        <sz val="9"/>
        <color rgb="FF000000"/>
        <rFont val="华文细黑"/>
        <family val="3"/>
        <charset val="134"/>
      </rPr>
      <t>字第</t>
    </r>
    <r>
      <rPr>
        <sz val="9"/>
        <color rgb="FF000000"/>
        <rFont val="Arial"/>
        <family val="2"/>
      </rPr>
      <t>20546</t>
    </r>
    <r>
      <rPr>
        <sz val="9"/>
        <color rgb="FF000000"/>
        <rFont val="华文细黑"/>
        <family val="3"/>
        <charset val="134"/>
      </rPr>
      <t>号</t>
    </r>
  </si>
  <si>
    <r>
      <t>冶房权证</t>
    </r>
    <r>
      <rPr>
        <sz val="9"/>
        <color rgb="FF000000"/>
        <rFont val="Arial"/>
        <family val="2"/>
      </rPr>
      <t>01</t>
    </r>
    <r>
      <rPr>
        <sz val="9"/>
        <color rgb="FF000000"/>
        <rFont val="华文细黑"/>
        <family val="3"/>
        <charset val="134"/>
      </rPr>
      <t>字第</t>
    </r>
    <r>
      <rPr>
        <sz val="9"/>
        <color rgb="FF000000"/>
        <rFont val="Arial"/>
        <family val="2"/>
      </rPr>
      <t>13181</t>
    </r>
    <r>
      <rPr>
        <sz val="9"/>
        <color rgb="FF000000"/>
        <rFont val="华文细黑"/>
        <family val="3"/>
        <charset val="134"/>
      </rPr>
      <t>号</t>
    </r>
  </si>
  <si>
    <r>
      <t>大冶市东岳路办事处东岳路</t>
    </r>
    <r>
      <rPr>
        <sz val="9"/>
        <color theme="1"/>
        <rFont val="Arial"/>
        <family val="2"/>
      </rPr>
      <t>13</t>
    </r>
    <r>
      <rPr>
        <sz val="9"/>
        <color theme="1"/>
        <rFont val="华文细黑"/>
        <family val="3"/>
        <charset val="134"/>
      </rPr>
      <t>、</t>
    </r>
    <r>
      <rPr>
        <sz val="9"/>
        <color theme="1"/>
        <rFont val="Arial"/>
        <family val="2"/>
      </rPr>
      <t>15</t>
    </r>
    <r>
      <rPr>
        <sz val="9"/>
        <color theme="1"/>
        <rFont val="华文细黑"/>
        <family val="3"/>
        <charset val="134"/>
      </rPr>
      <t>、</t>
    </r>
    <r>
      <rPr>
        <sz val="9"/>
        <color theme="1"/>
        <rFont val="Arial"/>
        <family val="2"/>
      </rPr>
      <t>17</t>
    </r>
    <r>
      <rPr>
        <sz val="9"/>
        <color theme="1"/>
        <rFont val="华文细黑"/>
        <family val="3"/>
        <charset val="134"/>
      </rPr>
      <t>号</t>
    </r>
  </si>
  <si>
    <t>平房</t>
  </si>
  <si>
    <t>炕头路</t>
  </si>
  <si>
    <r>
      <t>鄂（</t>
    </r>
    <r>
      <rPr>
        <sz val="9"/>
        <color rgb="FF000000"/>
        <rFont val="Arial"/>
        <family val="2"/>
      </rPr>
      <t>2019</t>
    </r>
    <r>
      <rPr>
        <sz val="9"/>
        <color rgb="FF000000"/>
        <rFont val="华文细黑"/>
        <family val="3"/>
        <charset val="134"/>
      </rPr>
      <t>）大冶市不动产权第</t>
    </r>
    <r>
      <rPr>
        <sz val="9"/>
        <color rgb="FF000000"/>
        <rFont val="Arial"/>
        <family val="2"/>
      </rPr>
      <t>0016103</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</si>
  <si>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73-71</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</si>
  <si>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0016104</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</si>
  <si>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73-88</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</si>
  <si>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0016105</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</si>
  <si>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73-3</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</si>
  <si>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0016106</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</si>
  <si>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73-99</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</si>
  <si>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0016107</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</si>
  <si>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73-86</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</si>
  <si>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0016108</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</si>
  <si>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73-53</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</si>
  <si>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0016109</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</si>
  <si>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73-69</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</si>
  <si>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0016110</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</si>
  <si>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73-85</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</si>
  <si>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0016111</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</si>
  <si>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73-42</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</si>
  <si>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0016112</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</si>
  <si>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73-2</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</si>
  <si>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0016113</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</si>
  <si>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73-14</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</si>
  <si>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0016114</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</si>
  <si>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73-73</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</si>
  <si>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0016115</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</si>
  <si>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73-66</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</si>
  <si>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0016116</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</si>
  <si>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73-52</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</si>
  <si>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0016117</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</si>
  <si>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73-70</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</si>
  <si>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0016118</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</si>
  <si>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73-4</t>
    </r>
    <r>
      <rPr>
        <sz val="9"/>
        <color rgb="FF000000"/>
        <rFont val="华文细黑"/>
        <family val="3"/>
        <charset val="134"/>
      </rPr>
      <t>号</t>
    </r>
  </si>
  <si>
    <r>
      <t>鄂（</t>
    </r>
    <r>
      <rPr>
        <sz val="9"/>
        <color rgb="FF000000"/>
        <rFont val="Arial"/>
        <family val="2"/>
      </rPr>
      <t>2019</t>
    </r>
    <r>
      <rPr>
        <sz val="9"/>
        <color rgb="FF000000"/>
        <rFont val="华文细黑"/>
        <family val="3"/>
        <charset val="134"/>
      </rPr>
      <t>）大冶市不动产权第</t>
    </r>
    <r>
      <rPr>
        <sz val="9"/>
        <color rgb="FF000000"/>
        <rFont val="Arial"/>
        <family val="2"/>
      </rPr>
      <t>0016119</t>
    </r>
    <r>
      <rPr>
        <sz val="9"/>
        <color rgb="FF000000"/>
        <rFont val="华文细黑"/>
        <family val="3"/>
        <charset val="134"/>
      </rPr>
      <t>号</t>
    </r>
  </si>
  <si>
    <r>
      <t>大冶市东风路街道金湖大道</t>
    </r>
    <r>
      <rPr>
        <sz val="9"/>
        <color rgb="FF000000"/>
        <rFont val="Arial"/>
        <family val="2"/>
      </rPr>
      <t>73</t>
    </r>
    <r>
      <rPr>
        <sz val="9"/>
        <color rgb="FF000000"/>
        <rFont val="华文细黑"/>
        <family val="3"/>
        <charset val="134"/>
      </rPr>
      <t>号外滩首府</t>
    </r>
    <r>
      <rPr>
        <sz val="9"/>
        <color rgb="FF000000"/>
        <rFont val="Arial"/>
        <family val="2"/>
      </rPr>
      <t>73-79</t>
    </r>
    <r>
      <rPr>
        <sz val="9"/>
        <color rgb="FF000000"/>
        <rFont val="华文细黑"/>
        <family val="3"/>
        <charset val="134"/>
      </rPr>
      <t>号</t>
    </r>
  </si>
  <si>
    <t>大冶市城区房管所</t>
    <phoneticPr fontId="143" type="noConversion"/>
  </si>
  <si>
    <t>大冶市龙发物业管理有限公司</t>
    <phoneticPr fontId="143" type="noConversion"/>
  </si>
  <si>
    <t>湖北大冶湖高新技术产业投资有限公司</t>
    <phoneticPr fontId="143" type="noConversion"/>
  </si>
  <si>
    <t>90-100</t>
  </si>
  <si>
    <t>底商</t>
    <phoneticPr fontId="25" type="noConversion"/>
  </si>
  <si>
    <t>钢混</t>
    <phoneticPr fontId="25" type="noConversion"/>
  </si>
  <si>
    <t>https://j.map.baidu.com/57/cWA</t>
    <phoneticPr fontId="143" type="noConversion"/>
  </si>
  <si>
    <t>22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</si>
</sst>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7"/>
      <color rgb="FF999999"/>
      <name val="微软雅黑"/>
      <family val="2"/>
      <charset val="134"/>
    </font>
    <font>
      <sz val="7"/>
      <color rgb="FF666666"/>
      <name val="微软雅黑"/>
      <family val="2"/>
      <charset val="134"/>
    </font>
    <font>
      <u/>
      <sz val="11"/>
      <color theme="10"/>
      <name val="宋体"/>
      <family val="3"/>
      <charset val="134"/>
      <scheme val="minor"/>
    </font>
    <font>
      <sz val="9"/>
      <color rgb="FF000000"/>
      <name val="华文细黑"/>
      <family val="3"/>
      <charset val="134"/>
    </font>
    <font>
      <sz val="9"/>
      <color rgb="FF000000"/>
      <name val="Arial"/>
      <family val="2"/>
    </font>
    <font>
      <sz val="9"/>
      <color theme="1"/>
      <name val="华文细黑"/>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FBFBF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medium">
        <color rgb="FFCED4E0"/>
      </top>
      <bottom/>
      <diagonal/>
    </border>
    <border>
      <left/>
      <right/>
      <top/>
      <bottom style="medium">
        <color rgb="FFF6F6F6"/>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256" fillId="0" borderId="0" applyNumberFormat="0" applyFill="0" applyBorder="0" applyAlignment="0" applyProtection="0">
      <alignment vertical="center"/>
    </xf>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49" fontId="99" fillId="0" borderId="0" xfId="0" applyNumberFormat="1" applyFont="1" applyAlignment="1">
      <alignment horizontal="right" vertical="center"/>
    </xf>
    <xf numFmtId="0" fontId="99" fillId="0" borderId="0" xfId="0" applyNumberFormat="1" applyFont="1" applyAlignment="1">
      <alignment horizontal="right" vertical="center"/>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0" fillId="5" borderId="0" xfId="0" applyFill="1">
      <alignment vertical="center"/>
    </xf>
    <xf numFmtId="0" fontId="105" fillId="0" borderId="0" xfId="17" applyFont="1" applyFill="1"/>
    <xf numFmtId="0" fontId="99" fillId="0" borderId="0" xfId="0" applyFont="1" applyFill="1">
      <alignment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49" fontId="50" fillId="18" borderId="9" xfId="0" applyNumberFormat="1" applyFont="1" applyFill="1" applyBorder="1" applyAlignment="1" applyProtection="1">
      <alignment horizontal="center" vertical="center" wrapText="1"/>
      <protection locked="0"/>
    </xf>
    <xf numFmtId="0" fontId="56" fillId="18" borderId="32" xfId="0" applyNumberFormat="1" applyFont="1" applyFill="1" applyBorder="1" applyAlignment="1" applyProtection="1">
      <alignment horizontal="center" vertical="center" wrapText="1"/>
      <protection locked="0"/>
    </xf>
    <xf numFmtId="0" fontId="0" fillId="18" borderId="0" xfId="0" applyFill="1">
      <alignment vertical="center"/>
    </xf>
    <xf numFmtId="0" fontId="50" fillId="0" borderId="1"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protection locked="0"/>
    </xf>
    <xf numFmtId="0" fontId="254" fillId="19" borderId="156" xfId="0" applyFont="1" applyFill="1" applyBorder="1" applyAlignment="1">
      <alignment horizontal="center" vertical="center" wrapText="1"/>
    </xf>
    <xf numFmtId="0" fontId="255" fillId="13" borderId="157" xfId="0" applyFont="1" applyFill="1" applyBorder="1" applyAlignment="1">
      <alignment horizontal="center" vertical="center" wrapText="1"/>
    </xf>
    <xf numFmtId="58" fontId="255" fillId="13" borderId="157" xfId="0" applyNumberFormat="1" applyFont="1" applyFill="1" applyBorder="1" applyAlignment="1">
      <alignment horizontal="center" vertical="center" wrapText="1"/>
    </xf>
    <xf numFmtId="3" fontId="255" fillId="13" borderId="157" xfId="0" applyNumberFormat="1" applyFont="1" applyFill="1" applyBorder="1" applyAlignment="1">
      <alignment horizontal="center" vertical="center" wrapText="1"/>
    </xf>
    <xf numFmtId="14" fontId="255" fillId="13" borderId="157" xfId="0" applyNumberFormat="1" applyFont="1" applyFill="1" applyBorder="1" applyAlignment="1">
      <alignment horizontal="center" vertical="center" wrapText="1"/>
    </xf>
    <xf numFmtId="0" fontId="255" fillId="13" borderId="0" xfId="0" applyFont="1" applyFill="1" applyBorder="1" applyAlignment="1">
      <alignment horizontal="center" vertical="center" wrapText="1"/>
    </xf>
    <xf numFmtId="179" fontId="0" fillId="0" borderId="0" xfId="0" applyNumberFormat="1">
      <alignment vertical="center"/>
    </xf>
    <xf numFmtId="0" fontId="254" fillId="19" borderId="0" xfId="0" applyFont="1" applyFill="1" applyBorder="1" applyAlignment="1">
      <alignment horizontal="center" vertical="center" wrapText="1"/>
    </xf>
    <xf numFmtId="197" fontId="255" fillId="13" borderId="157" xfId="0" applyNumberFormat="1" applyFont="1" applyFill="1" applyBorder="1" applyAlignment="1">
      <alignment horizontal="center" vertical="center" wrapText="1"/>
    </xf>
    <xf numFmtId="0" fontId="47" fillId="6" borderId="5" xfId="0" applyFont="1" applyFill="1" applyBorder="1" applyAlignment="1" applyProtection="1">
      <alignment horizontal="center" vertical="center" wrapText="1"/>
    </xf>
    <xf numFmtId="0" fontId="256" fillId="0" borderId="0" xfId="18">
      <alignment vertical="center"/>
    </xf>
    <xf numFmtId="181" fontId="47" fillId="0" borderId="1" xfId="0" applyNumberFormat="1" applyFont="1" applyFill="1" applyBorder="1" applyAlignment="1" applyProtection="1">
      <alignment vertical="center"/>
      <protection locked="0"/>
    </xf>
    <xf numFmtId="10" fontId="47" fillId="0" borderId="53" xfId="0" applyNumberFormat="1" applyFont="1" applyFill="1" applyBorder="1" applyAlignment="1" applyProtection="1">
      <alignment horizontal="center" vertical="center"/>
      <protection locked="0"/>
    </xf>
    <xf numFmtId="49" fontId="47" fillId="5" borderId="3" xfId="0" applyNumberFormat="1" applyFont="1" applyFill="1" applyBorder="1" applyAlignment="1" applyProtection="1">
      <alignment horizontal="center" vertical="center" wrapText="1"/>
      <protection locked="0"/>
    </xf>
    <xf numFmtId="49" fontId="47" fillId="5" borderId="23"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19"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horizontal="center" vertical="center"/>
      <protection locked="0"/>
    </xf>
    <xf numFmtId="0" fontId="99" fillId="9" borderId="0" xfId="0" applyFont="1" applyFill="1">
      <alignment vertical="center"/>
    </xf>
    <xf numFmtId="0" fontId="0" fillId="9" borderId="0" xfId="0" applyFill="1">
      <alignment vertical="center"/>
    </xf>
    <xf numFmtId="0" fontId="0" fillId="9" borderId="0" xfId="0" applyFill="1" applyAlignment="1">
      <alignment horizontal="right" vertical="center"/>
    </xf>
    <xf numFmtId="0" fontId="99" fillId="9" borderId="0" xfId="0" applyNumberFormat="1" applyFont="1" applyFill="1" applyAlignment="1">
      <alignment horizontal="right" vertical="center"/>
    </xf>
    <xf numFmtId="49" fontId="99" fillId="9" borderId="0" xfId="0" applyNumberFormat="1" applyFont="1" applyFill="1" applyAlignment="1">
      <alignment horizontal="right" vertical="center"/>
    </xf>
    <xf numFmtId="49" fontId="257" fillId="0" borderId="82" xfId="0" applyNumberFormat="1" applyFont="1" applyBorder="1" applyAlignment="1">
      <alignment horizontal="justify" vertical="center" wrapText="1"/>
    </xf>
    <xf numFmtId="49" fontId="257" fillId="0" borderId="65" xfId="0" applyNumberFormat="1" applyFont="1" applyBorder="1" applyAlignment="1">
      <alignment horizontal="justify" vertical="center"/>
    </xf>
    <xf numFmtId="49" fontId="257" fillId="0" borderId="65" xfId="0" applyNumberFormat="1" applyFont="1" applyBorder="1" applyAlignment="1">
      <alignment horizontal="justify" vertical="center" wrapText="1"/>
    </xf>
    <xf numFmtId="49" fontId="258" fillId="0" borderId="81" xfId="0" applyNumberFormat="1" applyFont="1" applyBorder="1" applyAlignment="1">
      <alignment horizontal="justify" vertical="center" wrapText="1"/>
    </xf>
    <xf numFmtId="49" fontId="257" fillId="0" borderId="43" xfId="0" applyNumberFormat="1" applyFont="1" applyBorder="1" applyAlignment="1">
      <alignment horizontal="justify" vertical="center"/>
    </xf>
    <xf numFmtId="49" fontId="259" fillId="0" borderId="43" xfId="0" applyNumberFormat="1" applyFont="1" applyBorder="1" applyAlignment="1">
      <alignment horizontal="justify" vertical="center"/>
    </xf>
    <xf numFmtId="49" fontId="258" fillId="0" borderId="43" xfId="0" applyNumberFormat="1" applyFont="1" applyBorder="1" applyAlignment="1">
      <alignment horizontal="justify" vertical="center"/>
    </xf>
    <xf numFmtId="49" fontId="257" fillId="0" borderId="43" xfId="0" applyNumberFormat="1" applyFont="1" applyBorder="1" applyAlignment="1">
      <alignment horizontal="justify" vertical="center" wrapText="1"/>
    </xf>
    <xf numFmtId="49" fontId="50" fillId="0" borderId="1" xfId="0" applyNumberFormat="1" applyFont="1" applyBorder="1" applyProtection="1">
      <alignment vertical="center"/>
      <protection locked="0"/>
    </xf>
    <xf numFmtId="49" fontId="50" fillId="0" borderId="1" xfId="0" applyNumberFormat="1" applyFont="1" applyFill="1" applyBorder="1" applyAlignment="1" applyProtection="1">
      <alignment horizontal="center" vertical="center"/>
      <protection locked="0"/>
    </xf>
    <xf numFmtId="49" fontId="63" fillId="2"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59" fillId="0" borderId="27" xfId="0" applyNumberFormat="1" applyFont="1" applyBorder="1" applyAlignment="1">
      <alignment horizontal="justify" vertical="center" wrapText="1"/>
    </xf>
    <xf numFmtId="49" fontId="259" fillId="0" borderId="80" xfId="0" applyNumberFormat="1" applyFont="1" applyBorder="1" applyAlignment="1">
      <alignment horizontal="justify" vertical="center" wrapText="1"/>
    </xf>
    <xf numFmtId="49" fontId="259" fillId="0" borderId="81" xfId="0" applyNumberFormat="1" applyFont="1" applyBorder="1" applyAlignment="1">
      <alignment horizontal="justify" vertical="center" wrapText="1"/>
    </xf>
    <xf numFmtId="49" fontId="257" fillId="0" borderId="27" xfId="0" applyNumberFormat="1" applyFont="1" applyBorder="1" applyAlignment="1">
      <alignment horizontal="justify" vertical="center" wrapText="1"/>
    </xf>
    <xf numFmtId="49" fontId="257" fillId="0" borderId="80" xfId="0" applyNumberFormat="1" applyFont="1" applyBorder="1" applyAlignment="1">
      <alignment horizontal="justify" vertical="center" wrapText="1"/>
    </xf>
    <xf numFmtId="49" fontId="257" fillId="0" borderId="81" xfId="0" applyNumberFormat="1" applyFont="1" applyBorder="1" applyAlignment="1">
      <alignment horizontal="justify" vertical="center" wrapText="1"/>
    </xf>
    <xf numFmtId="49" fontId="258" fillId="0" borderId="63" xfId="0" applyNumberFormat="1" applyFont="1" applyBorder="1" applyAlignment="1">
      <alignment horizontal="justify" vertical="center" wrapText="1"/>
    </xf>
    <xf numFmtId="49" fontId="258" fillId="0" borderId="65" xfId="0" applyNumberFormat="1" applyFont="1" applyBorder="1" applyAlignment="1">
      <alignment horizontal="justify" vertical="center" wrapText="1"/>
    </xf>
    <xf numFmtId="49" fontId="257" fillId="0" borderId="63" xfId="0" applyNumberFormat="1" applyFont="1" applyBorder="1" applyAlignment="1">
      <alignment horizontal="justify" vertical="center" wrapText="1"/>
    </xf>
    <xf numFmtId="49" fontId="257" fillId="0" borderId="65" xfId="0" applyNumberFormat="1" applyFont="1" applyBorder="1" applyAlignment="1">
      <alignment horizontal="justify" vertical="center" wrapText="1"/>
    </xf>
    <xf numFmtId="176" fontId="258" fillId="0" borderId="43" xfId="0" applyNumberFormat="1" applyFont="1" applyBorder="1" applyAlignment="1">
      <alignment horizontal="justify"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1524000</xdr:colOff>
      <xdr:row>28</xdr:row>
      <xdr:rowOff>19050</xdr:rowOff>
    </xdr:from>
    <xdr:to>
      <xdr:col>7</xdr:col>
      <xdr:colOff>523143</xdr:colOff>
      <xdr:row>53</xdr:row>
      <xdr:rowOff>113753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524000" y="4819650"/>
          <a:ext cx="5857143" cy="4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200025</xdr:colOff>
      <xdr:row>16</xdr:row>
      <xdr:rowOff>142006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058025" cy="2885206"/>
        </a:xfrm>
        <a:prstGeom prst="rect">
          <a:avLst/>
        </a:prstGeom>
      </xdr:spPr>
    </xdr:pic>
    <xdr:clientData/>
  </xdr:twoCellAnchor>
  <xdr:twoCellAnchor editAs="oneCell">
    <xdr:from>
      <xdr:col>10</xdr:col>
      <xdr:colOff>502920</xdr:colOff>
      <xdr:row>0</xdr:row>
      <xdr:rowOff>0</xdr:rowOff>
    </xdr:from>
    <xdr:to>
      <xdr:col>21</xdr:col>
      <xdr:colOff>112394</xdr:colOff>
      <xdr:row>19</xdr:row>
      <xdr:rowOff>169795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598920" y="0"/>
          <a:ext cx="6315074" cy="3644515"/>
        </a:xfrm>
        <a:prstGeom prst="rect">
          <a:avLst/>
        </a:prstGeom>
      </xdr:spPr>
    </xdr:pic>
    <xdr:clientData/>
  </xdr:twoCellAnchor>
  <xdr:twoCellAnchor editAs="oneCell">
    <xdr:from>
      <xdr:col>0</xdr:col>
      <xdr:colOff>0</xdr:colOff>
      <xdr:row>19</xdr:row>
      <xdr:rowOff>144780</xdr:rowOff>
    </xdr:from>
    <xdr:to>
      <xdr:col>10</xdr:col>
      <xdr:colOff>251362</xdr:colOff>
      <xdr:row>40</xdr:row>
      <xdr:rowOff>19050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3619500"/>
          <a:ext cx="6347362" cy="3714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297840</xdr:colOff>
      <xdr:row>35</xdr:row>
      <xdr:rowOff>46279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613040" cy="6447079"/>
        </a:xfrm>
        <a:prstGeom prst="rect">
          <a:avLst/>
        </a:prstGeom>
      </xdr:spPr>
    </xdr:pic>
    <xdr:clientData/>
  </xdr:twoCellAnchor>
  <xdr:twoCellAnchor editAs="oneCell">
    <xdr:from>
      <xdr:col>16</xdr:col>
      <xdr:colOff>129541</xdr:colOff>
      <xdr:row>0</xdr:row>
      <xdr:rowOff>0</xdr:rowOff>
    </xdr:from>
    <xdr:to>
      <xdr:col>22</xdr:col>
      <xdr:colOff>561941</xdr:colOff>
      <xdr:row>14</xdr:row>
      <xdr:rowOff>167640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264266" y="0"/>
          <a:ext cx="4547200" cy="2567940"/>
        </a:xfrm>
        <a:prstGeom prst="rect">
          <a:avLst/>
        </a:prstGeom>
      </xdr:spPr>
    </xdr:pic>
    <xdr:clientData/>
  </xdr:twoCellAnchor>
  <xdr:twoCellAnchor editAs="oneCell">
    <xdr:from>
      <xdr:col>23</xdr:col>
      <xdr:colOff>0</xdr:colOff>
      <xdr:row>0</xdr:row>
      <xdr:rowOff>0</xdr:rowOff>
    </xdr:from>
    <xdr:to>
      <xdr:col>29</xdr:col>
      <xdr:colOff>469922</xdr:colOff>
      <xdr:row>14</xdr:row>
      <xdr:rowOff>167640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4173200" y="0"/>
          <a:ext cx="4127522" cy="2727960"/>
        </a:xfrm>
        <a:prstGeom prst="rect">
          <a:avLst/>
        </a:prstGeom>
      </xdr:spPr>
    </xdr:pic>
    <xdr:clientData/>
  </xdr:twoCellAnchor>
  <xdr:twoCellAnchor editAs="oneCell">
    <xdr:from>
      <xdr:col>16</xdr:col>
      <xdr:colOff>0</xdr:colOff>
      <xdr:row>16</xdr:row>
      <xdr:rowOff>11508</xdr:rowOff>
    </xdr:from>
    <xdr:to>
      <xdr:col>22</xdr:col>
      <xdr:colOff>454803</xdr:colOff>
      <xdr:row>26</xdr:row>
      <xdr:rowOff>137159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906000" y="2937588"/>
          <a:ext cx="4112403" cy="1954451"/>
        </a:xfrm>
        <a:prstGeom prst="rect">
          <a:avLst/>
        </a:prstGeom>
      </xdr:spPr>
    </xdr:pic>
    <xdr:clientData/>
  </xdr:twoCellAnchor>
  <xdr:twoCellAnchor editAs="oneCell">
    <xdr:from>
      <xdr:col>23</xdr:col>
      <xdr:colOff>15240</xdr:colOff>
      <xdr:row>16</xdr:row>
      <xdr:rowOff>15956</xdr:rowOff>
    </xdr:from>
    <xdr:to>
      <xdr:col>29</xdr:col>
      <xdr:colOff>452405</xdr:colOff>
      <xdr:row>26</xdr:row>
      <xdr:rowOff>144779</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4188440" y="2942036"/>
          <a:ext cx="4094765" cy="1957623"/>
        </a:xfrm>
        <a:prstGeom prst="rect">
          <a:avLst/>
        </a:prstGeom>
      </xdr:spPr>
    </xdr:pic>
    <xdr:clientData/>
  </xdr:twoCellAnchor>
  <xdr:twoCellAnchor editAs="oneCell">
    <xdr:from>
      <xdr:col>16</xdr:col>
      <xdr:colOff>30480</xdr:colOff>
      <xdr:row>28</xdr:row>
      <xdr:rowOff>38100</xdr:rowOff>
    </xdr:from>
    <xdr:to>
      <xdr:col>26</xdr:col>
      <xdr:colOff>53871</xdr:colOff>
      <xdr:row>60</xdr:row>
      <xdr:rowOff>160538</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9936480" y="5158740"/>
          <a:ext cx="6119391" cy="5974598"/>
        </a:xfrm>
        <a:prstGeom prst="rect">
          <a:avLst/>
        </a:prstGeom>
      </xdr:spPr>
    </xdr:pic>
    <xdr:clientData/>
  </xdr:twoCellAnchor>
  <xdr:twoCellAnchor editAs="oneCell">
    <xdr:from>
      <xdr:col>1</xdr:col>
      <xdr:colOff>166159</xdr:colOff>
      <xdr:row>37</xdr:row>
      <xdr:rowOff>154516</xdr:rowOff>
    </xdr:from>
    <xdr:to>
      <xdr:col>14</xdr:col>
      <xdr:colOff>462380</xdr:colOff>
      <xdr:row>82</xdr:row>
      <xdr:rowOff>77362</xdr:rowOff>
    </xdr:to>
    <xdr:pic>
      <xdr:nvPicPr>
        <xdr:cNvPr id="6" name="图片 5"/>
        <xdr:cNvPicPr>
          <a:picLocks noChangeAspect="1"/>
        </xdr:cNvPicPr>
      </xdr:nvPicPr>
      <xdr:blipFill>
        <a:blip xmlns:r="http://schemas.openxmlformats.org/officeDocument/2006/relationships" r:embed="rId7" cstate="print"/>
        <a:stretch>
          <a:fillRect/>
        </a:stretch>
      </xdr:blipFill>
      <xdr:spPr>
        <a:xfrm>
          <a:off x="854076" y="6419849"/>
          <a:ext cx="9397887" cy="7542846"/>
        </a:xfrm>
        <a:prstGeom prst="rect">
          <a:avLst/>
        </a:prstGeom>
      </xdr:spPr>
    </xdr:pic>
    <xdr:clientData/>
  </xdr:twoCellAnchor>
  <xdr:twoCellAnchor editAs="oneCell">
    <xdr:from>
      <xdr:col>1</xdr:col>
      <xdr:colOff>137583</xdr:colOff>
      <xdr:row>81</xdr:row>
      <xdr:rowOff>127000</xdr:rowOff>
    </xdr:from>
    <xdr:to>
      <xdr:col>14</xdr:col>
      <xdr:colOff>483537</xdr:colOff>
      <xdr:row>124</xdr:row>
      <xdr:rowOff>93287</xdr:rowOff>
    </xdr:to>
    <xdr:pic>
      <xdr:nvPicPr>
        <xdr:cNvPr id="9" name="图片 8"/>
        <xdr:cNvPicPr>
          <a:picLocks noChangeAspect="1"/>
        </xdr:cNvPicPr>
      </xdr:nvPicPr>
      <xdr:blipFill>
        <a:blip xmlns:r="http://schemas.openxmlformats.org/officeDocument/2006/relationships" r:embed="rId8"/>
        <a:stretch>
          <a:fillRect/>
        </a:stretch>
      </xdr:blipFill>
      <xdr:spPr>
        <a:xfrm>
          <a:off x="825500" y="13843000"/>
          <a:ext cx="9447620" cy="72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68580</xdr:rowOff>
    </xdr:from>
    <xdr:to>
      <xdr:col>13</xdr:col>
      <xdr:colOff>579120</xdr:colOff>
      <xdr:row>51</xdr:row>
      <xdr:rowOff>125079</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7726680"/>
          <a:ext cx="8503920" cy="3698859"/>
        </a:xfrm>
        <a:prstGeom prst="rect">
          <a:avLst/>
        </a:prstGeom>
      </xdr:spPr>
    </xdr:pic>
    <xdr:clientData/>
  </xdr:twoCellAnchor>
  <xdr:twoCellAnchor editAs="oneCell">
    <xdr:from>
      <xdr:col>0</xdr:col>
      <xdr:colOff>0</xdr:colOff>
      <xdr:row>0</xdr:row>
      <xdr:rowOff>83820</xdr:rowOff>
    </xdr:from>
    <xdr:to>
      <xdr:col>5</xdr:col>
      <xdr:colOff>545783</xdr:colOff>
      <xdr:row>10</xdr:row>
      <xdr:rowOff>182880</xdr:rowOff>
    </xdr:to>
    <xdr:pic>
      <xdr:nvPicPr>
        <xdr:cNvPr id="8" name="图片 7"/>
        <xdr:cNvPicPr>
          <a:picLocks noChangeAspect="1"/>
        </xdr:cNvPicPr>
      </xdr:nvPicPr>
      <xdr:blipFill>
        <a:blip xmlns:r="http://schemas.openxmlformats.org/officeDocument/2006/relationships" r:embed="rId2" cstate="print"/>
        <a:stretch>
          <a:fillRect/>
        </a:stretch>
      </xdr:blipFill>
      <xdr:spPr>
        <a:xfrm>
          <a:off x="0" y="83820"/>
          <a:ext cx="3593783" cy="2095500"/>
        </a:xfrm>
        <a:prstGeom prst="rect">
          <a:avLst/>
        </a:prstGeom>
      </xdr:spPr>
    </xdr:pic>
    <xdr:clientData/>
  </xdr:twoCellAnchor>
  <xdr:twoCellAnchor editAs="oneCell">
    <xdr:from>
      <xdr:col>8</xdr:col>
      <xdr:colOff>76201</xdr:colOff>
      <xdr:row>0</xdr:row>
      <xdr:rowOff>15240</xdr:rowOff>
    </xdr:from>
    <xdr:to>
      <xdr:col>13</xdr:col>
      <xdr:colOff>563880</xdr:colOff>
      <xdr:row>11</xdr:row>
      <xdr:rowOff>65267</xdr:rowOff>
    </xdr:to>
    <xdr:pic>
      <xdr:nvPicPr>
        <xdr:cNvPr id="9" name="图片 8"/>
        <xdr:cNvPicPr>
          <a:picLocks noChangeAspect="1"/>
        </xdr:cNvPicPr>
      </xdr:nvPicPr>
      <xdr:blipFill>
        <a:blip xmlns:r="http://schemas.openxmlformats.org/officeDocument/2006/relationships" r:embed="rId3" cstate="print"/>
        <a:stretch>
          <a:fillRect/>
        </a:stretch>
      </xdr:blipFill>
      <xdr:spPr>
        <a:xfrm>
          <a:off x="4953001" y="15240"/>
          <a:ext cx="3535679" cy="22369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j.map.baidu.com/57/cWA"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1"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湖北省黄石市大冶市东岳路办事处新华路十五万楼等商业用房房地产市场价值预评估</v>
      </c>
    </row>
    <row r="3" spans="1:2" s="1591" customFormat="1">
      <c r="A3" s="1589" t="s">
        <v>1217</v>
      </c>
      <c r="B3" s="1590" t="str">
        <f>'预评函-封皮'!B40</f>
        <v>国民信托有限公司</v>
      </c>
    </row>
    <row r="4" spans="1:2" s="1591" customFormat="1">
      <c r="A4" s="1589" t="s">
        <v>1218</v>
      </c>
      <c r="B4" s="1590" t="str">
        <f ca="1">'预评函-封皮'!B46</f>
        <v>王鹏（注册号：1120050019)、郑燚（注册号：0)</v>
      </c>
    </row>
    <row r="5" spans="1:2" s="1585" customFormat="1" ht="15" thickBot="1">
      <c r="A5" s="1592" t="s">
        <v>1219</v>
      </c>
      <c r="B5" s="1593" t="str">
        <f>'预评函-封皮'!B49</f>
        <v>康正预评字2019-1-0478-P02DYGJ2号</v>
      </c>
    </row>
    <row r="6" spans="1:2" s="1588" customFormat="1" ht="15" thickTop="1">
      <c r="A6" s="1586" t="s">
        <v>1220</v>
      </c>
      <c r="B6" s="1587" t="str">
        <f>'预评函-1'!A4</f>
        <v>受贵公司委托，我公司对湖北省黄石市大冶市东岳路办事处新华路十五万楼等商业用房房地产市场价值进行了预评估。</v>
      </c>
    </row>
    <row r="7" spans="1:2" s="1591" customFormat="1">
      <c r="A7" s="1589" t="s">
        <v>1260</v>
      </c>
      <c r="B7" s="1590" t="str">
        <f>'预评函-1'!A7</f>
        <v>估价对象为湖北省黄石市大冶市东岳路办事处新华路十五万楼等商业用房房地产，为大冶市龙发物业管理有限公司、大冶市城区房管所所有。根据《国有土地使用证》[]，估价对象（分摊）出让国有建设用地使用权面积为0平方米。根据《房屋所有权证》[大冶市房权证01字第30439号]，估价对象建筑面积为424.2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湖北省黄石市大冶市东岳路办事处新华路十五万楼等商业用房房地产,属大冶市龙发物业管理有限公司、大冶市城区房管所开发建设的，该项目尚在开发建设中。根据《国有土地使用证》[]，估价对象（分摊）出让国有建设用地使用权面积为0平方米。根据《房屋所有权证》[大冶市房权证01字第30439号]，估价对象规划建筑面积为424.2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2019年7月30日（评估专业人员实地查勘之日）</v>
      </c>
    </row>
    <row r="13" spans="1:2" s="1591" customFormat="1">
      <c r="A13" s="1589" t="s">
        <v>1223</v>
      </c>
      <c r="B13" s="1590" t="str">
        <f>'预评函-1'!A18</f>
        <v>本次估价的“房地产价值”是指在正常市场情况下，在价值时点2019年7月30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705</v>
      </c>
    </row>
    <row r="21" spans="1:2" s="1591" customFormat="1">
      <c r="A21" s="1589" t="s">
        <v>1231</v>
      </c>
      <c r="B21" s="1590">
        <f ca="1">'预评函-2'!D7</f>
        <v>16620</v>
      </c>
    </row>
    <row r="22" spans="1:2" s="1591" customFormat="1">
      <c r="A22" s="1589" t="s">
        <v>1232</v>
      </c>
      <c r="B22" s="1590" t="str">
        <f ca="1">'预评函-2'!D6</f>
        <v>柒佰零伍万元整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705</v>
      </c>
    </row>
    <row r="31" spans="1:2" s="1591" customFormat="1">
      <c r="A31" s="1589" t="s">
        <v>1270</v>
      </c>
      <c r="B31" s="1590">
        <f ca="1">'预评函-2'!D15</f>
        <v>16620</v>
      </c>
    </row>
    <row r="32" spans="1:2" s="1591" customFormat="1">
      <c r="A32" s="1589" t="s">
        <v>1237</v>
      </c>
      <c r="B32" s="1590" t="str">
        <f ca="1">'预评函-2'!D14</f>
        <v>柒佰零伍万元整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湖北省黄石市大冶市东岳路办事处新华路十五万楼等商业用房房地产</v>
      </c>
    </row>
    <row r="42" spans="1:2" s="1591" customFormat="1">
      <c r="A42" s="1589" t="s">
        <v>1284</v>
      </c>
      <c r="B42" s="1590" t="str">
        <f>'预评函-3'!B2</f>
        <v>建筑面积</v>
      </c>
    </row>
    <row r="43" spans="1:2" s="1591" customFormat="1">
      <c r="A43" s="1589" t="s">
        <v>1285</v>
      </c>
      <c r="B43" s="1590">
        <f>'预评函-3'!B4</f>
        <v>424.2</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1" sqref="J31"/>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1141</v>
      </c>
      <c r="R1" s="2006" t="s">
        <v>1135</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1137</v>
      </c>
      <c r="S2" s="2012" t="s">
        <v>1707</v>
      </c>
      <c r="T2" s="2012" t="s">
        <v>1708</v>
      </c>
      <c r="U2" s="2012" t="s">
        <v>1707</v>
      </c>
      <c r="V2" s="2012" t="s">
        <v>1709</v>
      </c>
      <c r="W2" s="2012" t="s">
        <v>1707</v>
      </c>
    </row>
    <row r="3" spans="1:23">
      <c r="A3" s="2010" t="s">
        <v>1710</v>
      </c>
      <c r="B3" s="2013" t="s">
        <v>1142</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1136</v>
      </c>
      <c r="S3" s="2012" t="s">
        <v>1715</v>
      </c>
      <c r="T3" s="2012" t="s">
        <v>1716</v>
      </c>
      <c r="U3" s="2012" t="s">
        <v>1715</v>
      </c>
      <c r="V3" s="2012" t="s">
        <v>1717</v>
      </c>
      <c r="W3" s="2012" t="s">
        <v>1715</v>
      </c>
    </row>
    <row r="4" spans="1:23">
      <c r="A4" s="2010" t="s">
        <v>1718</v>
      </c>
      <c r="B4" s="2010" t="s">
        <v>1719</v>
      </c>
      <c r="C4" s="2011" t="s">
        <v>762</v>
      </c>
      <c r="D4" s="2012" t="s">
        <v>865</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1138</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1139</v>
      </c>
      <c r="S5" s="2012" t="s">
        <v>1730</v>
      </c>
      <c r="T5" s="2012" t="s">
        <v>1731</v>
      </c>
      <c r="U5" s="2012" t="s">
        <v>1730</v>
      </c>
      <c r="W5" s="2012" t="s">
        <v>1730</v>
      </c>
    </row>
    <row r="6" spans="1:23">
      <c r="A6" s="2010" t="s">
        <v>1732</v>
      </c>
      <c r="B6" s="2013" t="s">
        <v>1143</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1140</v>
      </c>
      <c r="S6" s="2012" t="s">
        <v>1735</v>
      </c>
      <c r="T6" s="2012"/>
      <c r="U6" s="2012" t="s">
        <v>1735</v>
      </c>
      <c r="W6" s="2012" t="s">
        <v>1735</v>
      </c>
    </row>
    <row r="7" spans="1:23">
      <c r="A7" s="2010" t="s">
        <v>1736</v>
      </c>
      <c r="B7" s="2013" t="s">
        <v>1144</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757</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北大冶湖高新技术产业投资有限公司拟使用湖北省黄石市大冶市东岳路办事处新华路十五万楼等商业用房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6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18" t="s">
        <v>861</v>
      </c>
      <c r="C54" s="2015" t="s">
        <v>1277</v>
      </c>
    </row>
    <row r="55" spans="1:4">
      <c r="A55" s="3064"/>
      <c r="B55" s="2018" t="s">
        <v>862</v>
      </c>
      <c r="C55" s="2015" t="s">
        <v>1278</v>
      </c>
    </row>
    <row r="56" spans="1:4">
      <c r="A56" s="3064"/>
      <c r="B56" s="2018" t="s">
        <v>863</v>
      </c>
      <c r="C56" s="2015" t="s">
        <v>1282</v>
      </c>
    </row>
    <row r="57" spans="1:4">
      <c r="A57" s="306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1770</v>
      </c>
      <c r="B1" s="3073" t="str">
        <f>IF(B10="北京市","北京市",C10)&amp;F10&amp;IF(结果表!G1="在建","出让国有建设用地使用权及在建建筑物",IF(结果表!G1="土地","出让国有建设用地使用权",))&amp;B9&amp;"预评估"</f>
        <v>湖北省黄石市大冶市东岳路办事处新华路十五万楼等商业用房房地产市场价值预评估</v>
      </c>
      <c r="C1" s="3074"/>
      <c r="D1" s="3074"/>
      <c r="E1" s="3074"/>
      <c r="F1" s="3074"/>
      <c r="G1" s="3074"/>
      <c r="H1" s="3074"/>
      <c r="I1" s="307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湖北省黄石市大冶市东岳路办事处新华路十五万楼等商业用房房地产市场价值</v>
      </c>
    </row>
    <row r="2" spans="1:19" ht="18" customHeight="1">
      <c r="A2" s="2022" t="s">
        <v>1771</v>
      </c>
      <c r="B2" s="1038" t="s">
        <v>3242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湖北省黄石市大冶市东岳路办事处新华路十五万楼等商业用房房地产</v>
      </c>
    </row>
    <row r="3" spans="1:19" ht="18" customHeight="1">
      <c r="A3" s="2031" t="s">
        <v>1772</v>
      </c>
      <c r="B3" s="2032">
        <v>43676</v>
      </c>
      <c r="C3" s="2033" t="s">
        <v>1773</v>
      </c>
      <c r="D3" s="2032">
        <v>43676</v>
      </c>
      <c r="E3" s="2022"/>
      <c r="F3" s="2022"/>
      <c r="G3" s="2022"/>
      <c r="H3" s="2022"/>
      <c r="I3" s="2022"/>
      <c r="J3" s="2022"/>
      <c r="K3" s="2023"/>
      <c r="L3" s="2024"/>
      <c r="M3" s="2024"/>
      <c r="N3" s="2025"/>
      <c r="O3" s="2026"/>
      <c r="P3" s="2025"/>
      <c r="Q3" s="2025"/>
      <c r="R3" s="2025"/>
      <c r="S3" s="2027"/>
    </row>
    <row r="4" spans="1:19" ht="18" customHeight="1" thickBot="1">
      <c r="A4" s="2034" t="s">
        <v>1774</v>
      </c>
      <c r="B4" s="2035" t="s">
        <v>3208</v>
      </c>
      <c r="C4" s="1036">
        <f ca="1">SUMIF(注册房地产估价师,B4,估价师及机构信息!B3:B24)</f>
        <v>1120050019</v>
      </c>
      <c r="D4" s="2035" t="s">
        <v>3207</v>
      </c>
      <c r="E4" s="1037">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王鹏（注册号：1120050019)、郑燚（注册号：0)</v>
      </c>
      <c r="L4" s="2024"/>
      <c r="M4" s="2024"/>
      <c r="N4" s="2025"/>
      <c r="O4" s="2026"/>
      <c r="P4" s="2025"/>
      <c r="Q4" s="2025"/>
      <c r="R4" s="2025"/>
      <c r="S4" s="2027"/>
    </row>
    <row r="5" spans="1:19" ht="18" customHeight="1" thickTop="1">
      <c r="A5" s="2040" t="s">
        <v>1775</v>
      </c>
      <c r="B5" s="2976" t="s">
        <v>3237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73" t="s">
        <v>3241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1777</v>
      </c>
      <c r="B7" s="2974" t="s">
        <v>3238</v>
      </c>
      <c r="C7" s="2044"/>
      <c r="D7" s="2045"/>
      <c r="E7" s="2030"/>
      <c r="F7" s="2038"/>
      <c r="G7" s="2038"/>
      <c r="H7" s="2038"/>
      <c r="I7" s="2038"/>
      <c r="J7" s="2038"/>
      <c r="K7" s="2047"/>
      <c r="L7" s="2024"/>
      <c r="M7" s="2024"/>
      <c r="N7" s="2025"/>
      <c r="O7" s="2026"/>
      <c r="P7" s="2025"/>
      <c r="Q7" s="2025"/>
      <c r="R7" s="2025"/>
    </row>
    <row r="8" spans="1:19" ht="18" customHeight="1">
      <c r="A8" s="2043" t="s">
        <v>1778</v>
      </c>
      <c r="B8" s="2048" t="s">
        <v>3210</v>
      </c>
      <c r="C8" s="2049"/>
      <c r="D8" s="3076" t="s">
        <v>1779</v>
      </c>
      <c r="E8" s="2050"/>
      <c r="F8" s="2051"/>
      <c r="G8" s="2022"/>
      <c r="H8" s="2022"/>
      <c r="I8" s="2022"/>
      <c r="J8" s="2038"/>
      <c r="K8" s="2039"/>
      <c r="L8" s="2024"/>
      <c r="M8" s="2024"/>
      <c r="N8" s="2025"/>
      <c r="O8" s="2026"/>
      <c r="P8" s="2025"/>
      <c r="Q8" s="2025"/>
      <c r="R8" s="2025"/>
    </row>
    <row r="9" spans="1:19" ht="18" customHeight="1" thickBot="1">
      <c r="A9" s="2036" t="s">
        <v>1780</v>
      </c>
      <c r="B9" s="2052" t="s">
        <v>3209</v>
      </c>
      <c r="C9" s="2053"/>
      <c r="D9" s="3077"/>
      <c r="E9" s="2052"/>
      <c r="F9" s="2054"/>
      <c r="G9" s="2055"/>
      <c r="H9" s="2055"/>
      <c r="I9" s="2055"/>
      <c r="J9" s="2038"/>
      <c r="K9" s="2047"/>
      <c r="L9" s="2024"/>
      <c r="M9" s="2024"/>
      <c r="N9" s="2025"/>
      <c r="O9" s="2026"/>
      <c r="P9" s="2025"/>
      <c r="Q9" s="2025"/>
      <c r="R9" s="2025"/>
    </row>
    <row r="10" spans="1:19" ht="18" customHeight="1" thickTop="1">
      <c r="A10" s="2056" t="s">
        <v>1781</v>
      </c>
      <c r="B10" s="2057" t="s">
        <v>3072</v>
      </c>
      <c r="C10" s="2972" t="s">
        <v>3235</v>
      </c>
      <c r="D10" s="2042"/>
      <c r="E10" s="2058" t="s">
        <v>1782</v>
      </c>
      <c r="F10" s="2971" t="s">
        <v>3234</v>
      </c>
      <c r="G10" s="2059"/>
      <c r="H10" s="2060"/>
      <c r="I10" s="2042"/>
      <c r="J10" s="2038"/>
      <c r="K10" s="2047"/>
      <c r="L10" s="2024"/>
      <c r="M10" s="2024"/>
      <c r="N10" s="2025"/>
      <c r="O10" s="2026"/>
      <c r="P10" s="2025"/>
      <c r="Q10" s="2025"/>
      <c r="R10" s="2025"/>
    </row>
    <row r="11" spans="1:19" ht="18" customHeight="1">
      <c r="A11" s="2061" t="s">
        <v>1783</v>
      </c>
      <c r="B11" s="2062" t="s">
        <v>3073</v>
      </c>
      <c r="C11" s="2975" t="s">
        <v>3239</v>
      </c>
      <c r="D11" s="2063"/>
      <c r="E11" s="2038"/>
      <c r="F11" s="2038"/>
      <c r="G11" s="2038"/>
      <c r="H11" s="2038"/>
      <c r="I11" s="2038"/>
      <c r="J11" s="2038"/>
      <c r="K11" s="2047"/>
      <c r="L11" s="2024"/>
      <c r="M11" s="2024"/>
      <c r="N11" s="2025"/>
      <c r="O11" s="2026"/>
      <c r="P11" s="2025"/>
      <c r="Q11" s="2025"/>
      <c r="R11" s="2025"/>
    </row>
    <row r="12" spans="1:19" ht="18" customHeight="1">
      <c r="A12" s="2064" t="s">
        <v>1784</v>
      </c>
      <c r="B12" s="2062" t="s">
        <v>3071</v>
      </c>
      <c r="C12" s="2065" t="s">
        <v>1785</v>
      </c>
      <c r="D12" s="2066" t="s">
        <v>1786</v>
      </c>
      <c r="E12" s="2066" t="s">
        <v>1787</v>
      </c>
      <c r="F12" s="2066" t="s">
        <v>1788</v>
      </c>
      <c r="G12" s="2066" t="s">
        <v>1789</v>
      </c>
      <c r="H12" s="2066" t="s">
        <v>1790</v>
      </c>
      <c r="I12" s="2066" t="s">
        <v>1791</v>
      </c>
      <c r="J12" s="2038"/>
      <c r="K12" s="2047"/>
      <c r="L12" s="2024"/>
      <c r="M12" s="2024"/>
      <c r="N12" s="2025"/>
      <c r="O12" s="2026"/>
      <c r="P12" s="2025"/>
      <c r="Q12" s="2025"/>
      <c r="R12" s="2025"/>
    </row>
    <row r="13" spans="1:19" ht="18" customHeight="1">
      <c r="A13" s="2067"/>
      <c r="B13" s="2068"/>
      <c r="C13" s="2069" t="s">
        <v>1792</v>
      </c>
      <c r="D13" s="2070"/>
      <c r="E13" s="2070">
        <v>58286</v>
      </c>
      <c r="F13" s="2070"/>
      <c r="G13" s="2070"/>
      <c r="H13" s="2070"/>
      <c r="I13" s="1046"/>
      <c r="J13" s="2038"/>
      <c r="K13" s="2047"/>
      <c r="L13" s="2024"/>
      <c r="M13" s="2024"/>
      <c r="N13" s="2025"/>
      <c r="O13" s="2026"/>
      <c r="P13" s="2025"/>
      <c r="Q13" s="2025"/>
      <c r="R13" s="2025"/>
    </row>
    <row r="14" spans="1:19" ht="18" customHeight="1">
      <c r="A14" s="2067"/>
      <c r="B14" s="2068"/>
      <c r="C14" s="2069" t="s">
        <v>1793</v>
      </c>
      <c r="D14" s="1049"/>
      <c r="E14" s="1049">
        <v>40</v>
      </c>
      <c r="F14" s="1049"/>
      <c r="G14" s="1049"/>
      <c r="H14" s="1049"/>
      <c r="I14" s="1049"/>
      <c r="J14" s="2038"/>
      <c r="K14" s="2071"/>
      <c r="L14" s="2024"/>
      <c r="M14" s="2024"/>
      <c r="N14" s="2025"/>
      <c r="O14" s="2026"/>
      <c r="P14" s="2025"/>
      <c r="Q14" s="2025"/>
      <c r="R14" s="2025"/>
    </row>
    <row r="15" spans="1:19" ht="18" customHeight="1">
      <c r="A15" s="2056"/>
      <c r="B15" s="2072"/>
      <c r="C15" s="2069" t="s">
        <v>1794</v>
      </c>
      <c r="D15" s="1048" t="str">
        <f>IF(B12="出让",IF(D13="","",ROUNDDOWN(MIN((D13-$D$3)/365,D14),2)),D14)</f>
        <v/>
      </c>
      <c r="E15" s="1048">
        <f>IF(B12="出让",IF(E13="","",ROUNDDOWN(MIN((E13-$D$3)/365,E14),2)),E14)</f>
        <v>40</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8"/>
      <c r="K15" s="2073"/>
      <c r="L15" s="2074"/>
      <c r="M15" s="2074"/>
      <c r="N15" s="2075"/>
      <c r="O15" s="2074"/>
      <c r="P15" s="2075"/>
      <c r="Q15" s="2025"/>
      <c r="R15" s="2025"/>
    </row>
    <row r="16" spans="1:19" ht="30.75" customHeight="1">
      <c r="A16" s="2058" t="s">
        <v>1795</v>
      </c>
      <c r="B16" s="3083"/>
      <c r="C16" s="3084"/>
      <c r="D16" s="3085"/>
      <c r="E16" s="2076" t="s">
        <v>1796</v>
      </c>
      <c r="F16" s="3086"/>
      <c r="G16" s="3087"/>
      <c r="H16" s="3087"/>
      <c r="I16" s="3088"/>
      <c r="J16" s="2025"/>
      <c r="K16" s="2073"/>
      <c r="L16" s="2074"/>
      <c r="M16" s="2074"/>
      <c r="N16" s="2075"/>
      <c r="O16" s="2074"/>
      <c r="P16" s="2075"/>
      <c r="Q16" s="2025"/>
      <c r="R16" s="2025"/>
    </row>
    <row r="17" spans="1:22" ht="18" customHeight="1">
      <c r="A17" s="2077" t="s">
        <v>1797</v>
      </c>
      <c r="B17" s="2031" t="s">
        <v>1798</v>
      </c>
      <c r="C17" s="1053">
        <f>'数据-汇总表'!E3</f>
        <v>424.2</v>
      </c>
      <c r="D17" s="2078" t="s">
        <v>1799</v>
      </c>
      <c r="E17" s="3089" t="s">
        <v>3240</v>
      </c>
      <c r="F17" s="3090"/>
      <c r="G17" s="3090"/>
      <c r="H17" s="3090"/>
      <c r="I17" s="3091"/>
      <c r="J17" s="2025"/>
      <c r="K17" s="2079"/>
      <c r="L17" s="2074"/>
      <c r="M17" s="2074"/>
      <c r="N17" s="2075"/>
      <c r="O17" s="2074"/>
      <c r="P17" s="2075"/>
      <c r="Q17" s="2025"/>
      <c r="R17" s="2025"/>
      <c r="S17" s="2025"/>
      <c r="T17" s="2025"/>
      <c r="U17" s="2025"/>
      <c r="V17" s="2025"/>
    </row>
    <row r="18" spans="1:22" ht="36" customHeight="1" thickBot="1">
      <c r="A18" s="2080" t="s">
        <v>70</v>
      </c>
      <c r="B18" s="2034" t="s">
        <v>1800</v>
      </c>
      <c r="C18" s="1442">
        <f>'数据-汇总表'!D3</f>
        <v>0</v>
      </c>
      <c r="D18" s="2081" t="s">
        <v>1799</v>
      </c>
      <c r="E18" s="3092" t="s">
        <v>1801</v>
      </c>
      <c r="F18" s="3093"/>
      <c r="G18" s="3093"/>
      <c r="H18" s="3093"/>
      <c r="I18" s="3094"/>
      <c r="J18" s="2025"/>
      <c r="K18" s="2079"/>
      <c r="L18" s="2074"/>
      <c r="M18" s="2074"/>
      <c r="N18" s="2075"/>
      <c r="O18" s="2074"/>
      <c r="P18" s="2075"/>
      <c r="Q18" s="2025"/>
      <c r="R18" s="2025"/>
      <c r="S18" s="2025"/>
      <c r="T18" s="2025"/>
      <c r="U18" s="2025"/>
      <c r="V18" s="2025"/>
    </row>
    <row r="19" spans="1:22" ht="37.5" customHeight="1" thickTop="1" thickBot="1">
      <c r="A19" s="372" t="s">
        <v>1802</v>
      </c>
      <c r="B19" s="351" t="s">
        <v>1803</v>
      </c>
      <c r="C19" s="2082"/>
      <c r="D19" s="2083" t="s">
        <v>1804</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1805</v>
      </c>
      <c r="B20" s="3079" t="s">
        <v>1806</v>
      </c>
      <c r="C20" s="3080"/>
      <c r="D20" s="3081" t="s">
        <v>1807</v>
      </c>
      <c r="E20" s="3082"/>
      <c r="F20" s="2088" t="s">
        <v>1808</v>
      </c>
      <c r="G20" s="2038"/>
      <c r="H20" s="2038"/>
      <c r="I20" s="2038"/>
      <c r="J20" s="2038"/>
      <c r="K20" s="3078" t="s">
        <v>1809</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1810</v>
      </c>
      <c r="C21" s="2090" t="s">
        <v>1811</v>
      </c>
      <c r="D21" s="2091" t="s">
        <v>1812</v>
      </c>
      <c r="E21" s="2092" t="s">
        <v>1811</v>
      </c>
      <c r="F21" s="2093"/>
      <c r="G21" s="2038"/>
      <c r="H21" s="2038"/>
      <c r="I21" s="2038"/>
      <c r="J21" s="2038"/>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1813</v>
      </c>
      <c r="C22" s="2090" t="s">
        <v>1814</v>
      </c>
      <c r="D22" s="2022"/>
      <c r="E22" s="2022"/>
      <c r="F22" s="2095"/>
      <c r="G22" s="2038"/>
      <c r="H22" s="2038"/>
      <c r="I22" s="2038"/>
      <c r="J22" s="2038"/>
      <c r="K22" s="307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1815</v>
      </c>
      <c r="B23" s="182" t="s">
        <v>1816</v>
      </c>
      <c r="C23" s="2097"/>
      <c r="D23" s="2098" t="s">
        <v>1816</v>
      </c>
      <c r="E23" s="2099"/>
      <c r="F23" s="2095"/>
      <c r="G23" s="2038"/>
      <c r="H23" s="2038"/>
      <c r="I23" s="2038"/>
      <c r="J23" s="2038"/>
      <c r="K23" s="2100"/>
      <c r="L23" s="747"/>
      <c r="M23" s="2024"/>
      <c r="N23" s="2075"/>
      <c r="O23" s="2074"/>
      <c r="P23" s="2075"/>
      <c r="Q23" s="2025"/>
      <c r="R23" s="2025"/>
      <c r="S23" s="2025"/>
      <c r="T23" s="2025"/>
      <c r="U23" s="2025"/>
      <c r="V23" s="2025"/>
    </row>
    <row r="24" spans="1:22" ht="18" customHeight="1">
      <c r="A24" s="2101"/>
      <c r="B24" s="182" t="s">
        <v>1817</v>
      </c>
      <c r="C24" s="2102"/>
      <c r="D24" s="2096" t="s">
        <v>1817</v>
      </c>
      <c r="E24" s="2103"/>
      <c r="F24" s="2095"/>
      <c r="G24" s="2038"/>
      <c r="H24" s="2038"/>
      <c r="I24" s="2038"/>
      <c r="J24" s="2038"/>
      <c r="K24" s="2100"/>
      <c r="L24" s="747"/>
      <c r="M24" s="2024"/>
      <c r="N24" s="2075"/>
      <c r="O24" s="2074"/>
      <c r="P24" s="2075"/>
      <c r="Q24" s="2025"/>
      <c r="R24" s="2025"/>
      <c r="S24" s="2025"/>
      <c r="T24" s="2025"/>
      <c r="U24" s="2025"/>
      <c r="V24" s="2025"/>
    </row>
    <row r="25" spans="1:22" ht="18" customHeight="1">
      <c r="A25" s="2101"/>
      <c r="B25" s="182" t="s">
        <v>1818</v>
      </c>
      <c r="C25" s="2102"/>
      <c r="D25" s="2096" t="s">
        <v>1818</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1819</v>
      </c>
      <c r="C26" s="2106"/>
      <c r="D26" s="2107" t="s">
        <v>1820</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66" t="s">
        <v>1821</v>
      </c>
      <c r="B27" s="2056" t="s">
        <v>1822</v>
      </c>
      <c r="C27" s="2110"/>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66"/>
      <c r="B28" s="2031" t="s">
        <v>1823</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66"/>
      <c r="B29" s="2031" t="s">
        <v>1824</v>
      </c>
      <c r="C29" s="2115"/>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67"/>
      <c r="B30" s="2031" t="s">
        <v>1825</v>
      </c>
      <c r="C30" s="3068"/>
      <c r="D30" s="3069"/>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70" t="s">
        <v>1826</v>
      </c>
      <c r="B31" s="2117"/>
      <c r="C31" s="2118" t="str">
        <f>IF(B31="现房","成新及维护状况正常否",IF(B31="在建","工程状态是否正常",IF(B31="土地","是否闲置","-")))</f>
        <v>-</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71"/>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71"/>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4"/>
      <c r="C34" s="2124"/>
      <c r="D34" s="2124"/>
      <c r="E34" s="2124"/>
      <c r="F34" s="2124"/>
      <c r="G34" s="2124"/>
      <c r="H34" s="2124"/>
      <c r="I34" s="2038"/>
      <c r="J34" s="2038"/>
      <c r="K34" s="1792">
        <f>COUNTIF(B34:H34,"——")</f>
        <v>0</v>
      </c>
      <c r="L34" s="2065" t="s">
        <v>1828</v>
      </c>
      <c r="M34" s="2065" t="s">
        <v>1829</v>
      </c>
      <c r="N34" s="2065" t="s">
        <v>1830</v>
      </c>
      <c r="O34" s="2065" t="s">
        <v>1831</v>
      </c>
      <c r="P34" s="2065" t="s">
        <v>1832</v>
      </c>
      <c r="Q34" s="2065" t="s">
        <v>1833</v>
      </c>
      <c r="R34" s="2065" t="s">
        <v>1834</v>
      </c>
      <c r="S34" s="3065" t="s">
        <v>1835</v>
      </c>
      <c r="T34" s="2125" t="str">
        <f>NUMBERSTRING(7-K34,1)&amp;"通"</f>
        <v>七通</v>
      </c>
      <c r="U34" s="2025"/>
      <c r="V34" s="2025"/>
    </row>
    <row r="35" spans="1:22" ht="18" customHeight="1">
      <c r="A35" s="2126"/>
      <c r="B35" s="3072" t="s">
        <v>1836</v>
      </c>
      <c r="C35" s="3072"/>
      <c r="D35" s="3072"/>
      <c r="E35" s="3072"/>
      <c r="F35" s="2127" t="str">
        <f>C10</f>
        <v>湖北省黄石市大冶市</v>
      </c>
      <c r="G35" s="2038"/>
      <c r="H35" s="2038"/>
      <c r="I35" s="2038"/>
      <c r="J35" s="2038"/>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5"/>
      <c r="T35" s="48" t="str">
        <f>IF(T34="一通",L35,IF(T34="二通",M35,IF(T34="三通",N35,IF(T34="四通",O35,IF(T34="五通",P35,IF(T34="六通",Q35,R35))))))</f>
        <v>、、、、、、</v>
      </c>
      <c r="U35" s="2025"/>
      <c r="V35" s="2025"/>
    </row>
    <row r="36" spans="1:22" ht="18" customHeight="1">
      <c r="A36" s="2128"/>
      <c r="B36" s="2127" t="s">
        <v>1837</v>
      </c>
      <c r="C36" s="2127" t="s">
        <v>1838</v>
      </c>
      <c r="D36" s="2127" t="s">
        <v>1839</v>
      </c>
      <c r="E36" s="2127" t="s">
        <v>1840</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1841</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1842</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1843</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5"/>
      <c r="L40" s="2074"/>
      <c r="M40" s="2074"/>
      <c r="N40" s="2075"/>
      <c r="O40" s="2074"/>
      <c r="P40" s="2025"/>
      <c r="Q40" s="2025"/>
      <c r="R40" s="2025"/>
      <c r="S40" s="2025"/>
      <c r="T40" s="2025"/>
      <c r="U40" s="2025"/>
      <c r="V40" s="2025"/>
    </row>
    <row r="41" spans="1:22" ht="18" customHeight="1">
      <c r="A41" s="8" t="s">
        <v>1844</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1845</v>
      </c>
      <c r="B42" s="1792" t="s">
        <v>1846</v>
      </c>
      <c r="C42" s="1792" t="s">
        <v>1847</v>
      </c>
      <c r="D42" s="1792" t="s">
        <v>1848</v>
      </c>
      <c r="E42" s="1792" t="s">
        <v>1849</v>
      </c>
      <c r="F42" s="1792" t="s">
        <v>1850</v>
      </c>
      <c r="G42" s="1792" t="s">
        <v>1851</v>
      </c>
      <c r="H42" s="1792" t="s">
        <v>1852</v>
      </c>
      <c r="I42" s="1792" t="s">
        <v>1853</v>
      </c>
      <c r="J42" s="2143" t="s">
        <v>1854</v>
      </c>
      <c r="K42" s="2066" t="s">
        <v>1855</v>
      </c>
      <c r="L42" s="2066" t="s">
        <v>1856</v>
      </c>
      <c r="M42" s="2066" t="s">
        <v>1857</v>
      </c>
      <c r="N42" s="1792" t="s">
        <v>1858</v>
      </c>
      <c r="O42" s="1792" t="s">
        <v>1859</v>
      </c>
      <c r="P42" s="1792" t="s">
        <v>1860</v>
      </c>
      <c r="Q42" s="2065" t="s">
        <v>1861</v>
      </c>
      <c r="R42" s="2065" t="s">
        <v>1862</v>
      </c>
      <c r="S42" s="2025"/>
      <c r="T42" s="2025"/>
      <c r="U42" s="2025"/>
      <c r="V42" s="2025"/>
    </row>
    <row r="43" spans="1:22" s="2148" customFormat="1" ht="18" customHeight="1">
      <c r="A43" s="2144"/>
      <c r="B43" s="1270"/>
      <c r="C43" s="1270"/>
      <c r="D43" s="1270"/>
      <c r="E43" s="1270"/>
      <c r="F43" s="1270"/>
      <c r="G43" s="1270"/>
      <c r="H43" s="9"/>
      <c r="I43" s="9"/>
      <c r="J43" s="2145"/>
      <c r="K43" s="2146"/>
      <c r="L43" s="2146"/>
      <c r="M43" s="9"/>
      <c r="N43" s="1270"/>
      <c r="O43" s="9"/>
      <c r="P43" s="1270"/>
      <c r="Q43" s="1270"/>
      <c r="R43" s="1270"/>
      <c r="S43" s="2147"/>
      <c r="T43" s="2147"/>
      <c r="U43" s="2147"/>
      <c r="V43" s="2147"/>
    </row>
    <row r="44" spans="1:22" s="2148" customFormat="1" ht="18" customHeight="1">
      <c r="A44" s="2144"/>
      <c r="B44" s="2144"/>
      <c r="C44" s="1270"/>
      <c r="D44" s="1270"/>
      <c r="E44" s="1270"/>
      <c r="F44" s="1270"/>
      <c r="G44" s="1270"/>
      <c r="H44" s="9"/>
      <c r="I44" s="9"/>
      <c r="J44" s="2145"/>
      <c r="K44" s="2146"/>
      <c r="L44" s="2146"/>
      <c r="M44" s="9"/>
      <c r="N44" s="1270"/>
      <c r="O44" s="9"/>
      <c r="P44" s="1270"/>
      <c r="Q44" s="1270"/>
      <c r="R44" s="1270"/>
      <c r="S44" s="2147"/>
      <c r="T44" s="2147"/>
      <c r="U44" s="2147"/>
      <c r="V44" s="2147"/>
    </row>
    <row r="45" spans="1:22" s="2148" customFormat="1" ht="18" customHeight="1">
      <c r="A45" s="2144"/>
      <c r="B45" s="2144"/>
      <c r="C45" s="1270"/>
      <c r="D45" s="1270"/>
      <c r="E45" s="1270"/>
      <c r="F45" s="1270"/>
      <c r="G45" s="1270"/>
      <c r="H45" s="9"/>
      <c r="I45" s="9"/>
      <c r="J45" s="2145"/>
      <c r="K45" s="2146"/>
      <c r="L45" s="2146"/>
      <c r="M45" s="9"/>
      <c r="N45" s="1270"/>
      <c r="O45" s="9"/>
      <c r="P45" s="1270"/>
      <c r="Q45" s="1270"/>
      <c r="R45" s="1270"/>
      <c r="S45" s="2147"/>
      <c r="T45" s="2147"/>
      <c r="U45" s="2147"/>
      <c r="V45" s="2147"/>
    </row>
    <row r="46" spans="1:22" s="2148" customFormat="1" ht="18" customHeight="1">
      <c r="A46" s="2144"/>
      <c r="B46" s="2144"/>
      <c r="C46" s="1270"/>
      <c r="D46" s="1270"/>
      <c r="E46" s="1270"/>
      <c r="F46" s="1270"/>
      <c r="G46" s="1270"/>
      <c r="H46" s="9"/>
      <c r="I46" s="9"/>
      <c r="J46" s="2145"/>
      <c r="K46" s="2146"/>
      <c r="L46" s="2146"/>
      <c r="M46" s="9"/>
      <c r="N46" s="1270"/>
      <c r="O46" s="9"/>
      <c r="P46" s="1270"/>
      <c r="Q46" s="1270"/>
      <c r="R46" s="1270"/>
      <c r="S46" s="2147"/>
      <c r="T46" s="2147"/>
      <c r="U46" s="2147"/>
      <c r="V46" s="2147"/>
    </row>
    <row r="47" spans="1:22" s="2148" customFormat="1" ht="18" customHeight="1">
      <c r="A47" s="2144"/>
      <c r="B47" s="2144"/>
      <c r="C47" s="1270"/>
      <c r="D47" s="1270"/>
      <c r="E47" s="1270"/>
      <c r="F47" s="1270"/>
      <c r="G47" s="1270"/>
      <c r="H47" s="9"/>
      <c r="I47" s="9"/>
      <c r="J47" s="2145"/>
      <c r="K47" s="2146"/>
      <c r="L47" s="2146"/>
      <c r="M47" s="9"/>
      <c r="N47" s="1270"/>
      <c r="O47" s="9"/>
      <c r="P47" s="1270"/>
      <c r="Q47" s="1270"/>
      <c r="R47" s="1270"/>
      <c r="S47" s="2147"/>
      <c r="T47" s="2147"/>
      <c r="U47" s="2147"/>
      <c r="V47" s="2147"/>
    </row>
    <row r="48" spans="1:22" s="2148" customFormat="1" ht="18" customHeight="1">
      <c r="A48" s="2144"/>
      <c r="B48" s="2144"/>
      <c r="C48" s="1270"/>
      <c r="D48" s="1270"/>
      <c r="E48" s="1270"/>
      <c r="F48" s="1270"/>
      <c r="G48" s="1270"/>
      <c r="H48" s="9"/>
      <c r="I48" s="9"/>
      <c r="J48" s="2145"/>
      <c r="K48" s="2146"/>
      <c r="L48" s="2146"/>
      <c r="M48" s="9"/>
      <c r="N48" s="1270"/>
      <c r="O48" s="9"/>
      <c r="P48" s="1270"/>
      <c r="Q48" s="1270"/>
      <c r="R48" s="1270"/>
      <c r="S48" s="2147"/>
      <c r="T48" s="2147"/>
      <c r="U48" s="2147"/>
      <c r="V48" s="2147"/>
    </row>
    <row r="49" spans="1:22" s="2148" customFormat="1" ht="18" customHeight="1">
      <c r="A49" s="2144"/>
      <c r="B49" s="2144"/>
      <c r="C49" s="1270"/>
      <c r="D49" s="1270"/>
      <c r="E49" s="1270"/>
      <c r="F49" s="1270"/>
      <c r="G49" s="1270"/>
      <c r="H49" s="9"/>
      <c r="I49" s="9"/>
      <c r="J49" s="2145"/>
      <c r="K49" s="2146"/>
      <c r="L49" s="2146"/>
      <c r="M49" s="9"/>
      <c r="N49" s="1270"/>
      <c r="O49" s="9"/>
      <c r="P49" s="1270"/>
      <c r="Q49" s="1270"/>
      <c r="R49" s="1270"/>
      <c r="S49" s="2147"/>
      <c r="T49" s="2147"/>
      <c r="U49" s="2147"/>
      <c r="V49" s="2147"/>
    </row>
    <row r="50" spans="1:22" s="2148" customFormat="1" ht="18" customHeight="1">
      <c r="A50" s="2144"/>
      <c r="B50" s="2144"/>
      <c r="C50" s="1270"/>
      <c r="D50" s="1270"/>
      <c r="E50" s="1270"/>
      <c r="F50" s="1270"/>
      <c r="G50" s="1270"/>
      <c r="H50" s="9"/>
      <c r="I50" s="9"/>
      <c r="J50" s="2145"/>
      <c r="K50" s="2146"/>
      <c r="L50" s="2146"/>
      <c r="M50" s="9"/>
      <c r="N50" s="1270"/>
      <c r="O50" s="9"/>
      <c r="P50" s="1270"/>
      <c r="Q50" s="1270"/>
      <c r="R50" s="1270"/>
      <c r="S50" s="2147"/>
      <c r="T50" s="2147"/>
      <c r="U50" s="2147"/>
      <c r="V50" s="2147"/>
    </row>
    <row r="51" spans="1:22" s="2148" customFormat="1" ht="18" customHeight="1">
      <c r="A51" s="2144"/>
      <c r="B51" s="2144"/>
      <c r="C51" s="1270"/>
      <c r="D51" s="1270"/>
      <c r="E51" s="1270"/>
      <c r="F51" s="1270"/>
      <c r="G51" s="1270"/>
      <c r="H51" s="9"/>
      <c r="I51" s="9"/>
      <c r="J51" s="2145"/>
      <c r="K51" s="2146"/>
      <c r="L51" s="2146"/>
      <c r="M51" s="9"/>
      <c r="N51" s="1270"/>
      <c r="O51" s="9"/>
      <c r="P51" s="1270"/>
      <c r="Q51" s="1270"/>
      <c r="R51" s="1270"/>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1865</v>
      </c>
      <c r="B2" s="11" t="s">
        <v>1866</v>
      </c>
      <c r="C2" s="11" t="s">
        <v>1867</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7" t="s">
        <v>1868</v>
      </c>
      <c r="AZ2" s="1268" t="s">
        <v>1869</v>
      </c>
      <c r="BA2" s="11" t="s">
        <v>1870</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424.2</v>
      </c>
      <c r="C3" s="2159" t="s">
        <v>1871</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9"/>
      <c r="AZ3" s="1270"/>
      <c r="BA3" s="1271"/>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1872</v>
      </c>
      <c r="B5" s="1800"/>
      <c r="C5" s="1800"/>
      <c r="D5" s="1803"/>
      <c r="E5" s="16" t="s">
        <v>1</v>
      </c>
      <c r="F5" s="16">
        <f>SUM(F13:F587)</f>
        <v>0</v>
      </c>
      <c r="G5" s="16">
        <f>SUM(G13:G587)</f>
        <v>424.2</v>
      </c>
      <c r="H5" s="16">
        <f t="shared" ref="H5:AT5" si="0">SUM(H13:H656)</f>
        <v>424.2</v>
      </c>
      <c r="I5" s="16">
        <f t="shared" si="0"/>
        <v>424.2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424.2</v>
      </c>
      <c r="BA5" s="18">
        <f t="shared" si="1"/>
        <v>424.2</v>
      </c>
      <c r="BB5" s="18">
        <f t="shared" si="1"/>
        <v>424.2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1873</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1873</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1874</v>
      </c>
      <c r="B7" s="2100" t="s">
        <v>1875</v>
      </c>
      <c r="C7" s="2100" t="s">
        <v>1876</v>
      </c>
      <c r="D7" s="2100" t="s">
        <v>1877</v>
      </c>
      <c r="E7" s="2100" t="s">
        <v>1878</v>
      </c>
      <c r="F7" s="2100" t="s">
        <v>1879</v>
      </c>
      <c r="G7" s="2169" t="s">
        <v>1880</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3"/>
      <c r="AU7" s="2170" t="s">
        <v>1881</v>
      </c>
      <c r="AV7" s="23" t="s">
        <v>1882</v>
      </c>
      <c r="AW7" s="2157" t="s">
        <v>1883</v>
      </c>
      <c r="AX7" s="23" t="s">
        <v>1876</v>
      </c>
      <c r="AY7" s="1800" t="s">
        <v>1884</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1885</v>
      </c>
      <c r="H8" s="2175" t="s">
        <v>1886</v>
      </c>
      <c r="I8" s="2176"/>
      <c r="J8" s="1815"/>
      <c r="K8" s="1815"/>
      <c r="L8" s="1815"/>
      <c r="M8" s="1815"/>
      <c r="N8" s="1815"/>
      <c r="O8" s="1815"/>
      <c r="P8" s="1815"/>
      <c r="Q8" s="1815"/>
      <c r="R8" s="1815"/>
      <c r="S8" s="1815"/>
      <c r="T8" s="1815"/>
      <c r="U8" s="1815"/>
      <c r="V8" s="2177"/>
      <c r="W8" s="1815"/>
      <c r="X8" s="1815"/>
      <c r="Y8" s="1815"/>
      <c r="Z8" s="1815"/>
      <c r="AA8" s="2177"/>
      <c r="AB8" s="2178"/>
      <c r="AC8" s="980" t="s">
        <v>1887</v>
      </c>
      <c r="AD8" s="2179"/>
      <c r="AE8" s="2171"/>
      <c r="AF8" s="1815"/>
      <c r="AG8" s="1815"/>
      <c r="AH8" s="1815"/>
      <c r="AI8" s="1815"/>
      <c r="AJ8" s="1815"/>
      <c r="AK8" s="1815"/>
      <c r="AL8" s="1815"/>
      <c r="AM8" s="1815"/>
      <c r="AN8" s="1815"/>
      <c r="AO8" s="1815"/>
      <c r="AP8" s="1815"/>
      <c r="AQ8" s="1815"/>
      <c r="AR8" s="1815"/>
      <c r="AS8" s="1815"/>
      <c r="AT8" s="1290" t="s">
        <v>1888</v>
      </c>
      <c r="AU8" s="2173" t="s">
        <v>1889</v>
      </c>
      <c r="AV8" s="1290"/>
      <c r="AW8" s="2156"/>
      <c r="AX8" s="1290"/>
      <c r="AY8" s="2157"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0" customFormat="1" ht="12.75">
      <c r="A9" s="2173"/>
      <c r="B9" s="2173"/>
      <c r="C9" s="2173"/>
      <c r="D9" s="2173"/>
      <c r="E9" s="2173"/>
      <c r="F9" s="2173"/>
      <c r="G9" s="1290"/>
      <c r="H9" s="2181" t="s">
        <v>1892</v>
      </c>
      <c r="I9" s="2182" t="s">
        <v>3067</v>
      </c>
      <c r="J9" s="980"/>
      <c r="K9" s="2182"/>
      <c r="L9" s="980"/>
      <c r="M9" s="2182"/>
      <c r="N9" s="980"/>
      <c r="O9" s="2182"/>
      <c r="P9" s="980"/>
      <c r="Q9" s="2182"/>
      <c r="R9" s="980"/>
      <c r="S9" s="2182"/>
      <c r="T9" s="980"/>
      <c r="U9" s="2182"/>
      <c r="V9" s="980"/>
      <c r="W9" s="2182"/>
      <c r="X9" s="2183"/>
      <c r="Y9" s="2182"/>
      <c r="Z9" s="980"/>
      <c r="AA9" s="2182"/>
      <c r="AB9" s="980"/>
      <c r="AC9" s="2174"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4"/>
      <c r="AT9" s="2173"/>
      <c r="AU9" s="2173" t="s">
        <v>1895</v>
      </c>
      <c r="AV9" s="1290"/>
      <c r="AW9" s="2156"/>
      <c r="AX9" s="1290"/>
      <c r="AY9" s="28"/>
      <c r="AZ9" s="28" t="s">
        <v>1885</v>
      </c>
      <c r="BA9" s="2185" t="s">
        <v>1896</v>
      </c>
      <c r="BB9" s="2186"/>
      <c r="BC9" s="1336"/>
      <c r="BD9" s="1336"/>
      <c r="BE9" s="1336"/>
      <c r="BF9" s="1336"/>
      <c r="BG9" s="1336"/>
      <c r="BH9" s="1336"/>
      <c r="BI9" s="1336"/>
      <c r="BJ9" s="1336"/>
      <c r="BK9" s="2187"/>
      <c r="BL9" s="15" t="s">
        <v>1897</v>
      </c>
      <c r="BM9" s="1815"/>
      <c r="BN9" s="2176"/>
      <c r="BO9" s="1815"/>
      <c r="BP9" s="1815"/>
      <c r="BQ9" s="1815"/>
      <c r="BR9" s="1815"/>
      <c r="BS9" s="1815"/>
      <c r="BT9" s="26"/>
    </row>
    <row r="10" spans="1:72" s="2180" customFormat="1" ht="12.75">
      <c r="A10" s="2173"/>
      <c r="B10" s="2173"/>
      <c r="C10" s="2173"/>
      <c r="D10" s="2173"/>
      <c r="E10" s="2173"/>
      <c r="F10" s="2173"/>
      <c r="G10" s="1290"/>
      <c r="H10" s="28"/>
      <c r="I10" s="2182" t="s">
        <v>1373</v>
      </c>
      <c r="J10" s="980"/>
      <c r="K10" s="2188"/>
      <c r="L10" s="980"/>
      <c r="M10" s="2188"/>
      <c r="N10" s="980"/>
      <c r="O10" s="2188"/>
      <c r="P10" s="980"/>
      <c r="Q10" s="2188"/>
      <c r="R10" s="980"/>
      <c r="S10" s="2188"/>
      <c r="T10" s="980"/>
      <c r="U10" s="2188"/>
      <c r="V10" s="980"/>
      <c r="W10" s="2188"/>
      <c r="X10" s="980"/>
      <c r="Y10" s="2188"/>
      <c r="Z10" s="980"/>
      <c r="AA10" s="2188"/>
      <c r="AB10" s="980"/>
      <c r="AC10" s="1290"/>
      <c r="AD10" s="15" t="s">
        <v>1898</v>
      </c>
      <c r="AE10" s="2189"/>
      <c r="AF10" s="15" t="s">
        <v>1898</v>
      </c>
      <c r="AG10" s="2189"/>
      <c r="AH10" s="15" t="s">
        <v>1899</v>
      </c>
      <c r="AI10" s="2189"/>
      <c r="AJ10" s="15" t="s">
        <v>1899</v>
      </c>
      <c r="AK10" s="2189"/>
      <c r="AL10" s="15" t="s">
        <v>1900</v>
      </c>
      <c r="AM10" s="1296"/>
      <c r="AN10" s="15" t="s">
        <v>1900</v>
      </c>
      <c r="AO10" s="1296"/>
      <c r="AP10" s="15" t="s">
        <v>1901</v>
      </c>
      <c r="AQ10" s="1296"/>
      <c r="AR10" s="15" t="s">
        <v>1901</v>
      </c>
      <c r="AS10" s="1296"/>
      <c r="AT10" s="2173"/>
      <c r="AU10" s="2173"/>
      <c r="AV10" s="1290"/>
      <c r="AW10" s="2156"/>
      <c r="AX10" s="1290"/>
      <c r="AY10" s="28"/>
      <c r="AZ10" s="28"/>
      <c r="BA10" s="2190" t="s">
        <v>1892</v>
      </c>
      <c r="BB10" s="2191"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2" t="str">
        <f>AR9</f>
        <v>地下</v>
      </c>
    </row>
    <row r="11" spans="1:72" s="2180" customFormat="1" ht="12.75">
      <c r="A11" s="2173"/>
      <c r="B11" s="2173"/>
      <c r="C11" s="2173"/>
      <c r="D11" s="2173"/>
      <c r="E11" s="2173"/>
      <c r="F11" s="2173"/>
      <c r="G11" s="1290"/>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0"/>
      <c r="AD11" s="2195" t="s">
        <v>1902</v>
      </c>
      <c r="AE11" s="1816"/>
      <c r="AF11" s="2195" t="s">
        <v>1902</v>
      </c>
      <c r="AG11" s="1816"/>
      <c r="AH11" s="2195" t="s">
        <v>1903</v>
      </c>
      <c r="AI11" s="2196"/>
      <c r="AJ11" s="2195" t="s">
        <v>1903</v>
      </c>
      <c r="AK11" s="1816"/>
      <c r="AL11" s="1814"/>
      <c r="AM11" s="1816"/>
      <c r="AN11" s="1814"/>
      <c r="AO11" s="1816"/>
      <c r="AP11" s="1814"/>
      <c r="AQ11" s="1816"/>
      <c r="AR11" s="1814"/>
      <c r="AS11" s="1816"/>
      <c r="AT11" s="2156"/>
      <c r="AU11" s="2173"/>
      <c r="AV11" s="1290"/>
      <c r="AW11" s="2156"/>
      <c r="AX11" s="1290"/>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0"/>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8" t="s">
        <v>1905</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7">
        <f>AR11</f>
        <v>0</v>
      </c>
    </row>
    <row r="13" spans="1:72" s="2158" customFormat="1" ht="12.75">
      <c r="A13" s="1270"/>
      <c r="B13" s="1270"/>
      <c r="C13" s="1270" t="str">
        <f>典型户型修正!A24</f>
        <v>15万楼</v>
      </c>
      <c r="D13" s="2204" t="s">
        <v>3066</v>
      </c>
      <c r="E13" s="16">
        <f>IF($C$3="是",ROUND($A$3*G13/$B$3,2),ROUND($A$3*(G13-AT13)/$B$3,2))</f>
        <v>0</v>
      </c>
      <c r="F13" s="32"/>
      <c r="G13" s="33">
        <f>H13+AC13+AT13</f>
        <v>424.2</v>
      </c>
      <c r="H13" s="20">
        <f>SUMIF(I$12:AB$12,"总值",I13:AB13)</f>
        <v>424.2</v>
      </c>
      <c r="I13" s="2205">
        <f>Sheet1!C2</f>
        <v>424.2</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15万楼</v>
      </c>
      <c r="AY13" s="1803">
        <f>ROUND($AY$6*AZ13/$AZ$5,2)</f>
        <v>0</v>
      </c>
      <c r="AZ13" s="16">
        <f>BA13+BL13</f>
        <v>424.2</v>
      </c>
      <c r="BA13" s="16">
        <f>SUM(BB13:BK13)</f>
        <v>424.2</v>
      </c>
      <c r="BB13" s="16">
        <f>IF($D13="是",I13-J13,0)</f>
        <v>424.2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0"/>
      <c r="B14" s="1270"/>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0"/>
      <c r="B15" s="1270"/>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0"/>
      <c r="B16" s="1270"/>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0"/>
      <c r="B17" s="1270"/>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1931</v>
      </c>
      <c r="B1" s="1390"/>
      <c r="C1" s="1390"/>
      <c r="D1" s="1390"/>
      <c r="E1" s="1390"/>
      <c r="F1" s="1390"/>
      <c r="G1" s="1390"/>
      <c r="H1" s="1390"/>
      <c r="I1" s="1390"/>
      <c r="J1" s="1390"/>
      <c r="K1" s="1390"/>
      <c r="L1" s="1390"/>
      <c r="M1" s="1390"/>
      <c r="N1" s="1390"/>
      <c r="O1" s="1390"/>
      <c r="P1" s="1390"/>
    </row>
    <row r="2" spans="1:16" ht="15">
      <c r="A2" s="3106" t="s">
        <v>1932</v>
      </c>
      <c r="B2" s="3106"/>
      <c r="C2" s="3106"/>
      <c r="D2" s="966" t="s">
        <v>1908</v>
      </c>
      <c r="E2" s="2218" t="s">
        <v>1909</v>
      </c>
      <c r="F2" s="1390"/>
      <c r="G2" s="2219"/>
      <c r="H2" s="2220"/>
      <c r="I2" s="2221" t="s">
        <v>1933</v>
      </c>
      <c r="J2" s="1390"/>
      <c r="K2" s="1390"/>
      <c r="L2" s="1390"/>
      <c r="M2" s="1390"/>
      <c r="N2" s="1425"/>
      <c r="O2" s="1390"/>
      <c r="P2" s="1390"/>
    </row>
    <row r="3" spans="1:16" ht="15.75" thickBot="1">
      <c r="A3" s="3107" t="s">
        <v>1906</v>
      </c>
      <c r="B3" s="3107"/>
      <c r="C3" s="3107"/>
      <c r="D3" s="46">
        <f>'数据-基础表'!AY6</f>
        <v>0</v>
      </c>
      <c r="E3" s="46">
        <f>'数据-基础表'!AZ5</f>
        <v>424.2</v>
      </c>
      <c r="F3" s="1390"/>
      <c r="G3" s="1397"/>
      <c r="H3" s="1245" t="s">
        <v>1907</v>
      </c>
      <c r="I3" s="55" t="e">
        <f>ROUND('数据-基础表'!B3/'数据-基础表'!A3,2)</f>
        <v>#DIV/0!</v>
      </c>
      <c r="J3" s="1390"/>
      <c r="K3" s="1390"/>
      <c r="L3" s="1390"/>
      <c r="M3" s="1390"/>
      <c r="N3" s="1425"/>
      <c r="O3" s="1390"/>
      <c r="P3" s="1390"/>
    </row>
    <row r="4" spans="1:16" ht="15">
      <c r="A4" s="3108"/>
      <c r="B4" s="3109"/>
      <c r="C4" s="3110"/>
      <c r="D4" s="2222" t="s">
        <v>1908</v>
      </c>
      <c r="E4" s="2223" t="s">
        <v>1909</v>
      </c>
      <c r="F4" s="1390"/>
      <c r="G4" s="2224" t="s">
        <v>1934</v>
      </c>
      <c r="H4" s="1245" t="s">
        <v>1914</v>
      </c>
      <c r="I4" s="55" t="e">
        <f>ROUND(SUMIF('数据-基础表'!I9:AS9,"地上",'数据-基础表'!I5:AS5)/'数据-基础表'!A3,2)</f>
        <v>#DIV/0!</v>
      </c>
      <c r="J4" s="1390"/>
      <c r="K4" s="1390"/>
      <c r="L4" s="1390"/>
      <c r="M4" s="1390"/>
      <c r="N4" s="1425"/>
      <c r="O4" s="1390"/>
      <c r="P4" s="1390"/>
    </row>
    <row r="5" spans="1:16">
      <c r="A5" s="47" t="s">
        <v>1910</v>
      </c>
      <c r="B5" s="3111" t="s">
        <v>1911</v>
      </c>
      <c r="C5" s="3111"/>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25"/>
      <c r="B6" s="3111" t="s">
        <v>1912</v>
      </c>
      <c r="C6" s="3111"/>
      <c r="D6" s="48">
        <f>ROUND($D$3*E6/$E$3,2)</f>
        <v>0</v>
      </c>
      <c r="E6" s="49">
        <f>E3-E5</f>
        <v>424.2</v>
      </c>
      <c r="F6" s="1390"/>
      <c r="G6" s="2226" t="s">
        <v>1913</v>
      </c>
      <c r="H6" s="1397" t="s">
        <v>1914</v>
      </c>
      <c r="I6" s="938" t="e">
        <f>ROUND(F31/D31,2)</f>
        <v>#DIV/0!</v>
      </c>
      <c r="J6" s="1390"/>
      <c r="K6" s="1390"/>
      <c r="L6" s="1390"/>
      <c r="M6" s="1390"/>
      <c r="N6" s="1390"/>
      <c r="O6" s="1390"/>
      <c r="P6" s="1390"/>
    </row>
    <row r="7" spans="1:16" ht="15">
      <c r="A7" s="3103"/>
      <c r="B7" s="3104"/>
      <c r="C7" s="3105"/>
      <c r="D7" s="2222" t="s">
        <v>1908</v>
      </c>
      <c r="E7" s="2227" t="s">
        <v>1915</v>
      </c>
      <c r="F7" s="1390"/>
      <c r="G7" s="2219" t="s">
        <v>1916</v>
      </c>
      <c r="H7" s="64"/>
      <c r="I7" s="419"/>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424.2</v>
      </c>
      <c r="F8" s="1390"/>
      <c r="G8" s="2228"/>
      <c r="H8" s="2228"/>
      <c r="I8" s="1390"/>
      <c r="J8" s="1390"/>
      <c r="K8" s="1390"/>
      <c r="L8" s="1390"/>
      <c r="M8" s="1390"/>
      <c r="N8" s="1390"/>
      <c r="O8" s="1390"/>
      <c r="P8" s="1390"/>
    </row>
    <row r="9" spans="1:16">
      <c r="A9" s="2229"/>
      <c r="B9" s="2230"/>
      <c r="C9" s="48" t="s">
        <v>1920</v>
      </c>
      <c r="D9" s="48">
        <f t="shared" si="0"/>
        <v>0</v>
      </c>
      <c r="E9" s="52">
        <v>0</v>
      </c>
      <c r="F9" s="1390"/>
      <c r="G9" s="2228"/>
      <c r="H9" s="2228"/>
      <c r="I9" s="1390"/>
      <c r="J9" s="1390"/>
      <c r="K9" s="1390"/>
      <c r="L9" s="1390"/>
      <c r="M9" s="1390"/>
      <c r="N9" s="1390"/>
      <c r="O9" s="1390"/>
      <c r="P9" s="1390"/>
    </row>
    <row r="10" spans="1:16">
      <c r="A10" s="2229"/>
      <c r="B10" s="2230"/>
      <c r="C10" s="48" t="s">
        <v>1929</v>
      </c>
      <c r="D10" s="48">
        <f t="shared" si="0"/>
        <v>0</v>
      </c>
      <c r="E10" s="51">
        <f>SUMPRODUCT(('数据-基础表'!BB10:BK10="地下")*('数据-基础表'!BB11:BK11="商业")*('数据-基础表'!BB5:BK5))</f>
        <v>0</v>
      </c>
      <c r="F10" s="1390"/>
      <c r="G10" s="2228"/>
      <c r="H10" s="2228"/>
      <c r="I10" s="1390"/>
      <c r="J10" s="1390"/>
      <c r="K10" s="1390"/>
      <c r="L10" s="1390"/>
      <c r="M10" s="1390"/>
      <c r="N10" s="1390"/>
      <c r="O10" s="1390"/>
      <c r="P10" s="1390"/>
    </row>
    <row r="11" spans="1:16">
      <c r="A11" s="2229"/>
      <c r="B11" s="2230"/>
      <c r="C11" s="48" t="s">
        <v>1921</v>
      </c>
      <c r="D11" s="48">
        <f t="shared" si="0"/>
        <v>0</v>
      </c>
      <c r="E11" s="51">
        <f>SUMPRODUCT(('数据-基础表'!BB10:BK10="地下")*('数据-基础表'!BB11:BK11="办公")*('数据-基础表'!BB5:BK5))+'数据-基础表'!BP5</f>
        <v>0</v>
      </c>
      <c r="F11" s="1390"/>
      <c r="G11" s="2228"/>
      <c r="H11" s="2228"/>
      <c r="I11" s="1390"/>
      <c r="J11" s="1390"/>
      <c r="K11" s="1390"/>
      <c r="L11" s="1390"/>
      <c r="M11" s="1390"/>
      <c r="N11" s="1390"/>
      <c r="O11" s="1390"/>
      <c r="P11" s="1390"/>
    </row>
    <row r="12" spans="1:16">
      <c r="A12" s="2229"/>
      <c r="B12" s="2230"/>
      <c r="C12" s="48" t="s">
        <v>1922</v>
      </c>
      <c r="D12" s="48">
        <f t="shared" si="0"/>
        <v>0</v>
      </c>
      <c r="E12" s="51">
        <f>SUMPRODUCT(('数据-基础表'!BB10:BK10="地下")*('数据-基础表'!BB11:BK11="仓储")*('数据-基础表'!BB5:BK5))</f>
        <v>0</v>
      </c>
      <c r="F12" s="1390"/>
      <c r="G12" s="2228"/>
      <c r="H12" s="2228"/>
      <c r="I12" s="1390"/>
      <c r="J12" s="1390"/>
      <c r="K12" s="1390"/>
      <c r="L12" s="1390"/>
      <c r="M12" s="1390"/>
      <c r="N12" s="1390"/>
      <c r="O12" s="1390"/>
      <c r="P12" s="1390"/>
    </row>
    <row r="13" spans="1:16">
      <c r="A13" s="2229"/>
      <c r="B13" s="2230"/>
      <c r="C13" s="48" t="s">
        <v>1923</v>
      </c>
      <c r="D13" s="48">
        <f t="shared" si="0"/>
        <v>0</v>
      </c>
      <c r="E13" s="51">
        <f>SUMPRODUCT(('数据-基础表'!BB10:BK10="地下")*('数据-基础表'!BB11:BK11="车库")*('数据-基础表'!BB5:BK5))</f>
        <v>0</v>
      </c>
      <c r="F13" s="1390"/>
      <c r="G13" s="2228"/>
      <c r="H13" s="2228"/>
      <c r="I13" s="1390"/>
      <c r="J13" s="1390"/>
      <c r="K13" s="1390"/>
      <c r="L13" s="1390"/>
      <c r="M13" s="1390"/>
      <c r="N13" s="1390"/>
      <c r="O13" s="1390"/>
      <c r="P13" s="1390"/>
    </row>
    <row r="14" spans="1:16">
      <c r="A14" s="2229"/>
      <c r="B14" s="2230"/>
      <c r="C14" s="48" t="s">
        <v>1935</v>
      </c>
      <c r="D14" s="48">
        <f t="shared" si="0"/>
        <v>0</v>
      </c>
      <c r="E14" s="51">
        <f>SUMPRODUCT(('数据-基础表'!BB10:BK10="地下")*('数据-基础表'!BB11:BK11="车库—商业")*('数据-基础表'!BB5:BK5))</f>
        <v>0</v>
      </c>
      <c r="F14" s="1390"/>
      <c r="G14" s="2228"/>
      <c r="H14" s="2228"/>
      <c r="I14" s="1390"/>
      <c r="J14" s="1390"/>
      <c r="K14" s="1390"/>
      <c r="L14" s="1390"/>
      <c r="M14" s="1390"/>
      <c r="N14" s="1390"/>
      <c r="O14" s="1390"/>
      <c r="P14" s="1390"/>
    </row>
    <row r="15" spans="1:16" ht="15" thickBot="1">
      <c r="A15" s="2229"/>
      <c r="B15" s="2230"/>
      <c r="C15" s="48" t="s">
        <v>1930</v>
      </c>
      <c r="D15" s="48">
        <f t="shared" si="0"/>
        <v>0</v>
      </c>
      <c r="E15" s="51">
        <f>SUMPRODUCT(('数据-基础表'!BB10:BK10="地下")*('数据-基础表'!BB11:BK11="车库—办公")*('数据-基础表'!BB5:BK5))</f>
        <v>0</v>
      </c>
      <c r="F15" s="1390"/>
      <c r="G15" s="2228"/>
      <c r="H15" s="2228"/>
      <c r="I15" s="1390"/>
      <c r="J15" s="1390"/>
      <c r="K15" s="1390"/>
      <c r="L15" s="1390"/>
      <c r="M15" s="1390"/>
      <c r="N15" s="1390"/>
      <c r="O15" s="1390"/>
      <c r="P15" s="1390"/>
    </row>
    <row r="16" spans="1:16" ht="15.75" thickBot="1">
      <c r="A16" s="2225"/>
      <c r="B16" s="2230"/>
      <c r="C16" s="50" t="s">
        <v>1924</v>
      </c>
      <c r="D16" s="50">
        <f>SUM(D8:D15)</f>
        <v>0</v>
      </c>
      <c r="E16" s="53">
        <f>SUM(E8:E15)</f>
        <v>424.2</v>
      </c>
      <c r="F16" s="1390"/>
      <c r="G16" s="2228"/>
      <c r="H16" s="2231" t="s">
        <v>1936</v>
      </c>
      <c r="I16" s="2232"/>
      <c r="J16" s="1390"/>
      <c r="K16" s="3100" t="s">
        <v>1936</v>
      </c>
      <c r="L16" s="3101"/>
      <c r="M16" s="3101"/>
      <c r="N16" s="3101"/>
      <c r="O16" s="3101"/>
      <c r="P16" s="3102"/>
    </row>
    <row r="17" spans="1:19" ht="15">
      <c r="A17" s="2233" t="s">
        <v>1937</v>
      </c>
      <c r="B17" s="2234" t="s">
        <v>1938</v>
      </c>
      <c r="C17" s="2235" t="s">
        <v>1939</v>
      </c>
      <c r="D17" s="2236" t="s">
        <v>1927</v>
      </c>
      <c r="E17" s="2237" t="s">
        <v>1928</v>
      </c>
      <c r="F17" s="2238"/>
      <c r="G17" s="2239"/>
      <c r="H17" s="2240" t="s">
        <v>1940</v>
      </c>
      <c r="I17" s="2241" t="s">
        <v>1925</v>
      </c>
      <c r="J17" s="1390"/>
      <c r="K17" s="3097" t="s">
        <v>1941</v>
      </c>
      <c r="L17" s="3098"/>
      <c r="M17" s="3099"/>
      <c r="N17" s="3097" t="s">
        <v>1942</v>
      </c>
      <c r="O17" s="3098"/>
      <c r="P17" s="3099"/>
      <c r="R17" s="2219" t="s">
        <v>1943</v>
      </c>
      <c r="S17" s="64"/>
    </row>
    <row r="18" spans="1:19" ht="15">
      <c r="A18" s="2229"/>
      <c r="B18" s="2242"/>
      <c r="C18" s="2243"/>
      <c r="D18" s="2244"/>
      <c r="E18" s="2245" t="s">
        <v>1944</v>
      </c>
      <c r="F18" s="2246" t="s">
        <v>1945</v>
      </c>
      <c r="G18" s="2247" t="s">
        <v>1946</v>
      </c>
      <c r="H18" s="1260" t="s">
        <v>1947</v>
      </c>
      <c r="I18" s="2248" t="s">
        <v>1948</v>
      </c>
      <c r="J18" s="1390"/>
      <c r="K18" s="1260" t="s">
        <v>1949</v>
      </c>
      <c r="L18" s="2249" t="s">
        <v>1950</v>
      </c>
      <c r="M18" s="1045" t="s">
        <v>1951</v>
      </c>
      <c r="N18" s="1260" t="s">
        <v>1949</v>
      </c>
      <c r="O18" s="2249" t="s">
        <v>1950</v>
      </c>
      <c r="P18" s="1045" t="s">
        <v>1951</v>
      </c>
      <c r="R18" s="1245" t="s">
        <v>1952</v>
      </c>
      <c r="S18" s="1245" t="s">
        <v>1953</v>
      </c>
    </row>
    <row r="19" spans="1:19">
      <c r="A19" s="2250"/>
      <c r="B19" s="50" t="s">
        <v>1926</v>
      </c>
      <c r="C19" s="2950" t="s">
        <v>3068</v>
      </c>
      <c r="D19" s="48">
        <f>ROUND($D$3*E19/$E$3,2)</f>
        <v>0</v>
      </c>
      <c r="E19" s="56">
        <f t="shared" ref="E19:E26" si="1">SUM(F19:G19)</f>
        <v>424.2</v>
      </c>
      <c r="F19" s="57">
        <f>'数据-基础表'!I13</f>
        <v>424.2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2"/>
      <c r="O19" s="2253"/>
      <c r="P19" s="1401">
        <f>N19+O19</f>
        <v>0</v>
      </c>
      <c r="R19" s="1245">
        <f t="shared" ref="R19:S26" si="5">D19+H19</f>
        <v>0</v>
      </c>
      <c r="S19" s="1246">
        <f t="shared" si="5"/>
        <v>424.2</v>
      </c>
    </row>
    <row r="20" spans="1:19">
      <c r="A20" s="2254"/>
      <c r="B20" s="50" t="s">
        <v>1954</v>
      </c>
      <c r="C20" s="2251"/>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2"/>
      <c r="O20" s="2253"/>
      <c r="P20" s="1401">
        <f t="shared" ref="P20:P26" si="9">N20+O20</f>
        <v>0</v>
      </c>
      <c r="R20" s="1245">
        <f t="shared" si="5"/>
        <v>0</v>
      </c>
      <c r="S20" s="1246">
        <f t="shared" si="5"/>
        <v>0</v>
      </c>
    </row>
    <row r="21" spans="1:19">
      <c r="A21" s="2254"/>
      <c r="B21" s="50" t="s">
        <v>1954</v>
      </c>
      <c r="C21" s="2251"/>
      <c r="D21" s="48">
        <f t="shared" si="6"/>
        <v>0</v>
      </c>
      <c r="E21" s="56">
        <f t="shared" si="1"/>
        <v>0</v>
      </c>
      <c r="F21" s="57"/>
      <c r="G21" s="58"/>
      <c r="H21" s="722">
        <f t="shared" si="7"/>
        <v>0</v>
      </c>
      <c r="I21" s="51">
        <f t="shared" si="2"/>
        <v>0</v>
      </c>
      <c r="J21" s="1390"/>
      <c r="K21" s="1389">
        <f t="shared" si="3"/>
        <v>0</v>
      </c>
      <c r="L21" s="1245">
        <f t="shared" si="4"/>
        <v>0</v>
      </c>
      <c r="M21" s="1401">
        <f t="shared" si="8"/>
        <v>0</v>
      </c>
      <c r="N21" s="2252"/>
      <c r="O21" s="2253"/>
      <c r="P21" s="1401">
        <f t="shared" si="9"/>
        <v>0</v>
      </c>
      <c r="R21" s="1245">
        <f t="shared" si="5"/>
        <v>0</v>
      </c>
      <c r="S21" s="1246">
        <f t="shared" si="5"/>
        <v>0</v>
      </c>
    </row>
    <row r="22" spans="1:19">
      <c r="A22" s="2254"/>
      <c r="B22" s="50" t="s">
        <v>1954</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2"/>
      <c r="O22" s="2253"/>
      <c r="P22" s="1401">
        <f t="shared" si="9"/>
        <v>0</v>
      </c>
      <c r="R22" s="1245">
        <f t="shared" si="5"/>
        <v>0</v>
      </c>
      <c r="S22" s="1246">
        <f t="shared" si="5"/>
        <v>0</v>
      </c>
    </row>
    <row r="23" spans="1:19">
      <c r="A23" s="2254"/>
      <c r="B23" s="50" t="s">
        <v>1954</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2"/>
      <c r="O23" s="2253"/>
      <c r="P23" s="1401">
        <f t="shared" si="9"/>
        <v>0</v>
      </c>
      <c r="R23" s="1245">
        <f t="shared" si="5"/>
        <v>0</v>
      </c>
      <c r="S23" s="1246">
        <f t="shared" si="5"/>
        <v>0</v>
      </c>
    </row>
    <row r="24" spans="1:19">
      <c r="A24" s="2254"/>
      <c r="B24" s="50" t="s">
        <v>1954</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2"/>
      <c r="O24" s="2253"/>
      <c r="P24" s="1401">
        <f t="shared" si="9"/>
        <v>0</v>
      </c>
      <c r="R24" s="1245">
        <f t="shared" si="5"/>
        <v>0</v>
      </c>
      <c r="S24" s="1246">
        <f t="shared" si="5"/>
        <v>0</v>
      </c>
    </row>
    <row r="25" spans="1:19">
      <c r="A25" s="2254"/>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2"/>
      <c r="O25" s="2253"/>
      <c r="P25" s="1401">
        <f t="shared" si="9"/>
        <v>0</v>
      </c>
      <c r="R25" s="1245">
        <f t="shared" si="5"/>
        <v>0</v>
      </c>
      <c r="S25" s="1246">
        <f t="shared" si="5"/>
        <v>0</v>
      </c>
    </row>
    <row r="26" spans="1:19">
      <c r="A26" s="2254"/>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5"/>
      <c r="O26" s="2256"/>
      <c r="P26" s="67">
        <f t="shared" si="9"/>
        <v>0</v>
      </c>
      <c r="R26" s="1245">
        <f t="shared" si="5"/>
        <v>0</v>
      </c>
      <c r="S26" s="1246">
        <f t="shared" si="5"/>
        <v>0</v>
      </c>
    </row>
    <row r="27" spans="1:19" ht="15.75" thickBot="1">
      <c r="A27" s="2254"/>
      <c r="B27" s="48"/>
      <c r="C27" s="2257" t="s">
        <v>1955</v>
      </c>
      <c r="D27" s="1391">
        <f>SUM(D19:D26)</f>
        <v>0</v>
      </c>
      <c r="E27" s="1392">
        <f>IF(SUM(E19:E26)='数据-基础表'!BA5,SUM(E19:E26),IF(F27="地上面积有误","面积有误","地下面积有误"))</f>
        <v>424.2</v>
      </c>
      <c r="F27" s="1391">
        <f>IF(SUM(F19:F26)=E8,SUM(F19:F26),"地上面积有误")</f>
        <v>424.2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424.2</v>
      </c>
    </row>
    <row r="28" spans="1:19">
      <c r="A28" s="2254"/>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4"/>
      <c r="B29" s="50" t="s">
        <v>1956</v>
      </c>
      <c r="C29" s="2258"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4"/>
      <c r="B30" s="50"/>
      <c r="C30" s="2259"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0"/>
      <c r="B31" s="2261"/>
      <c r="C31" s="1006" t="s">
        <v>1959</v>
      </c>
      <c r="D31" s="728">
        <f>D27+D30</f>
        <v>0</v>
      </c>
      <c r="E31" s="728">
        <f>E27+E30</f>
        <v>424.2</v>
      </c>
      <c r="F31" s="729">
        <f>F27+F30</f>
        <v>424.2</v>
      </c>
      <c r="G31" s="730">
        <f>G27+G30</f>
        <v>0</v>
      </c>
      <c r="H31" s="1390"/>
      <c r="I31" s="1390"/>
      <c r="J31" s="1390"/>
      <c r="K31" s="1390"/>
      <c r="L31" s="1390"/>
      <c r="M31" s="1390"/>
      <c r="N31" s="1390"/>
      <c r="O31" s="1390"/>
      <c r="P31" s="1390"/>
    </row>
    <row r="32" spans="1:19">
      <c r="A32" s="2224"/>
      <c r="B32" s="2224" t="s">
        <v>1960</v>
      </c>
      <c r="C32" s="2224"/>
      <c r="D32" s="2224"/>
      <c r="E32" s="1272">
        <f>SUMIF(C19:C26,"*住宅*",E19:E26)</f>
        <v>0</v>
      </c>
      <c r="F32" s="2224"/>
      <c r="G32" s="2224"/>
      <c r="H32" s="1390"/>
      <c r="I32" s="1390"/>
      <c r="J32" s="1390"/>
      <c r="K32" s="1390"/>
      <c r="L32" s="1390"/>
      <c r="M32" s="1390"/>
      <c r="N32" s="1390"/>
      <c r="O32" s="1390"/>
      <c r="P32" s="1390"/>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X20" sqref="X20"/>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1961</v>
      </c>
      <c r="B1" s="731"/>
      <c r="C1" s="1579"/>
      <c r="D1" s="2264"/>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67" t="s">
        <v>1962</v>
      </c>
      <c r="B2" s="1264">
        <f>项目基本情况!D3</f>
        <v>43676</v>
      </c>
      <c r="C2" s="2268"/>
      <c r="D2" s="2269"/>
      <c r="E2" s="2268"/>
      <c r="F2" s="2268"/>
      <c r="G2" s="2268"/>
      <c r="H2" s="2268"/>
      <c r="I2" s="2268"/>
      <c r="J2" s="2268"/>
      <c r="K2" s="1425"/>
      <c r="L2" s="1425"/>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5"/>
      <c r="L3" s="1425"/>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8" t="s">
        <v>1963</v>
      </c>
      <c r="B4" s="2272"/>
      <c r="C4" s="2273"/>
      <c r="D4" s="2274"/>
      <c r="E4" s="2273" t="s">
        <v>1964</v>
      </c>
      <c r="F4" s="2273"/>
      <c r="G4" s="2273"/>
      <c r="H4" s="2273"/>
      <c r="I4" s="2273"/>
      <c r="J4" s="2275"/>
      <c r="K4" s="2276"/>
      <c r="L4" s="2277"/>
      <c r="M4" s="2273"/>
      <c r="N4" s="2273" t="s">
        <v>1965</v>
      </c>
      <c r="O4" s="2273"/>
      <c r="P4" s="2273"/>
      <c r="Q4" s="2273"/>
      <c r="R4" s="2273"/>
      <c r="S4" s="2275"/>
      <c r="T4" s="2278" t="str">
        <f>'数据-汇总表'!I17</f>
        <v>按面积比例</v>
      </c>
      <c r="U4" s="2272" t="s">
        <v>1966</v>
      </c>
      <c r="V4" s="2273"/>
      <c r="W4" s="2273"/>
      <c r="X4" s="2273"/>
      <c r="Y4" s="2275"/>
      <c r="Z4" s="2235" t="s">
        <v>1967</v>
      </c>
      <c r="AA4" s="2235"/>
      <c r="AB4" s="2235"/>
      <c r="AC4" s="2235"/>
      <c r="AD4" s="2235"/>
      <c r="AE4" s="2233" t="s">
        <v>1968</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1969</v>
      </c>
      <c r="B5" s="2281" t="s">
        <v>1970</v>
      </c>
      <c r="C5" s="2282" t="s">
        <v>1971</v>
      </c>
      <c r="D5" s="2283" t="s">
        <v>1972</v>
      </c>
      <c r="E5" s="1266" t="s">
        <v>1973</v>
      </c>
      <c r="F5" s="2284" t="s">
        <v>1974</v>
      </c>
      <c r="G5" s="1266" t="s">
        <v>1975</v>
      </c>
      <c r="H5" s="1266" t="s">
        <v>1976</v>
      </c>
      <c r="I5" s="1266" t="s">
        <v>1977</v>
      </c>
      <c r="J5" s="2285" t="s">
        <v>1978</v>
      </c>
      <c r="K5" s="2286" t="s">
        <v>1979</v>
      </c>
      <c r="L5" s="2287" t="s">
        <v>1980</v>
      </c>
      <c r="M5" s="2288" t="s">
        <v>1981</v>
      </c>
      <c r="N5" s="2289" t="s">
        <v>3069</v>
      </c>
      <c r="O5" s="2287" t="s">
        <v>1982</v>
      </c>
      <c r="P5" s="2290" t="s">
        <v>1983</v>
      </c>
      <c r="Q5" s="69" t="s">
        <v>1984</v>
      </c>
      <c r="R5" s="2291" t="s">
        <v>1985</v>
      </c>
      <c r="S5" s="2292" t="s">
        <v>1986</v>
      </c>
      <c r="T5" s="2293" t="s">
        <v>1987</v>
      </c>
      <c r="U5" s="1265" t="s">
        <v>1988</v>
      </c>
      <c r="V5" s="1266" t="s">
        <v>1989</v>
      </c>
      <c r="W5" s="1266" t="s">
        <v>1990</v>
      </c>
      <c r="X5" s="71"/>
      <c r="Y5" s="70" t="s">
        <v>1991</v>
      </c>
      <c r="Z5" s="2294" t="s">
        <v>1988</v>
      </c>
      <c r="AA5" s="1266" t="s">
        <v>1989</v>
      </c>
      <c r="AB5" s="1266" t="s">
        <v>1990</v>
      </c>
      <c r="AC5" s="71"/>
      <c r="AD5" s="71" t="s">
        <v>1991</v>
      </c>
      <c r="AE5" s="1265" t="s">
        <v>1992</v>
      </c>
      <c r="AF5" s="1266" t="s">
        <v>1993</v>
      </c>
      <c r="AG5" s="70" t="s">
        <v>1994</v>
      </c>
      <c r="AH5" s="1265" t="s">
        <v>1995</v>
      </c>
      <c r="AI5" s="2294" t="s">
        <v>1996</v>
      </c>
      <c r="AJ5" s="2294" t="s">
        <v>1997</v>
      </c>
      <c r="AK5" s="1266" t="s">
        <v>1998</v>
      </c>
      <c r="AL5" s="1266" t="s">
        <v>1999</v>
      </c>
      <c r="AM5" s="70" t="s">
        <v>2000</v>
      </c>
      <c r="AN5" s="2295" t="s">
        <v>2001</v>
      </c>
      <c r="AO5" s="2065" t="s">
        <v>2002</v>
      </c>
      <c r="AP5" s="1247" t="s">
        <v>2003</v>
      </c>
      <c r="AQ5" s="2296" t="s">
        <v>2004</v>
      </c>
      <c r="AR5" s="2296" t="s">
        <v>2005</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商业</v>
      </c>
      <c r="B6" s="2298" t="str">
        <f>IF(A6=0,"","经营性")</f>
        <v>经营性</v>
      </c>
      <c r="C6" s="2299" t="s">
        <v>1373</v>
      </c>
      <c r="D6" s="1050">
        <f>SUMIF(项目基本情况!D$12:I$12,C6,项目基本情况!D$14:I$14)</f>
        <v>40</v>
      </c>
      <c r="E6" s="1047">
        <f>IF(B6="","",SUMIF(项目基本情况!D$12:I$12,C6,项目基本情况!D$13:I$13))</f>
        <v>58286</v>
      </c>
      <c r="F6" s="72">
        <f>SUMIF(项目基本情况!D$12:I$12,C6,项目基本情况!D$15:I$15)</f>
        <v>40</v>
      </c>
      <c r="G6" s="73">
        <f>IF(ISERROR(ROUND(POWER(1+H6,D6-F6)*(POWER(1+H6,F6)-1)/(POWER(1+H6,D6)-1),3)),0,ROUND(POWER(1+H6,D6-F6)*(POWER(1+H6,F6)-1)/(POWER(1+H6,D6)-1),3))</f>
        <v>1</v>
      </c>
      <c r="H6" s="801">
        <v>5.5E-2</v>
      </c>
      <c r="I6" s="801">
        <v>0.06</v>
      </c>
      <c r="J6" s="74">
        <v>0.08</v>
      </c>
      <c r="K6" s="1249">
        <f>SUMIF('数据-汇总表'!C$19:C$33,A6,'数据-汇总表'!E$19:E$33)</f>
        <v>424.2</v>
      </c>
      <c r="L6" s="802">
        <v>2200</v>
      </c>
      <c r="M6" s="75">
        <f t="shared" ref="M6:M14" si="0">ROUND(K6*L6/10000,0)</f>
        <v>93</v>
      </c>
      <c r="N6" s="800">
        <v>0.75</v>
      </c>
      <c r="O6" s="75" t="str">
        <f>IF($N$5="成新度","——",ROUND(M6*N6,0))</f>
        <v>——</v>
      </c>
      <c r="P6" s="76" t="str">
        <f>IF($N$5="成新度","——",M6-O6)</f>
        <v>——</v>
      </c>
      <c r="Q6" s="803">
        <v>0.1</v>
      </c>
      <c r="R6" s="77">
        <f ca="1">SUMIF('数据-汇总表'!C$19:C$33,A6,'数据-汇总表'!R$19:R$27)</f>
        <v>0</v>
      </c>
      <c r="S6" s="54">
        <f>IF('数据-汇总表'!$I$17="按面积比例",SUMIF('数据-汇总表'!C$19:C$33,A6,'数据-汇总表'!K$19:K$33),SUMIF('数据-汇总表'!C$19:C$33,A6,'数据-汇总表'!N$19:N$33))</f>
        <v>0</v>
      </c>
      <c r="T6" s="1441">
        <f>ROUND($L$14*S6/10000,0)</f>
        <v>0</v>
      </c>
      <c r="U6" s="3004">
        <v>2.5</v>
      </c>
      <c r="V6" s="79">
        <v>0.03</v>
      </c>
      <c r="W6" s="2993">
        <v>0.1</v>
      </c>
      <c r="X6" s="1259"/>
      <c r="Y6" s="80">
        <f>N6</f>
        <v>0.75</v>
      </c>
      <c r="Z6" s="81"/>
      <c r="AA6" s="74"/>
      <c r="AB6" s="74"/>
      <c r="AC6" s="1259"/>
      <c r="AD6" s="82"/>
      <c r="AE6" s="1260">
        <f ca="1">IF(AN6="",0,SUMIF(INDIRECT("'"&amp;AN6&amp;"'"&amp;"!E:E"),$AE$5,INDIRECT("'"&amp;AN6&amp;"'"&amp;"!F:F")))</f>
        <v>40</v>
      </c>
      <c r="AF6" s="1801"/>
      <c r="AG6" s="146">
        <f>IF(AF6="",0,AE6-AF6)</f>
        <v>0</v>
      </c>
      <c r="AH6" s="83"/>
      <c r="AI6" s="85">
        <v>365</v>
      </c>
      <c r="AJ6" s="86"/>
      <c r="AK6" s="87">
        <v>0.03</v>
      </c>
      <c r="AL6" s="88">
        <v>1.5E-3</v>
      </c>
      <c r="AM6" s="89">
        <v>0.01</v>
      </c>
      <c r="AN6" s="2300" t="s">
        <v>3202</v>
      </c>
      <c r="AO6" s="55">
        <f ca="1">SUMIF(INDIRECT("'"&amp;AN6&amp;"'"&amp;"!A:A"),"总价",INDIRECT("'"&amp;AN6&amp;"'"&amp;"!B:B"))</f>
        <v>563</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f>'数据-汇总表'!C20</f>
        <v>0</v>
      </c>
      <c r="B7" s="2298" t="str">
        <f t="shared" ref="B7:B13" si="1">IF(A7=0,"","经营性")</f>
        <v/>
      </c>
      <c r="C7" s="2299"/>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f>'数据-汇总表'!C21</f>
        <v>0</v>
      </c>
      <c r="B8" s="2298" t="str">
        <f t="shared" si="1"/>
        <v/>
      </c>
      <c r="C8" s="2299"/>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1"/>
      <c r="AG8" s="146">
        <f t="shared" si="7"/>
        <v>0</v>
      </c>
      <c r="AH8" s="807"/>
      <c r="AI8" s="85"/>
      <c r="AJ8" s="86"/>
      <c r="AK8" s="808"/>
      <c r="AL8" s="809"/>
      <c r="AM8" s="81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c r="A9" s="2297">
        <f>'数据-汇总表'!C22</f>
        <v>0</v>
      </c>
      <c r="B9" s="2298" t="str">
        <f t="shared" si="1"/>
        <v/>
      </c>
      <c r="C9" s="2299"/>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6">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c r="A10" s="2297">
        <f>'数据-汇总表'!C23</f>
        <v>0</v>
      </c>
      <c r="B10" s="2298" t="str">
        <f t="shared" si="1"/>
        <v/>
      </c>
      <c r="C10" s="2299"/>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6">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c r="A11" s="2297">
        <f>'数据-汇总表'!C24</f>
        <v>0</v>
      </c>
      <c r="B11" s="2298" t="str">
        <f t="shared" si="1"/>
        <v/>
      </c>
      <c r="C11" s="2299"/>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6">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c r="A12" s="2297">
        <f>'数据-汇总表'!C25</f>
        <v>0</v>
      </c>
      <c r="B12" s="2298" t="str">
        <f t="shared" si="1"/>
        <v/>
      </c>
      <c r="C12" s="2299"/>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6">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c r="A13" s="2297">
        <f>'数据-汇总表'!C26</f>
        <v>0</v>
      </c>
      <c r="B13" s="2298" t="str">
        <f t="shared" si="1"/>
        <v/>
      </c>
      <c r="C13" s="2299"/>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2006</v>
      </c>
      <c r="B14" s="2298" t="s">
        <v>2007</v>
      </c>
      <c r="C14" s="2303" t="s">
        <v>2006</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2"/>
      <c r="AJ14" s="772"/>
      <c r="AK14" s="1261"/>
      <c r="AL14" s="1262"/>
      <c r="AM14" s="1263"/>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2008</v>
      </c>
      <c r="B15" s="2298" t="s">
        <v>2007</v>
      </c>
      <c r="C15" s="2303" t="s">
        <v>2009</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2"/>
      <c r="AJ15" s="772"/>
      <c r="AK15" s="1261"/>
      <c r="AL15" s="1262"/>
      <c r="AM15" s="1263"/>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2010</v>
      </c>
      <c r="B16" s="97"/>
      <c r="C16" s="1004"/>
      <c r="D16" s="2305"/>
      <c r="E16" s="97"/>
      <c r="F16" s="97"/>
      <c r="G16" s="98">
        <f>ROUND(SUMPRODUCT(G6:G13,K6:K13)/SUMPRODUCT((G6:G13&gt;0)*(K6:K13)),3)</f>
        <v>1</v>
      </c>
      <c r="H16" s="99">
        <f>ROUND(SUMPRODUCT(H6:H13,K6:K13)/SUMPRODUCT((H6:H13&gt;0)*(K6:K13)),3)</f>
        <v>5.5E-2</v>
      </c>
      <c r="I16" s="100"/>
      <c r="J16" s="100"/>
      <c r="K16" s="101">
        <f>SUM(K6:K15)</f>
        <v>424.2</v>
      </c>
      <c r="L16" s="102">
        <f>ROUND(M16*10000/SUM(K6:K14),0)</f>
        <v>2192</v>
      </c>
      <c r="M16" s="102">
        <f>SUM(M6:M14)</f>
        <v>93</v>
      </c>
      <c r="N16" s="103">
        <f>ROUND(SUMPRODUCT(M6:M14,N6:N14)/M16,3)</f>
        <v>0.75</v>
      </c>
      <c r="O16" s="102">
        <f>SUM(O6:O14)</f>
        <v>0</v>
      </c>
      <c r="P16" s="102">
        <f>SUM(P6:P14)</f>
        <v>0</v>
      </c>
      <c r="Q16" s="104">
        <f>ROUND(SUMPRODUCT(Q6:Q13,K6:K13)/SUMPRODUCT((Q6:Q13&gt;0)*(K6:K13)),2)</f>
        <v>0.1</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79"/>
      <c r="D17" s="2264"/>
      <c r="E17" s="2264"/>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1"/>
      <c r="C18" s="2268"/>
      <c r="D18" s="2269"/>
      <c r="E18" s="2268"/>
      <c r="F18" s="2268"/>
      <c r="G18" s="2268"/>
      <c r="H18" s="2268"/>
      <c r="I18" s="2268"/>
      <c r="J18" s="2268"/>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7" t="s">
        <v>2012</v>
      </c>
      <c r="B19" s="112">
        <v>0</v>
      </c>
      <c r="C19" s="2268" t="s">
        <v>2013</v>
      </c>
      <c r="D19" s="2269"/>
      <c r="E19" s="2268"/>
      <c r="F19" s="2268"/>
      <c r="G19" s="2268"/>
      <c r="H19" s="2268"/>
      <c r="I19" s="2268"/>
      <c r="J19" s="2268"/>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8" t="s">
        <v>2014</v>
      </c>
      <c r="B20" s="113">
        <v>1</v>
      </c>
      <c r="C20" s="2268" t="s">
        <v>2015</v>
      </c>
      <c r="D20" s="2269"/>
      <c r="E20" s="2268"/>
      <c r="F20" s="2268"/>
      <c r="G20" s="2268"/>
      <c r="H20" s="2268"/>
      <c r="I20" s="2268"/>
      <c r="J20" s="2268"/>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9" t="s">
        <v>2016</v>
      </c>
      <c r="B21" s="113">
        <v>1</v>
      </c>
      <c r="C21" s="2268"/>
      <c r="D21" s="2269"/>
      <c r="E21" s="2268"/>
      <c r="F21" s="2268"/>
      <c r="G21" s="2268"/>
      <c r="H21" s="2268"/>
      <c r="I21" s="2268"/>
      <c r="J21" s="2268"/>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8" t="s">
        <v>2017</v>
      </c>
      <c r="B22" s="114">
        <f>B19+B20</f>
        <v>1</v>
      </c>
      <c r="C22" s="2268"/>
      <c r="D22" s="2269"/>
      <c r="E22" s="2268"/>
      <c r="F22" s="2268"/>
      <c r="G22" s="2268"/>
      <c r="H22" s="2268"/>
      <c r="I22" s="2268"/>
      <c r="J22" s="2268"/>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9" t="s">
        <v>2018</v>
      </c>
      <c r="B23" s="114">
        <f>B19+B21</f>
        <v>1</v>
      </c>
      <c r="C23" s="2268"/>
      <c r="D23" s="2269"/>
      <c r="E23" s="2268"/>
      <c r="F23" s="2268"/>
      <c r="G23" s="2268"/>
      <c r="H23" s="2268"/>
      <c r="I23" s="2268"/>
      <c r="J23" s="2268"/>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0" t="s">
        <v>2019</v>
      </c>
      <c r="B24" s="115">
        <f>B20-B21</f>
        <v>0</v>
      </c>
      <c r="C24" s="2268"/>
      <c r="D24" s="2269"/>
      <c r="E24" s="2268"/>
      <c r="F24" s="2268"/>
      <c r="G24" s="2268"/>
      <c r="H24" s="2268"/>
      <c r="I24" s="2268"/>
      <c r="J24" s="2268"/>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1"/>
      <c r="C25" s="2268"/>
      <c r="D25" s="2269"/>
      <c r="E25" s="2268"/>
      <c r="F25" s="2268"/>
      <c r="G25" s="2268"/>
      <c r="H25" s="2268"/>
      <c r="I25" s="2268"/>
      <c r="J25" s="2268"/>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7" t="s">
        <v>2020</v>
      </c>
      <c r="B26" s="2311" t="s">
        <v>2021</v>
      </c>
      <c r="C26" s="2312" t="s">
        <v>2022</v>
      </c>
      <c r="D26" s="2269"/>
      <c r="E26" s="2268"/>
      <c r="F26" s="2268"/>
      <c r="G26" s="2268"/>
      <c r="H26" s="2268"/>
      <c r="I26" s="2268"/>
      <c r="J26" s="2268"/>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5" customFormat="1" ht="27.75">
      <c r="A27" s="2313" t="s">
        <v>2023</v>
      </c>
      <c r="B27" s="116"/>
      <c r="C27" s="1762" t="s">
        <v>2024</v>
      </c>
      <c r="D27" s="2314"/>
      <c r="E27" s="1425"/>
      <c r="F27" s="1425"/>
      <c r="G27" s="2268"/>
      <c r="H27" s="2268"/>
      <c r="I27" s="2268"/>
      <c r="J27" s="2268"/>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2025</v>
      </c>
      <c r="B28" s="119">
        <v>40</v>
      </c>
      <c r="C28" s="2317"/>
      <c r="D28" s="2314"/>
      <c r="E28" s="1425"/>
      <c r="F28" s="1425"/>
      <c r="G28" s="2268"/>
      <c r="H28" s="2268"/>
      <c r="I28" s="2268"/>
      <c r="J28" s="2268"/>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2026</v>
      </c>
      <c r="B29" s="121"/>
      <c r="C29" s="1762" t="s">
        <v>2027</v>
      </c>
      <c r="D29" s="2314"/>
      <c r="E29" s="1425"/>
      <c r="F29" s="1425"/>
      <c r="G29" s="2268"/>
      <c r="H29" s="2268"/>
      <c r="I29" s="2268"/>
      <c r="J29" s="2268"/>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2028</v>
      </c>
      <c r="B30" s="723">
        <v>150</v>
      </c>
      <c r="C30" s="2317"/>
      <c r="D30" s="2314"/>
      <c r="E30" s="1425"/>
      <c r="F30" s="1425"/>
      <c r="G30" s="2268"/>
      <c r="H30" s="2268"/>
      <c r="I30" s="2268"/>
      <c r="J30" s="2268"/>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2029</v>
      </c>
      <c r="B31" s="120">
        <f>B30-B32</f>
        <v>150</v>
      </c>
      <c r="C31" s="1762"/>
      <c r="D31" s="2314"/>
      <c r="E31" s="1425"/>
      <c r="F31" s="1425"/>
      <c r="G31" s="2268"/>
      <c r="H31" s="2268"/>
      <c r="I31" s="2268"/>
      <c r="J31" s="2268"/>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2030</v>
      </c>
      <c r="B32" s="724">
        <v>0</v>
      </c>
      <c r="C32" s="2317"/>
      <c r="D32" s="2269"/>
      <c r="E32" s="2268"/>
      <c r="F32" s="2268"/>
      <c r="G32" s="2268"/>
      <c r="H32" s="2268"/>
      <c r="I32" s="2268"/>
      <c r="J32" s="2268"/>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2031</v>
      </c>
      <c r="B33" s="725">
        <v>0.03</v>
      </c>
      <c r="C33" s="1761" t="s">
        <v>2032</v>
      </c>
      <c r="D33" s="2269"/>
      <c r="E33" s="2268"/>
      <c r="F33" s="2268"/>
      <c r="G33" s="2268"/>
      <c r="H33" s="2268"/>
      <c r="I33" s="2268"/>
      <c r="J33" s="2268"/>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2033</v>
      </c>
      <c r="B34" s="122">
        <v>0.05</v>
      </c>
      <c r="C34" s="1761" t="s">
        <v>2034</v>
      </c>
      <c r="D34" s="2269" t="s">
        <v>2035</v>
      </c>
      <c r="E34" s="731"/>
      <c r="F34" s="2268"/>
      <c r="G34" s="2268"/>
      <c r="H34" s="2268"/>
      <c r="I34" s="2268"/>
      <c r="J34" s="2268"/>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2036</v>
      </c>
      <c r="B35" s="119">
        <v>150</v>
      </c>
      <c r="C35" s="1761" t="s">
        <v>2037</v>
      </c>
      <c r="D35" s="2314"/>
      <c r="E35" s="1425"/>
      <c r="F35" s="1425"/>
      <c r="G35" s="2268"/>
      <c r="H35" s="2268"/>
      <c r="I35" s="2268"/>
      <c r="J35" s="2268"/>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2038</v>
      </c>
      <c r="B36" s="123">
        <v>1.4999999999999999E-2</v>
      </c>
      <c r="C36" s="1761" t="s">
        <v>2039</v>
      </c>
      <c r="D36" s="2269"/>
      <c r="E36" s="2268"/>
      <c r="F36" s="2268"/>
      <c r="G36" s="2268"/>
      <c r="H36" s="2268"/>
      <c r="I36" s="2268"/>
      <c r="J36" s="2268"/>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9" t="s">
        <v>2040</v>
      </c>
      <c r="B37" s="124">
        <v>0.02</v>
      </c>
      <c r="C37" s="1761" t="s">
        <v>2041</v>
      </c>
      <c r="D37" s="2269"/>
      <c r="E37" s="2268"/>
      <c r="F37" s="2268"/>
      <c r="G37" s="2268"/>
      <c r="H37" s="2268"/>
      <c r="I37" s="2268"/>
      <c r="J37" s="2268"/>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6" t="s">
        <v>2042</v>
      </c>
      <c r="B38" s="122">
        <v>0.02</v>
      </c>
      <c r="C38" s="1761" t="s">
        <v>2041</v>
      </c>
      <c r="D38" s="2269"/>
      <c r="E38" s="2268"/>
      <c r="F38" s="2268"/>
      <c r="G38" s="2268"/>
      <c r="H38" s="2268"/>
      <c r="I38" s="2268"/>
      <c r="J38" s="2268"/>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0" t="s">
        <v>2043</v>
      </c>
      <c r="B39" s="361">
        <f ca="1">存贷款利率!I1</f>
        <v>1.4999999999999999E-2</v>
      </c>
      <c r="C39" s="1761"/>
      <c r="D39" s="2269"/>
      <c r="E39" s="2268"/>
      <c r="F39" s="2268"/>
      <c r="G39" s="2268"/>
      <c r="H39" s="2268"/>
      <c r="I39" s="2268"/>
      <c r="J39" s="2268"/>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0" t="s">
        <v>2044</v>
      </c>
      <c r="B40" s="1298">
        <f ca="1">存贷款利率!G1</f>
        <v>4.3499999999999997E-2</v>
      </c>
      <c r="C40" s="1761" t="s">
        <v>2045</v>
      </c>
      <c r="D40" s="1579"/>
      <c r="E40" s="2269"/>
      <c r="F40" s="2268"/>
      <c r="G40" s="2268"/>
      <c r="H40" s="2268"/>
      <c r="I40" s="2268"/>
      <c r="J40" s="2268"/>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3" t="s">
        <v>2046</v>
      </c>
      <c r="B41" s="125">
        <f>B42+B43</f>
        <v>5.5000000000000007E-2</v>
      </c>
      <c r="C41" s="1762"/>
      <c r="D41" s="1579"/>
      <c r="E41" s="2269"/>
      <c r="F41" s="2268"/>
      <c r="G41" s="2268"/>
      <c r="H41" s="2268"/>
      <c r="I41" s="2268"/>
      <c r="J41" s="2268"/>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1" t="s">
        <v>2047</v>
      </c>
      <c r="B42" s="126">
        <v>0.05</v>
      </c>
      <c r="C42" s="2322">
        <f>IF(B2&lt;DATE(2016,5,1),0,B42)</f>
        <v>0.05</v>
      </c>
      <c r="D42" s="2269"/>
      <c r="E42" s="2268"/>
      <c r="F42" s="2268"/>
      <c r="G42" s="2268"/>
      <c r="H42" s="2268"/>
      <c r="I42" s="2268"/>
      <c r="J42" s="2268"/>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1" t="s">
        <v>2048</v>
      </c>
      <c r="B43" s="127">
        <f>B42*(B44+B45+B46)+B47</f>
        <v>5.000000000000001E-3</v>
      </c>
      <c r="C43" s="1762"/>
      <c r="D43" s="2269"/>
      <c r="E43" s="2268"/>
      <c r="F43" s="2268"/>
      <c r="G43" s="2268"/>
      <c r="H43" s="2268"/>
      <c r="I43" s="2268"/>
      <c r="J43" s="2268"/>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3" t="s">
        <v>2049</v>
      </c>
      <c r="B44" s="128">
        <v>0.05</v>
      </c>
      <c r="C44" s="1761" t="s">
        <v>2050</v>
      </c>
      <c r="D44" s="2269"/>
      <c r="E44" s="2268"/>
      <c r="F44" s="2268"/>
      <c r="G44" s="2268"/>
      <c r="H44" s="2268"/>
      <c r="I44" s="2268"/>
      <c r="J44" s="2268"/>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3" t="s">
        <v>2051</v>
      </c>
      <c r="B45" s="126">
        <v>0.03</v>
      </c>
      <c r="C45" s="1762" t="s">
        <v>2052</v>
      </c>
      <c r="D45" s="2269"/>
      <c r="E45" s="2268"/>
      <c r="F45" s="2268"/>
      <c r="G45" s="2268"/>
      <c r="H45" s="2268"/>
      <c r="I45" s="2268"/>
      <c r="J45" s="2268"/>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3" t="s">
        <v>2053</v>
      </c>
      <c r="B46" s="126">
        <v>0.02</v>
      </c>
      <c r="C46" s="1762" t="s">
        <v>2054</v>
      </c>
      <c r="D46" s="2269"/>
      <c r="E46" s="2268"/>
      <c r="F46" s="2268"/>
      <c r="G46" s="2268"/>
      <c r="H46" s="2268"/>
      <c r="I46" s="2268"/>
      <c r="J46" s="2268"/>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4" t="s">
        <v>2055</v>
      </c>
      <c r="B47" s="129"/>
      <c r="C47" s="1762" t="s">
        <v>2056</v>
      </c>
      <c r="D47" s="2269"/>
      <c r="E47" s="2268"/>
      <c r="F47" s="2268"/>
      <c r="G47" s="2268"/>
      <c r="H47" s="2268"/>
      <c r="I47" s="2268"/>
      <c r="J47" s="2268"/>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5" t="s">
        <v>2057</v>
      </c>
      <c r="B48" s="2994">
        <v>0.04</v>
      </c>
      <c r="C48" s="1768" t="s">
        <v>2058</v>
      </c>
      <c r="D48" s="2269"/>
      <c r="E48" s="2268"/>
      <c r="F48" s="2268"/>
      <c r="G48" s="2268"/>
      <c r="H48" s="2268"/>
      <c r="I48" s="2268"/>
      <c r="J48" s="2268"/>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0" t="s">
        <v>2059</v>
      </c>
      <c r="B49" s="126">
        <v>5.0000000000000001E-4</v>
      </c>
      <c r="C49" s="1768" t="s">
        <v>2060</v>
      </c>
      <c r="D49" s="2269"/>
      <c r="E49" s="2268"/>
      <c r="F49" s="2268"/>
      <c r="G49" s="2268"/>
      <c r="H49" s="2268"/>
      <c r="I49" s="2268"/>
      <c r="J49" s="2268"/>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6" t="s">
        <v>2061</v>
      </c>
      <c r="B50" s="130">
        <v>1.2E-2</v>
      </c>
      <c r="C50" s="1425"/>
      <c r="D50" s="2269"/>
      <c r="E50" s="2268"/>
      <c r="F50" s="2268"/>
      <c r="G50" s="2268"/>
      <c r="H50" s="2268"/>
      <c r="I50" s="2268"/>
      <c r="J50" s="2268"/>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8" t="s">
        <v>2062</v>
      </c>
      <c r="B51" s="131">
        <v>0.12</v>
      </c>
      <c r="C51" s="1425"/>
      <c r="D51" s="2269"/>
      <c r="E51" s="2268"/>
      <c r="F51" s="2268"/>
      <c r="G51" s="2268"/>
      <c r="H51" s="2268"/>
      <c r="I51" s="2268"/>
      <c r="J51" s="2268"/>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6" t="s">
        <v>2063</v>
      </c>
      <c r="B52" s="132">
        <f>SUMIF(A54:A63,B53,B54:B63)</f>
        <v>6</v>
      </c>
      <c r="C52" s="1425"/>
      <c r="D52" s="2269"/>
      <c r="E52" s="2268"/>
      <c r="F52" s="2268"/>
      <c r="G52" s="2268"/>
      <c r="H52" s="2268"/>
      <c r="I52" s="2268"/>
      <c r="J52" s="2268"/>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6" t="s">
        <v>2064</v>
      </c>
      <c r="B53" s="2327" t="s">
        <v>212</v>
      </c>
      <c r="C53" s="1425" t="s">
        <v>2065</v>
      </c>
      <c r="D53" s="2328" t="s">
        <v>2066</v>
      </c>
      <c r="E53" s="2268"/>
      <c r="F53" s="2268"/>
      <c r="G53" s="2268"/>
      <c r="H53" s="2268"/>
      <c r="I53" s="2268"/>
      <c r="J53" s="2268"/>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9" t="s">
        <v>2067</v>
      </c>
      <c r="B54" s="84">
        <v>6</v>
      </c>
      <c r="C54" s="1425">
        <v>30</v>
      </c>
      <c r="D54" s="2269"/>
      <c r="E54" s="2268"/>
      <c r="F54" s="2268"/>
      <c r="G54" s="2268"/>
      <c r="H54" s="2268"/>
      <c r="I54" s="2268"/>
      <c r="J54" s="2268"/>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9" t="s">
        <v>2068</v>
      </c>
      <c r="B55" s="84">
        <v>5</v>
      </c>
      <c r="C55" s="1425">
        <v>24</v>
      </c>
      <c r="D55" s="2269"/>
      <c r="E55" s="2268"/>
      <c r="F55" s="2268"/>
      <c r="G55" s="2268"/>
      <c r="H55" s="2268"/>
      <c r="I55" s="2330"/>
      <c r="J55" s="2268"/>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9" t="s">
        <v>2069</v>
      </c>
      <c r="B56" s="84">
        <v>4</v>
      </c>
      <c r="C56" s="1425">
        <v>18</v>
      </c>
      <c r="D56" s="2269"/>
      <c r="E56" s="2268"/>
      <c r="F56" s="2268"/>
      <c r="G56" s="2268"/>
      <c r="H56" s="2268"/>
      <c r="I56" s="2268"/>
      <c r="J56" s="2268"/>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9" t="s">
        <v>2070</v>
      </c>
      <c r="B57" s="84">
        <v>3</v>
      </c>
      <c r="C57" s="1425">
        <v>12</v>
      </c>
      <c r="D57" s="2269"/>
      <c r="E57" s="2268"/>
      <c r="F57" s="2268"/>
      <c r="G57" s="2268"/>
      <c r="H57" s="2268"/>
      <c r="I57" s="2268"/>
      <c r="J57" s="2268"/>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9" t="s">
        <v>2071</v>
      </c>
      <c r="B58" s="84">
        <v>2</v>
      </c>
      <c r="C58" s="1425">
        <v>3</v>
      </c>
      <c r="D58" s="2269"/>
      <c r="E58" s="2268"/>
      <c r="F58" s="2268"/>
      <c r="G58" s="2268"/>
      <c r="H58" s="2268"/>
      <c r="I58" s="2268"/>
      <c r="J58" s="2268"/>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9" t="s">
        <v>2072</v>
      </c>
      <c r="B59" s="84"/>
      <c r="C59" s="1425">
        <v>1.5</v>
      </c>
      <c r="D59" s="2269"/>
      <c r="E59" s="2268"/>
      <c r="F59" s="2268"/>
      <c r="G59" s="2268"/>
      <c r="H59" s="2268"/>
      <c r="I59" s="2268"/>
      <c r="J59" s="2268"/>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9" t="s">
        <v>2073</v>
      </c>
      <c r="B60" s="84"/>
      <c r="C60" s="2268"/>
      <c r="D60" s="2269"/>
      <c r="E60" s="2268"/>
      <c r="F60" s="2268"/>
      <c r="G60" s="2268"/>
      <c r="H60" s="2268"/>
      <c r="I60" s="2268"/>
      <c r="J60" s="2268"/>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9" t="s">
        <v>2074</v>
      </c>
      <c r="B61" s="84"/>
      <c r="C61" s="2268"/>
      <c r="D61" s="2269"/>
      <c r="E61" s="2268"/>
      <c r="F61" s="2268"/>
      <c r="G61" s="2268"/>
      <c r="H61" s="2268"/>
      <c r="I61" s="2268"/>
      <c r="J61" s="2268"/>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9" t="s">
        <v>2075</v>
      </c>
      <c r="B62" s="84"/>
      <c r="C62" s="2268"/>
      <c r="D62" s="2269"/>
      <c r="E62" s="2268"/>
      <c r="F62" s="2268"/>
      <c r="G62" s="2268"/>
      <c r="H62" s="2268"/>
      <c r="I62" s="2268"/>
      <c r="J62" s="2268"/>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1" t="s">
        <v>2076</v>
      </c>
      <c r="B63" s="133"/>
      <c r="C63" s="2268"/>
      <c r="D63" s="2269"/>
      <c r="E63" s="2268"/>
      <c r="F63" s="2268"/>
      <c r="G63" s="2268"/>
      <c r="H63" s="2268"/>
      <c r="I63" s="2268"/>
      <c r="J63" s="2268"/>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2"/>
      <c r="D64" s="2333"/>
      <c r="K64" s="797"/>
      <c r="L64" s="797"/>
    </row>
    <row r="65" spans="1:12" s="963" customFormat="1">
      <c r="A65" s="2332"/>
      <c r="D65" s="2333"/>
      <c r="K65" s="797"/>
      <c r="L65" s="797"/>
    </row>
    <row r="66" spans="1:12" s="963" customFormat="1">
      <c r="A66" s="2332"/>
      <c r="D66" s="2333"/>
      <c r="K66" s="797"/>
      <c r="L66" s="797"/>
    </row>
    <row r="67" spans="1:12" s="963" customFormat="1">
      <c r="A67" s="2332"/>
      <c r="D67" s="2333"/>
      <c r="K67" s="797"/>
      <c r="L67" s="797"/>
    </row>
    <row r="68" spans="1:12" s="963" customFormat="1">
      <c r="A68" s="2332"/>
      <c r="D68" s="2333"/>
      <c r="K68" s="797"/>
      <c r="L68" s="797"/>
    </row>
    <row r="69" spans="1:12" s="963" customFormat="1">
      <c r="A69" s="2332"/>
      <c r="D69" s="2333"/>
      <c r="K69" s="797"/>
      <c r="L69" s="797"/>
    </row>
    <row r="70" spans="1:12" s="963" customFormat="1">
      <c r="A70" s="2332"/>
      <c r="D70" s="2333"/>
      <c r="K70" s="797"/>
      <c r="L70" s="797"/>
    </row>
    <row r="71" spans="1:12" s="963" customFormat="1">
      <c r="A71" s="2332"/>
      <c r="D71" s="2333"/>
      <c r="K71" s="797"/>
      <c r="L71" s="797"/>
    </row>
    <row r="72" spans="1:12" s="963" customFormat="1">
      <c r="A72" s="2332"/>
      <c r="D72" s="2333"/>
      <c r="K72" s="797"/>
      <c r="L72" s="797"/>
    </row>
    <row r="73" spans="1:12" s="963" customFormat="1">
      <c r="A73" s="2332"/>
      <c r="D73" s="2333"/>
      <c r="K73" s="797"/>
      <c r="L73" s="797"/>
    </row>
    <row r="74" spans="1:12" s="963" customFormat="1">
      <c r="A74" s="2332"/>
      <c r="D74" s="2333"/>
      <c r="K74" s="797"/>
      <c r="L74" s="797"/>
    </row>
    <row r="75" spans="1:12" s="963" customFormat="1">
      <c r="A75" s="2332"/>
      <c r="D75" s="2333"/>
      <c r="K75" s="797"/>
      <c r="L75" s="797"/>
    </row>
    <row r="76" spans="1:12" s="963" customFormat="1">
      <c r="A76" s="2332"/>
      <c r="D76" s="2333"/>
      <c r="K76" s="797"/>
      <c r="L76" s="797"/>
    </row>
    <row r="77" spans="1:12" s="963" customFormat="1">
      <c r="A77" s="2332"/>
      <c r="D77" s="2333"/>
      <c r="K77" s="797"/>
      <c r="L77" s="797"/>
    </row>
    <row r="78" spans="1:12" s="963" customFormat="1">
      <c r="A78" s="2332"/>
      <c r="D78" s="2333"/>
      <c r="K78" s="797"/>
      <c r="L78" s="797"/>
    </row>
    <row r="79" spans="1:12" s="963" customFormat="1">
      <c r="A79" s="2332"/>
      <c r="D79" s="2333"/>
      <c r="K79" s="797"/>
      <c r="L79" s="797"/>
    </row>
    <row r="80" spans="1:12" s="963" customFormat="1">
      <c r="A80" s="2332"/>
      <c r="D80" s="2333"/>
      <c r="K80" s="797"/>
      <c r="L80" s="797"/>
    </row>
    <row r="81" spans="1:12" s="963" customFormat="1">
      <c r="A81" s="2332"/>
      <c r="D81" s="2333"/>
      <c r="K81" s="797"/>
      <c r="L81" s="797"/>
    </row>
    <row r="82" spans="1:12" s="963" customFormat="1">
      <c r="A82" s="2332"/>
      <c r="D82" s="2333"/>
      <c r="K82" s="797"/>
      <c r="L82" s="797"/>
    </row>
    <row r="83" spans="1:12" s="963" customFormat="1">
      <c r="A83" s="2332"/>
      <c r="D83" s="2333"/>
      <c r="K83" s="797"/>
      <c r="L83" s="797"/>
    </row>
    <row r="84" spans="1:12" s="963" customFormat="1">
      <c r="A84" s="2332"/>
      <c r="D84" s="2333"/>
      <c r="K84" s="797"/>
      <c r="L84" s="797"/>
    </row>
    <row r="85" spans="1:12" s="963" customFormat="1">
      <c r="A85" s="2332"/>
      <c r="D85" s="2333"/>
      <c r="K85" s="797"/>
      <c r="L85" s="797"/>
    </row>
    <row r="86" spans="1:12" s="963" customFormat="1">
      <c r="A86" s="2332"/>
      <c r="D86" s="2333"/>
      <c r="K86" s="797"/>
      <c r="L86" s="797"/>
    </row>
    <row r="87" spans="1:12" s="963" customFormat="1">
      <c r="A87" s="2332"/>
      <c r="D87" s="2333"/>
      <c r="K87" s="797"/>
      <c r="L87" s="797"/>
    </row>
    <row r="88" spans="1:12" s="963" customFormat="1">
      <c r="A88" s="2332"/>
      <c r="D88" s="2333"/>
      <c r="K88" s="797"/>
      <c r="L88" s="797"/>
    </row>
    <row r="89" spans="1:12" s="963" customFormat="1">
      <c r="A89" s="2332"/>
      <c r="D89" s="2333"/>
      <c r="K89" s="797"/>
      <c r="L89" s="797"/>
    </row>
    <row r="90" spans="1:12" s="963" customFormat="1">
      <c r="A90" s="2332"/>
      <c r="D90" s="2333"/>
      <c r="K90" s="797"/>
      <c r="L90" s="797"/>
    </row>
    <row r="91" spans="1:12" s="963" customFormat="1">
      <c r="A91" s="2332"/>
      <c r="D91" s="2333"/>
      <c r="K91" s="797"/>
      <c r="L91" s="797"/>
    </row>
    <row r="92" spans="1:12" s="963" customFormat="1">
      <c r="A92" s="2332"/>
      <c r="D92" s="2333"/>
      <c r="K92" s="797"/>
      <c r="L92" s="797"/>
    </row>
    <row r="93" spans="1:12" s="963" customFormat="1">
      <c r="A93" s="2332"/>
      <c r="D93" s="2333"/>
      <c r="K93" s="797"/>
      <c r="L93" s="797"/>
    </row>
    <row r="94" spans="1:12" s="963" customFormat="1">
      <c r="A94" s="2332"/>
      <c r="D94" s="2333"/>
      <c r="K94" s="797"/>
      <c r="L94" s="797"/>
    </row>
    <row r="95" spans="1:12" s="963" customFormat="1">
      <c r="A95" s="2332"/>
      <c r="D95" s="2333"/>
      <c r="K95" s="797"/>
      <c r="L95" s="797"/>
    </row>
    <row r="96" spans="1:12" s="963" customFormat="1">
      <c r="A96" s="2332"/>
      <c r="D96" s="2333"/>
      <c r="K96" s="797"/>
      <c r="L96" s="797"/>
    </row>
    <row r="97" spans="1:12" s="963" customFormat="1">
      <c r="A97" s="2332"/>
      <c r="D97" s="2333"/>
      <c r="K97" s="797"/>
      <c r="L97" s="797"/>
    </row>
    <row r="98" spans="1:12" s="963" customFormat="1">
      <c r="A98" s="2332"/>
      <c r="D98" s="2333"/>
      <c r="K98" s="797"/>
      <c r="L98" s="797"/>
    </row>
    <row r="99" spans="1:12" s="963" customFormat="1">
      <c r="A99" s="2332"/>
      <c r="D99" s="2333"/>
      <c r="K99" s="797"/>
      <c r="L99" s="797"/>
    </row>
    <row r="100" spans="1:12" s="963" customFormat="1">
      <c r="A100" s="2332"/>
      <c r="D100" s="2333"/>
      <c r="K100" s="797"/>
      <c r="L100" s="797"/>
    </row>
    <row r="101" spans="1:12" s="963" customFormat="1">
      <c r="A101" s="2332"/>
      <c r="D101" s="2333"/>
      <c r="K101" s="797"/>
      <c r="L101" s="797"/>
    </row>
    <row r="102" spans="1:12" s="963" customFormat="1">
      <c r="A102" s="2332"/>
      <c r="D102" s="2333"/>
      <c r="K102" s="797"/>
      <c r="L102" s="797"/>
    </row>
    <row r="103" spans="1:12" s="963" customFormat="1">
      <c r="A103" s="2332"/>
      <c r="D103" s="2333"/>
      <c r="K103" s="797"/>
      <c r="L103" s="797"/>
    </row>
    <row r="104" spans="1:12" s="963" customFormat="1">
      <c r="A104" s="2332"/>
      <c r="D104" s="2333"/>
      <c r="K104" s="797"/>
      <c r="L104" s="797"/>
    </row>
    <row r="105" spans="1:12" s="963" customFormat="1">
      <c r="A105" s="2332"/>
      <c r="D105" s="2333"/>
      <c r="K105" s="797"/>
      <c r="L105" s="797"/>
    </row>
    <row r="106" spans="1:12" s="963" customFormat="1">
      <c r="A106" s="2332"/>
      <c r="D106" s="2333"/>
      <c r="K106" s="797"/>
      <c r="L106" s="797"/>
    </row>
    <row r="107" spans="1:12" s="963" customFormat="1">
      <c r="A107" s="2332"/>
      <c r="D107" s="2333"/>
      <c r="K107" s="797"/>
      <c r="L107" s="797"/>
    </row>
    <row r="108" spans="1:12" s="963" customFormat="1">
      <c r="A108" s="2332"/>
      <c r="D108" s="2333"/>
      <c r="K108" s="797"/>
      <c r="L108" s="797"/>
    </row>
    <row r="109" spans="1:12" s="963" customFormat="1">
      <c r="A109" s="2332"/>
      <c r="D109" s="2333"/>
      <c r="K109" s="797"/>
      <c r="L109" s="797"/>
    </row>
    <row r="110" spans="1:12" s="963" customFormat="1">
      <c r="A110" s="2332"/>
      <c r="D110" s="2333"/>
      <c r="K110" s="797"/>
      <c r="L110" s="797"/>
    </row>
    <row r="111" spans="1:12" s="963" customFormat="1">
      <c r="A111" s="2332"/>
      <c r="D111" s="2333"/>
      <c r="K111" s="797"/>
      <c r="L111" s="797"/>
    </row>
    <row r="112" spans="1:12" s="963" customFormat="1">
      <c r="A112" s="2332"/>
      <c r="D112" s="2333"/>
      <c r="K112" s="797"/>
      <c r="L112" s="797"/>
    </row>
    <row r="113" spans="1:12" s="963" customFormat="1">
      <c r="A113" s="2332"/>
      <c r="D113" s="2333"/>
      <c r="K113" s="797"/>
      <c r="L113" s="797"/>
    </row>
    <row r="114" spans="1:12" s="963" customFormat="1">
      <c r="A114" s="2332"/>
      <c r="D114" s="2333"/>
      <c r="K114" s="797"/>
      <c r="L114" s="797"/>
    </row>
    <row r="115" spans="1:12" s="963" customFormat="1">
      <c r="A115" s="2332"/>
      <c r="D115" s="2333"/>
      <c r="K115" s="797"/>
      <c r="L115" s="797"/>
    </row>
    <row r="116" spans="1:12" s="963" customFormat="1">
      <c r="A116" s="2332"/>
      <c r="D116" s="2333"/>
      <c r="K116" s="797"/>
      <c r="L116" s="797"/>
    </row>
    <row r="117" spans="1:12" s="963" customFormat="1">
      <c r="A117" s="2332"/>
      <c r="D117" s="2333"/>
      <c r="K117" s="797"/>
      <c r="L117" s="797"/>
    </row>
    <row r="118" spans="1:12" s="963" customFormat="1">
      <c r="A118" s="2332"/>
      <c r="D118" s="2333"/>
      <c r="K118" s="797"/>
      <c r="L118" s="797"/>
    </row>
    <row r="119" spans="1:12" s="963" customFormat="1">
      <c r="A119" s="2332"/>
      <c r="D119" s="2333"/>
      <c r="K119" s="797"/>
      <c r="L119" s="797"/>
    </row>
    <row r="120" spans="1:12" s="963" customFormat="1">
      <c r="A120" s="2332"/>
      <c r="D120" s="2333"/>
      <c r="K120" s="797"/>
      <c r="L120" s="797"/>
    </row>
    <row r="121" spans="1:12" s="963" customFormat="1">
      <c r="A121" s="2332"/>
      <c r="D121" s="2333"/>
      <c r="K121" s="797"/>
      <c r="L121" s="797"/>
    </row>
    <row r="122" spans="1:12" s="963" customFormat="1">
      <c r="A122" s="2332"/>
      <c r="D122" s="2333"/>
      <c r="K122" s="797"/>
      <c r="L122" s="797"/>
    </row>
    <row r="123" spans="1:12" s="963" customFormat="1">
      <c r="A123" s="2332"/>
      <c r="D123" s="2333"/>
      <c r="K123" s="797"/>
      <c r="L123" s="797"/>
    </row>
    <row r="124" spans="1:12" s="963" customFormat="1">
      <c r="A124" s="2332"/>
      <c r="D124" s="2333"/>
      <c r="K124" s="797"/>
      <c r="L124" s="797"/>
    </row>
    <row r="125" spans="1:12" s="963" customFormat="1">
      <c r="A125" s="2332"/>
      <c r="D125" s="2333"/>
      <c r="K125" s="797"/>
      <c r="L125" s="797"/>
    </row>
    <row r="126" spans="1:12" s="963" customFormat="1">
      <c r="A126" s="2332"/>
      <c r="D126" s="2333"/>
      <c r="K126" s="797"/>
      <c r="L126" s="797"/>
    </row>
    <row r="127" spans="1:12" s="963" customFormat="1">
      <c r="A127" s="2332"/>
      <c r="D127" s="2333"/>
      <c r="K127" s="797"/>
      <c r="L127" s="797"/>
    </row>
    <row r="128" spans="1:12" s="963" customFormat="1">
      <c r="A128" s="2332"/>
      <c r="D128" s="2333"/>
      <c r="K128" s="797"/>
      <c r="L128" s="797"/>
    </row>
    <row r="129" spans="1:12" s="963" customFormat="1">
      <c r="A129" s="2332"/>
      <c r="D129" s="2333"/>
      <c r="K129" s="797"/>
      <c r="L129" s="797"/>
    </row>
    <row r="130" spans="1:12" s="963" customFormat="1">
      <c r="A130" s="2332"/>
      <c r="D130" s="2333"/>
      <c r="K130" s="797"/>
      <c r="L130" s="797"/>
    </row>
    <row r="131" spans="1:12" s="963" customFormat="1">
      <c r="A131" s="2332"/>
      <c r="D131" s="2333"/>
      <c r="K131" s="797"/>
      <c r="L131" s="797"/>
    </row>
    <row r="132" spans="1:12" s="963" customFormat="1">
      <c r="A132" s="2332"/>
      <c r="D132" s="2333"/>
      <c r="K132" s="797"/>
      <c r="L132" s="797"/>
    </row>
    <row r="133" spans="1:12" s="963"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12" t="s">
        <v>2077</v>
      </c>
      <c r="B1" s="3113"/>
      <c r="C1" s="3113"/>
      <c r="D1" s="3113"/>
      <c r="E1" s="3113"/>
      <c r="F1" s="3113"/>
      <c r="G1" s="311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2078</v>
      </c>
      <c r="D2" s="2357"/>
      <c r="E2" s="2358"/>
      <c r="F2" s="2277"/>
      <c r="G2" s="2356" t="s">
        <v>2079</v>
      </c>
      <c r="H2" s="2359"/>
      <c r="I2" s="2359"/>
      <c r="J2" s="2359"/>
      <c r="K2" s="2359"/>
      <c r="L2" s="2359"/>
      <c r="M2" s="2359"/>
      <c r="N2" s="2359"/>
      <c r="O2" s="2359"/>
      <c r="P2" s="2359"/>
      <c r="Q2" s="2359"/>
      <c r="R2" s="2359"/>
    </row>
    <row r="3" spans="1:29" ht="54">
      <c r="A3" s="414" t="s">
        <v>2080</v>
      </c>
      <c r="B3" s="1266" t="s">
        <v>2081</v>
      </c>
      <c r="C3" s="2361" t="s">
        <v>2082</v>
      </c>
      <c r="D3" s="2362"/>
      <c r="E3" s="430" t="s">
        <v>2080</v>
      </c>
      <c r="F3" s="2363" t="s">
        <v>2083</v>
      </c>
      <c r="G3" s="2364" t="s">
        <v>2084</v>
      </c>
      <c r="H3" s="2359"/>
      <c r="I3" s="2359"/>
      <c r="J3" s="2359"/>
      <c r="K3" s="2359"/>
      <c r="L3" s="2359"/>
      <c r="M3" s="2359"/>
      <c r="N3" s="2359"/>
      <c r="O3" s="2359"/>
      <c r="P3" s="2359"/>
      <c r="Q3" s="2359"/>
      <c r="R3" s="2359"/>
    </row>
    <row r="4" spans="1:29" ht="41.25">
      <c r="A4" s="430"/>
      <c r="B4" s="1792" t="s">
        <v>2085</v>
      </c>
      <c r="C4" s="2365" t="s">
        <v>2086</v>
      </c>
      <c r="D4" s="2362"/>
      <c r="E4" s="2366"/>
      <c r="F4" s="42" t="s">
        <v>2087</v>
      </c>
      <c r="G4" s="2367" t="s">
        <v>2088</v>
      </c>
      <c r="H4" s="2359"/>
      <c r="I4" s="2359"/>
      <c r="J4" s="2359"/>
      <c r="K4" s="2359"/>
      <c r="L4" s="2359"/>
      <c r="M4" s="2359"/>
      <c r="N4" s="2359"/>
      <c r="O4" s="2359"/>
      <c r="P4" s="2359"/>
      <c r="Q4" s="2359"/>
      <c r="R4" s="2359"/>
    </row>
    <row r="5" spans="1:29" ht="41.25">
      <c r="A5" s="430"/>
      <c r="B5" s="1792" t="s">
        <v>2089</v>
      </c>
      <c r="C5" s="2365" t="s">
        <v>2090</v>
      </c>
      <c r="D5" s="2362"/>
      <c r="E5" s="2366"/>
      <c r="F5" s="1792" t="s">
        <v>2091</v>
      </c>
      <c r="G5" s="2367" t="s">
        <v>2092</v>
      </c>
      <c r="H5" s="2359"/>
      <c r="I5" s="2359"/>
      <c r="J5" s="2359"/>
      <c r="K5" s="2359"/>
      <c r="L5" s="2359"/>
      <c r="M5" s="2359"/>
      <c r="N5" s="2359"/>
      <c r="O5" s="2359"/>
      <c r="P5" s="2359"/>
      <c r="Q5" s="2359"/>
      <c r="R5" s="2359"/>
    </row>
    <row r="6" spans="1:29" ht="54">
      <c r="A6" s="430"/>
      <c r="B6" s="1792" t="s">
        <v>2093</v>
      </c>
      <c r="C6" s="2367" t="s">
        <v>2088</v>
      </c>
      <c r="D6" s="2362"/>
      <c r="E6" s="2366"/>
      <c r="F6" s="1792" t="s">
        <v>2094</v>
      </c>
      <c r="G6" s="2367" t="s">
        <v>2095</v>
      </c>
      <c r="H6" s="2359"/>
      <c r="I6" s="2359"/>
      <c r="J6" s="2359"/>
      <c r="K6" s="2359"/>
      <c r="L6" s="2359"/>
      <c r="M6" s="2359"/>
      <c r="N6" s="2359"/>
      <c r="O6" s="2359"/>
      <c r="P6" s="2359"/>
      <c r="Q6" s="2359"/>
      <c r="R6" s="2359"/>
    </row>
    <row r="7" spans="1:29" ht="41.25" thickBot="1">
      <c r="A7" s="430"/>
      <c r="B7" s="1792" t="s">
        <v>2091</v>
      </c>
      <c r="C7" s="2367" t="s">
        <v>2092</v>
      </c>
      <c r="D7" s="2368"/>
      <c r="E7" s="2369"/>
      <c r="F7" s="2370" t="s">
        <v>2096</v>
      </c>
      <c r="G7" s="2371" t="s">
        <v>2097</v>
      </c>
      <c r="H7" s="2359"/>
      <c r="I7" s="2359"/>
      <c r="J7" s="2359"/>
      <c r="K7" s="2359"/>
      <c r="L7" s="2359"/>
      <c r="M7" s="2359"/>
      <c r="N7" s="2359"/>
      <c r="O7" s="2359"/>
      <c r="P7" s="2359"/>
      <c r="Q7" s="2359"/>
      <c r="R7" s="2359"/>
    </row>
    <row r="8" spans="1:29" ht="27">
      <c r="A8" s="430"/>
      <c r="B8" s="1792" t="s">
        <v>2094</v>
      </c>
      <c r="C8" s="2367" t="s">
        <v>2095</v>
      </c>
      <c r="D8" s="2368"/>
      <c r="E8" s="2368"/>
      <c r="F8" s="1131"/>
      <c r="G8" s="1131"/>
      <c r="H8" s="2359"/>
      <c r="I8" s="2359"/>
      <c r="J8" s="2359"/>
      <c r="K8" s="2359"/>
      <c r="L8" s="2359"/>
      <c r="M8" s="2359"/>
      <c r="N8" s="2359"/>
      <c r="O8" s="2359"/>
      <c r="P8" s="2359"/>
      <c r="Q8" s="2359"/>
      <c r="R8" s="2359"/>
    </row>
    <row r="9" spans="1:29" ht="27">
      <c r="A9" s="430"/>
      <c r="B9" s="1792" t="s">
        <v>2098</v>
      </c>
      <c r="C9" s="2365" t="s">
        <v>2099</v>
      </c>
      <c r="D9" s="2362"/>
      <c r="E9" s="2368"/>
      <c r="F9" s="1131"/>
      <c r="G9" s="1131"/>
      <c r="H9" s="2359"/>
      <c r="I9" s="2359"/>
      <c r="J9" s="2359"/>
      <c r="K9" s="2359"/>
      <c r="L9" s="2359"/>
      <c r="M9" s="2359"/>
      <c r="N9" s="2359"/>
      <c r="O9" s="2359"/>
      <c r="P9" s="2359"/>
      <c r="Q9" s="2359"/>
      <c r="R9" s="2359"/>
    </row>
    <row r="10" spans="1:29" s="117" customFormat="1" ht="15.75" thickBot="1">
      <c r="A10" s="2372"/>
      <c r="B10" s="2373" t="s">
        <v>2100</v>
      </c>
      <c r="C10" s="2374"/>
      <c r="D10" s="2362"/>
      <c r="E10" s="2362"/>
      <c r="F10" s="1131"/>
      <c r="G10" s="1131"/>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49"/>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9"/>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2101</v>
      </c>
      <c r="B13" s="2379"/>
      <c r="C13" s="2379"/>
      <c r="D13" s="2386"/>
      <c r="E13" s="2379"/>
      <c r="F13" s="2379"/>
      <c r="G13" s="2379"/>
    </row>
    <row r="14" spans="1:29" ht="15.75" thickBot="1">
      <c r="A14" s="2390"/>
      <c r="B14" s="2391"/>
      <c r="C14" s="2392" t="s">
        <v>2102</v>
      </c>
      <c r="D14" s="2362"/>
      <c r="E14" s="2393"/>
      <c r="F14" s="2393"/>
      <c r="G14" s="2356" t="s">
        <v>2103</v>
      </c>
    </row>
    <row r="15" spans="1:29" ht="57">
      <c r="A15" s="68" t="s">
        <v>2104</v>
      </c>
      <c r="B15" s="1265" t="s">
        <v>2081</v>
      </c>
      <c r="C15" s="2394" t="str">
        <f>C3</f>
        <v>估价对象周边居住用地比例、居住小区规模和社区发展完善程度，综合评价居住社区成熟度一般</v>
      </c>
      <c r="D15" s="2362"/>
      <c r="E15" s="2395" t="s">
        <v>2105</v>
      </c>
      <c r="F15" s="1265" t="s">
        <v>2106</v>
      </c>
      <c r="G15" s="134" t="str">
        <f>G3</f>
        <v>估价对象位于XX开发区，园区建设成熟度XX，产业集聚程度XX</v>
      </c>
    </row>
    <row r="16" spans="1:29" ht="42.75">
      <c r="A16" s="644"/>
      <c r="B16" s="2396" t="s">
        <v>2085</v>
      </c>
      <c r="C16" s="2397" t="str">
        <f>C4</f>
        <v>估价对象位于XX商圈，周边商业氛围成熟，人流量大，商业繁华度好</v>
      </c>
      <c r="D16" s="2362"/>
      <c r="E16" s="2398"/>
      <c r="F16" s="2399" t="s">
        <v>2087</v>
      </c>
      <c r="G16" s="135" t="str">
        <f>G4</f>
        <v>估价对象周边道路状况、公共交通通达情况、停车便捷程度，综合评价交通便捷度较好</v>
      </c>
    </row>
    <row r="17" spans="1:18" ht="42.75">
      <c r="A17" s="644"/>
      <c r="B17" s="2396" t="s">
        <v>2089</v>
      </c>
      <c r="C17" s="2397" t="str">
        <f>C5</f>
        <v>估价对象位于XX商圈，周边办公楼项目较多，入驻率高，办公集聚程度较好</v>
      </c>
      <c r="D17" s="2368"/>
      <c r="E17" s="2398"/>
      <c r="F17" s="2399" t="s">
        <v>2107</v>
      </c>
      <c r="G17" s="1567"/>
    </row>
    <row r="18" spans="1:18" ht="57">
      <c r="A18" s="644"/>
      <c r="B18" s="2399" t="s">
        <v>2093</v>
      </c>
      <c r="C18" s="135" t="str">
        <f>C6</f>
        <v>估价对象周边道路状况、公共交通通达情况、停车便捷程度，综合评价交通便捷度较好</v>
      </c>
      <c r="D18" s="2368"/>
      <c r="E18" s="2398"/>
      <c r="F18" s="2399" t="s">
        <v>2096</v>
      </c>
      <c r="G18" s="135" t="str">
        <f>G7</f>
        <v>该园区内是否有污染型企业，绿化情况，卫生条件，整体环境状况判断</v>
      </c>
    </row>
    <row r="19" spans="1:18" ht="28.5">
      <c r="A19" s="644"/>
      <c r="B19" s="2399" t="s">
        <v>2108</v>
      </c>
      <c r="C19" s="1567"/>
      <c r="D19" s="2362"/>
      <c r="E19" s="2398"/>
      <c r="F19" s="1792" t="s">
        <v>2091</v>
      </c>
      <c r="G19" s="135" t="str">
        <f>G5</f>
        <v>估价对象所在区域公共配套设施齐备情况</v>
      </c>
    </row>
    <row r="20" spans="1:18" ht="28.5">
      <c r="A20" s="644"/>
      <c r="B20" s="2399" t="s">
        <v>2109</v>
      </c>
      <c r="C20" s="2397" t="str">
        <f>C9</f>
        <v>区域自然环境：；人文环境；综合评价环境状况一般</v>
      </c>
      <c r="D20" s="2368"/>
      <c r="E20" s="2398"/>
      <c r="F20" s="1792" t="s">
        <v>2110</v>
      </c>
      <c r="G20" s="135" t="str">
        <f>G6</f>
        <v>估价对象所在区域基础设施水平</v>
      </c>
    </row>
    <row r="21" spans="1:18" ht="28.5">
      <c r="A21" s="644"/>
      <c r="B21" s="1792" t="s">
        <v>2091</v>
      </c>
      <c r="C21" s="135" t="str">
        <f>C7</f>
        <v>估价对象所在区域公共配套设施齐备情况</v>
      </c>
      <c r="D21" s="2362"/>
      <c r="E21" s="2398"/>
      <c r="F21" s="2399" t="s">
        <v>2111</v>
      </c>
      <c r="G21" s="2400"/>
    </row>
    <row r="22" spans="1:18" ht="13.5" customHeight="1">
      <c r="A22" s="644"/>
      <c r="B22" s="1792" t="s">
        <v>2094</v>
      </c>
      <c r="C22" s="135" t="str">
        <f>C8</f>
        <v>估价对象所在区域基础设施水平</v>
      </c>
      <c r="D22" s="2362"/>
      <c r="E22" s="2398"/>
      <c r="F22" s="2399" t="s">
        <v>2100</v>
      </c>
      <c r="G22" s="1567"/>
    </row>
    <row r="23" spans="1:18" s="2359" customFormat="1" ht="15.75" thickBot="1">
      <c r="A23" s="644"/>
      <c r="B23" s="2399" t="s">
        <v>2111</v>
      </c>
      <c r="C23" s="2400"/>
      <c r="D23" s="2387"/>
      <c r="E23" s="2401"/>
      <c r="F23" s="2402" t="s">
        <v>2112</v>
      </c>
      <c r="G23" s="2403"/>
      <c r="H23" s="2387"/>
      <c r="I23" s="2388"/>
      <c r="J23" s="2387"/>
      <c r="K23" s="2387"/>
      <c r="L23" s="2388"/>
      <c r="M23" s="2387"/>
      <c r="N23" s="2387"/>
      <c r="O23" s="2388"/>
      <c r="P23" s="2387"/>
      <c r="Q23" s="2387"/>
      <c r="R23" s="2389"/>
    </row>
    <row r="24" spans="1:18" s="2359" customFormat="1" ht="15.75" thickBot="1">
      <c r="A24" s="2404"/>
      <c r="B24" s="2402" t="s">
        <v>2113</v>
      </c>
      <c r="C24" s="136">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8" sqref="B2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16284.279999999995</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43676</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21009</v>
      </c>
      <c r="C5" s="1741">
        <f ca="1">ROUND(B5*10000/$B$1,0)</f>
        <v>12901</v>
      </c>
      <c r="D5" s="1741" t="e">
        <f ca="1">ROUND(B5*10000/$B$2,0)</f>
        <v>#DIV/0!</v>
      </c>
      <c r="E5" s="1740"/>
      <c r="F5" s="1738"/>
      <c r="G5" s="1738"/>
    </row>
    <row r="6" spans="1:10" ht="16.5">
      <c r="A6" s="1741" t="s">
        <v>1352</v>
      </c>
      <c r="B6" s="1741">
        <f ca="1">SUM(G14:G23)</f>
        <v>21009</v>
      </c>
      <c r="C6" s="1741">
        <f ca="1">ROUND(B6*10000/$B$1,0)</f>
        <v>12901</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424.2</v>
      </c>
      <c r="C14" s="1739">
        <f>结果表!C118</f>
        <v>0</v>
      </c>
      <c r="D14" s="1739">
        <f ca="1">结果表!H118</f>
        <v>705</v>
      </c>
      <c r="E14" s="1739">
        <f ca="1">ROUND(D14*10000/B14,0)</f>
        <v>16620</v>
      </c>
      <c r="F14" s="1739" t="e">
        <f ca="1">ROUND(D14*10000/C14,0)</f>
        <v>#DIV/0!</v>
      </c>
      <c r="G14" s="1739">
        <f ca="1">结果表!D122</f>
        <v>705</v>
      </c>
      <c r="H14" s="1739" t="str">
        <f>结果表!D124</f>
        <v>——</v>
      </c>
      <c r="I14" s="1739" t="str">
        <f>结果表!D126</f>
        <v>——</v>
      </c>
      <c r="J14" s="1738"/>
    </row>
    <row r="15" spans="1:10" ht="16.5">
      <c r="A15" s="1737" t="s">
        <v>1345</v>
      </c>
      <c r="B15" s="1744">
        <f>典型户型修正!B22-典型户型修正!B24</f>
        <v>15860.079999999994</v>
      </c>
      <c r="C15" s="1744"/>
      <c r="D15" s="1744">
        <f ca="1">典型户型修正!S22-典型户型修正!S24</f>
        <v>20304</v>
      </c>
      <c r="E15" s="1739">
        <f t="shared" ref="E15:E23" ca="1" si="0">ROUND(D15*10000/B15,0)</f>
        <v>12802</v>
      </c>
      <c r="F15" s="1739" t="e">
        <f t="shared" ref="F15:F23" ca="1" si="1">ROUND(D15*10000/C15,0)</f>
        <v>#DIV/0!</v>
      </c>
      <c r="G15" s="1745">
        <f ca="1">D15</f>
        <v>20304</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6" t="s">
        <v>2114</v>
      </c>
      <c r="B1" s="2410"/>
      <c r="C1" s="2411"/>
      <c r="D1" s="2410"/>
      <c r="E1" s="2410"/>
      <c r="F1" s="2412" t="s">
        <v>2115</v>
      </c>
      <c r="G1" s="2062" t="s">
        <v>3206</v>
      </c>
      <c r="H1" s="2413" t="str">
        <f>IF(G1="现房","——","估价对象范围")</f>
        <v>——</v>
      </c>
      <c r="I1" s="2414"/>
    </row>
    <row r="2" spans="1:12" ht="21.75" customHeight="1" thickBot="1">
      <c r="A2" s="3147" t="str">
        <f>项目基本情况!S2</f>
        <v>湖北省黄石市大冶市东岳路办事处新华路十五万楼等商业用房房地产</v>
      </c>
      <c r="B2" s="3148"/>
      <c r="C2" s="3148"/>
      <c r="D2" s="3148"/>
      <c r="E2" s="3148"/>
      <c r="F2" s="3148"/>
      <c r="G2" s="3148"/>
      <c r="H2" s="3148"/>
      <c r="I2" s="3149"/>
    </row>
    <row r="3" spans="1:12" ht="12.75">
      <c r="A3" s="3151" t="s">
        <v>2116</v>
      </c>
      <c r="B3" s="3152"/>
      <c r="C3" s="3152"/>
      <c r="D3" s="3152"/>
      <c r="E3" s="3152"/>
      <c r="F3" s="3152"/>
      <c r="G3" s="3152"/>
      <c r="H3" s="3152"/>
      <c r="I3" s="3152"/>
    </row>
    <row r="4" spans="1:12" ht="14.25">
      <c r="A4" s="2417" t="s">
        <v>2117</v>
      </c>
      <c r="B4" s="2418" t="s">
        <v>2118</v>
      </c>
      <c r="C4" s="2419" t="s">
        <v>3185</v>
      </c>
      <c r="D4" s="2419" t="s">
        <v>3202</v>
      </c>
      <c r="E4" s="3144" t="s">
        <v>2119</v>
      </c>
      <c r="F4" s="3145"/>
      <c r="G4" s="3145"/>
      <c r="H4" s="3145"/>
      <c r="I4" s="3153"/>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27" t="s">
        <v>2120</v>
      </c>
      <c r="B5" s="3065">
        <v>25</v>
      </c>
      <c r="C5" s="3130"/>
      <c r="D5" s="3150"/>
      <c r="E5" s="139" t="s">
        <v>2121</v>
      </c>
      <c r="F5" s="2421"/>
      <c r="G5" s="2421"/>
      <c r="H5" s="2421"/>
      <c r="I5" s="1828"/>
    </row>
    <row r="6" spans="1:12" ht="12.75">
      <c r="A6" s="3127"/>
      <c r="B6" s="3065"/>
      <c r="C6" s="3131"/>
      <c r="D6" s="3150"/>
      <c r="E6" s="139" t="s">
        <v>2122</v>
      </c>
      <c r="F6" s="2421"/>
      <c r="G6" s="2421"/>
      <c r="H6" s="2421"/>
      <c r="I6" s="1828"/>
    </row>
    <row r="7" spans="1:12" ht="12.75">
      <c r="A7" s="3127"/>
      <c r="B7" s="3065"/>
      <c r="C7" s="3132"/>
      <c r="D7" s="3150"/>
      <c r="E7" s="139" t="s">
        <v>2123</v>
      </c>
      <c r="F7" s="2421"/>
      <c r="G7" s="2421"/>
      <c r="H7" s="2421"/>
      <c r="I7" s="1828"/>
    </row>
    <row r="8" spans="1:12" ht="12.75">
      <c r="A8" s="3127" t="s">
        <v>2124</v>
      </c>
      <c r="B8" s="3065">
        <v>15</v>
      </c>
      <c r="C8" s="3130"/>
      <c r="D8" s="3150"/>
      <c r="E8" s="139" t="s">
        <v>2125</v>
      </c>
      <c r="F8" s="2421"/>
      <c r="G8" s="2421"/>
      <c r="H8" s="2421"/>
      <c r="I8" s="1828"/>
    </row>
    <row r="9" spans="1:12" ht="12.75">
      <c r="A9" s="3127"/>
      <c r="B9" s="3065"/>
      <c r="C9" s="3132"/>
      <c r="D9" s="3150"/>
      <c r="E9" s="139" t="s">
        <v>2126</v>
      </c>
      <c r="F9" s="2421"/>
      <c r="G9" s="2421"/>
      <c r="H9" s="2421"/>
      <c r="I9" s="1828"/>
    </row>
    <row r="10" spans="1:12" ht="12.75">
      <c r="A10" s="3127" t="s">
        <v>2127</v>
      </c>
      <c r="B10" s="3065">
        <v>15</v>
      </c>
      <c r="C10" s="3130"/>
      <c r="D10" s="3150"/>
      <c r="E10" s="139" t="s">
        <v>2128</v>
      </c>
      <c r="F10" s="2421"/>
      <c r="G10" s="2421"/>
      <c r="H10" s="2421"/>
      <c r="I10" s="1828"/>
    </row>
    <row r="11" spans="1:12" ht="12.75">
      <c r="A11" s="3127"/>
      <c r="B11" s="3065"/>
      <c r="C11" s="3132"/>
      <c r="D11" s="3150"/>
      <c r="E11" s="139" t="s">
        <v>2129</v>
      </c>
      <c r="F11" s="2421"/>
      <c r="G11" s="2421"/>
      <c r="H11" s="2421"/>
      <c r="I11" s="1828"/>
    </row>
    <row r="12" spans="1:12" ht="12.75">
      <c r="A12" s="3127" t="s">
        <v>2130</v>
      </c>
      <c r="B12" s="3065">
        <v>15</v>
      </c>
      <c r="C12" s="3130"/>
      <c r="D12" s="3150"/>
      <c r="E12" s="139" t="s">
        <v>2131</v>
      </c>
      <c r="F12" s="2421"/>
      <c r="G12" s="2421"/>
      <c r="H12" s="2421"/>
      <c r="I12" s="1828"/>
    </row>
    <row r="13" spans="1:12" ht="12.75">
      <c r="A13" s="3127"/>
      <c r="B13" s="3065"/>
      <c r="C13" s="3132"/>
      <c r="D13" s="3150"/>
      <c r="E13" s="139" t="s">
        <v>2132</v>
      </c>
      <c r="F13" s="2421"/>
      <c r="G13" s="2421"/>
      <c r="H13" s="2421"/>
      <c r="I13" s="1828"/>
    </row>
    <row r="14" spans="1:12" ht="12.75">
      <c r="A14" s="3127" t="s">
        <v>2133</v>
      </c>
      <c r="B14" s="3065">
        <v>30</v>
      </c>
      <c r="C14" s="3130">
        <v>6</v>
      </c>
      <c r="D14" s="3150">
        <v>4</v>
      </c>
      <c r="E14" s="139" t="s">
        <v>2134</v>
      </c>
      <c r="F14" s="2421"/>
      <c r="G14" s="2421"/>
      <c r="H14" s="2421"/>
      <c r="I14" s="1828"/>
    </row>
    <row r="15" spans="1:12" ht="12.75">
      <c r="A15" s="3127"/>
      <c r="B15" s="3065"/>
      <c r="C15" s="3131"/>
      <c r="D15" s="3150"/>
      <c r="E15" s="139" t="s">
        <v>2135</v>
      </c>
      <c r="F15" s="2421"/>
      <c r="G15" s="2421"/>
      <c r="H15" s="2421"/>
      <c r="I15" s="1828"/>
    </row>
    <row r="16" spans="1:12" ht="12.75">
      <c r="A16" s="3127"/>
      <c r="B16" s="3065"/>
      <c r="C16" s="3132"/>
      <c r="D16" s="3150"/>
      <c r="E16" s="139" t="s">
        <v>2136</v>
      </c>
      <c r="F16" s="2421"/>
      <c r="G16" s="2421"/>
      <c r="H16" s="2421"/>
      <c r="I16" s="1828"/>
    </row>
    <row r="17" spans="1:35" ht="15">
      <c r="A17" s="2422" t="s">
        <v>2137</v>
      </c>
      <c r="B17" s="64"/>
      <c r="C17" s="140">
        <f>SUM(C5:C16)</f>
        <v>6</v>
      </c>
      <c r="D17" s="140">
        <f>SUM(D5:D16)</f>
        <v>4</v>
      </c>
      <c r="E17" s="137"/>
      <c r="F17" s="137"/>
      <c r="G17" s="137"/>
      <c r="H17" s="137"/>
      <c r="I17" s="137"/>
      <c r="K17" s="2420"/>
      <c r="L17" s="2423" t="s">
        <v>2138</v>
      </c>
      <c r="M17" s="2423" t="s">
        <v>2139</v>
      </c>
    </row>
    <row r="18" spans="1:35" ht="15.75" thickBot="1">
      <c r="A18" s="2424" t="s">
        <v>2140</v>
      </c>
      <c r="B18" s="2425"/>
      <c r="C18" s="141">
        <f>ROUND(C17/SUM(C17:D17),2)</f>
        <v>0.6</v>
      </c>
      <c r="D18" s="141">
        <f>1-C18</f>
        <v>0.4</v>
      </c>
      <c r="E18" s="137"/>
      <c r="F18" s="137"/>
      <c r="G18" s="137"/>
      <c r="H18" s="137"/>
      <c r="I18" s="137"/>
      <c r="K18" s="2420" t="s">
        <v>2141</v>
      </c>
      <c r="L18" s="2420">
        <f>IF(C1="",'数据-汇总表'!E3,SUMIF(项目类型,C1,'数据-汇总表'!E17:E26)+SUMIF(项目类型,C1,'数据-汇总表'!I17:I26))</f>
        <v>424.2</v>
      </c>
      <c r="M18" s="2420">
        <f>IF(C1="",'数据-汇总表'!E3,SUMIF(项目类型,C1,'数据-汇总表'!E17:E26))</f>
        <v>424.2</v>
      </c>
    </row>
    <row r="19" spans="1:35" ht="15">
      <c r="A19" s="2426" t="s">
        <v>2142</v>
      </c>
      <c r="B19" s="2427" t="s">
        <v>2143</v>
      </c>
      <c r="C19" s="142">
        <f ca="1">SUMIF(INDIRECT("'"&amp;C4&amp;"'"&amp;"!A:A"),结果表!B19,INDIRECT("'"&amp;C4&amp;"'"&amp;"!B:B"))</f>
        <v>800</v>
      </c>
      <c r="D19" s="143">
        <f ca="1">SUMIF(INDIRECT("'"&amp;D4&amp;"'"&amp;"!A:A"),结果表!B19,INDIRECT("'"&amp;D4&amp;"'"&amp;"!B:B"))</f>
        <v>563</v>
      </c>
      <c r="E19" s="2426" t="s">
        <v>2144</v>
      </c>
      <c r="F19" s="2427" t="s">
        <v>2143</v>
      </c>
      <c r="G19" s="144">
        <f ca="1">ROUND(C19*$C$18+D19*$D$18,0)</f>
        <v>705</v>
      </c>
      <c r="H19" s="2428" t="s">
        <v>2145</v>
      </c>
      <c r="I19" s="137"/>
      <c r="K19" s="2420" t="s">
        <v>2146</v>
      </c>
      <c r="L19" s="2420">
        <f>IF(C1="",'数据-汇总表'!D3,SUMIF(项目类型,C1,'数据-汇总表'!D17:D26)+SUMIF(项目类型,C1,'数据-汇总表'!H17:H27))</f>
        <v>0</v>
      </c>
      <c r="M19" s="2420">
        <f>IF(C1="",'数据-汇总表'!D3,SUMIF(项目类型,C1,'数据-汇总表'!D17:D26))</f>
        <v>0</v>
      </c>
    </row>
    <row r="20" spans="1:35" ht="15">
      <c r="A20" s="2429"/>
      <c r="B20" s="1245" t="s">
        <v>2147</v>
      </c>
      <c r="C20" s="145">
        <f ca="1">SUMIF(INDIRECT("'"&amp;C4&amp;"'"&amp;"!A:A"),结果表!B20,INDIRECT("'"&amp;C4&amp;"'"&amp;"!B:B"))</f>
        <v>18866</v>
      </c>
      <c r="D20" s="146">
        <f ca="1">SUMIF(INDIRECT("'"&amp;D4&amp;"'"&amp;"!A:A"),结果表!B20,INDIRECT("'"&amp;D4&amp;"'"&amp;"!B:B"))</f>
        <v>13268</v>
      </c>
      <c r="E20" s="2429"/>
      <c r="F20" s="1245" t="s">
        <v>2147</v>
      </c>
      <c r="G20" s="147">
        <f ca="1">ROUND(C20*$C$18+D20*$D$18,0)</f>
        <v>16627</v>
      </c>
      <c r="H20" s="979" t="s">
        <v>2148</v>
      </c>
      <c r="I20" s="137"/>
    </row>
    <row r="21" spans="1:35" ht="15" customHeight="1" thickBot="1">
      <c r="A21" s="999"/>
      <c r="B21" s="2430" t="s">
        <v>2149</v>
      </c>
      <c r="C21" s="788" t="e">
        <f ca="1">ROUND(C19*10000/L19,0)</f>
        <v>#DIV/0!</v>
      </c>
      <c r="D21" s="789" t="e">
        <f ca="1">ROUND(D19*10000/L19,0)</f>
        <v>#DIV/0!</v>
      </c>
      <c r="E21" s="999"/>
      <c r="F21" s="2430" t="s">
        <v>2149</v>
      </c>
      <c r="G21" s="148" t="e">
        <f ca="1">ROUND(G19*10000/L19,0)</f>
        <v>#DIV/0!</v>
      </c>
      <c r="H21" s="2431" t="s">
        <v>2148</v>
      </c>
      <c r="I21" s="137"/>
    </row>
    <row r="22" spans="1:35" ht="15" thickBot="1">
      <c r="A22" s="2272" t="s">
        <v>2150</v>
      </c>
      <c r="B22" s="2432"/>
      <c r="C22" s="2433"/>
      <c r="D22" s="790">
        <f ca="1">IF(C19&lt;D19,D19/C19-1,C19/D19-1)</f>
        <v>0.42095914742451157</v>
      </c>
      <c r="E22" s="137"/>
      <c r="F22" s="137"/>
      <c r="G22" s="137"/>
      <c r="H22" s="137"/>
      <c r="I22" s="137"/>
    </row>
    <row r="23" spans="1:35" ht="13.5" thickBot="1">
      <c r="A23" s="2410"/>
      <c r="B23" s="2410"/>
      <c r="C23" s="2410"/>
      <c r="D23" s="2410"/>
      <c r="E23" s="137"/>
      <c r="F23" s="137"/>
      <c r="G23" s="137"/>
      <c r="H23" s="137"/>
      <c r="I23" s="137"/>
    </row>
    <row r="24" spans="1:35" ht="14.25">
      <c r="A24" s="3121" t="s">
        <v>2151</v>
      </c>
      <c r="B24" s="2427" t="s">
        <v>2143</v>
      </c>
      <c r="C24" s="144">
        <f>IF(B30=0,0,D30)</f>
        <v>0</v>
      </c>
      <c r="D24" s="2434"/>
      <c r="E24" s="137"/>
      <c r="F24" s="137"/>
      <c r="G24" s="137"/>
      <c r="H24" s="137"/>
      <c r="I24" s="137"/>
    </row>
    <row r="25" spans="1:35" ht="14.25">
      <c r="A25" s="3122"/>
      <c r="B25" s="1245" t="s">
        <v>2147</v>
      </c>
      <c r="C25" s="149">
        <f>IF(B30=0,0,C30)</f>
        <v>0</v>
      </c>
      <c r="D25" s="2435"/>
      <c r="E25" s="137"/>
      <c r="F25" s="137"/>
      <c r="G25" s="137"/>
      <c r="H25" s="137"/>
      <c r="I25" s="137"/>
    </row>
    <row r="26" spans="1:35" ht="13.5" customHeight="1">
      <c r="A26" s="2436" t="s">
        <v>2152</v>
      </c>
      <c r="B26" s="150" t="s">
        <v>2153</v>
      </c>
      <c r="C26" s="150" t="s">
        <v>2154</v>
      </c>
      <c r="D26" s="151" t="s">
        <v>2155</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2156</v>
      </c>
      <c r="B30" s="150"/>
      <c r="C30" s="150"/>
      <c r="D30" s="150"/>
      <c r="E30" s="2909" t="s">
        <v>3025</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2157</v>
      </c>
      <c r="B32" s="2440"/>
      <c r="C32" s="152">
        <f ca="1">IF(D32="总价",G19-C24,G20-C25)</f>
        <v>705</v>
      </c>
      <c r="D32" s="2441" t="s">
        <v>2158</v>
      </c>
      <c r="E32" s="137"/>
      <c r="F32" s="137"/>
      <c r="G32" s="137"/>
      <c r="H32" s="137"/>
      <c r="I32" s="137"/>
    </row>
    <row r="33" spans="1:15" ht="15">
      <c r="A33" s="956" t="s">
        <v>2159</v>
      </c>
      <c r="B33" s="2442"/>
      <c r="C33" s="2443"/>
      <c r="D33" s="2444"/>
      <c r="E33" s="2445" t="s">
        <v>2160</v>
      </c>
      <c r="F33" s="2446" t="str">
        <f>IF(D32="楼面单价","取值（单价）","取值（总价）")</f>
        <v>取值（总价）</v>
      </c>
      <c r="G33" s="137"/>
      <c r="H33" s="137"/>
      <c r="I33" s="137"/>
    </row>
    <row r="34" spans="1:15" ht="15">
      <c r="A34" s="2447"/>
      <c r="B34" s="2448" t="s">
        <v>2161</v>
      </c>
      <c r="C34" s="156" t="e">
        <f ca="1">IF(C33="自定义",F34,C32-C35)</f>
        <v>#REF!</v>
      </c>
      <c r="D34" s="1054" t="e">
        <f ca="1">IF(C33="自定义",ROUND(C34/C32,3),IF(C33="收益比率",SUMIF(INDIRECT("'"&amp;D33&amp;"'"&amp;"!b:b"),"土地收益比率",INDIRECT("'"&amp;D33&amp;"'"&amp;"!c:c")),SUMIF(INDIRECT("'"&amp;D33&amp;"'"&amp;"!b:b"),"土地成本比率",INDIRECT("'"&amp;D33&amp;"'"&amp;"!c:c"))))</f>
        <v>#REF!</v>
      </c>
      <c r="E34" s="2449" t="s">
        <v>2162</v>
      </c>
      <c r="F34" s="1734"/>
      <c r="G34" s="137"/>
      <c r="H34" s="137"/>
      <c r="I34" s="137"/>
    </row>
    <row r="35" spans="1:15" ht="15.75" thickBot="1">
      <c r="A35" s="2450"/>
      <c r="B35" s="2451" t="s">
        <v>2163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2164</v>
      </c>
      <c r="F35" s="162"/>
      <c r="G35" s="137"/>
      <c r="H35" s="137"/>
      <c r="I35" s="137"/>
    </row>
    <row r="36" spans="1:15" ht="15.75" thickBot="1">
      <c r="A36" s="3139" t="s">
        <v>2165</v>
      </c>
      <c r="B36" s="2453" t="s">
        <v>2166</v>
      </c>
      <c r="C36" s="153"/>
      <c r="D36" s="2454"/>
      <c r="E36" s="2455"/>
      <c r="F36" s="2456"/>
      <c r="G36" s="137"/>
      <c r="H36" s="137"/>
      <c r="I36" s="137"/>
    </row>
    <row r="37" spans="1:15" ht="15.75" thickBot="1">
      <c r="A37" s="3140"/>
      <c r="B37" s="2258" t="s">
        <v>2167</v>
      </c>
      <c r="C37" s="155"/>
      <c r="D37" s="1390"/>
      <c r="E37" s="1390"/>
      <c r="F37" s="2456"/>
      <c r="G37" s="137"/>
      <c r="H37" s="137"/>
      <c r="I37" s="137"/>
    </row>
    <row r="38" spans="1:15" ht="15.75" thickBot="1">
      <c r="A38" s="3141"/>
      <c r="B38" s="2457" t="s">
        <v>2168</v>
      </c>
      <c r="C38" s="726"/>
      <c r="D38" s="2458" t="s">
        <v>2169</v>
      </c>
      <c r="E38" s="1390"/>
      <c r="F38" s="2456"/>
      <c r="G38" s="137"/>
      <c r="H38" s="137"/>
      <c r="I38" s="137"/>
    </row>
    <row r="39" spans="1:15" ht="15">
      <c r="A39" s="2429" t="s">
        <v>2170</v>
      </c>
      <c r="B39" s="2459" t="s">
        <v>2171</v>
      </c>
      <c r="C39" s="2460" t="s">
        <v>2172</v>
      </c>
      <c r="D39" s="2460" t="s">
        <v>2173</v>
      </c>
      <c r="E39" s="2461" t="s">
        <v>2174</v>
      </c>
      <c r="F39" s="2456"/>
      <c r="G39" s="137"/>
      <c r="H39" s="137"/>
      <c r="I39" s="137"/>
    </row>
    <row r="40" spans="1:15" ht="14.25">
      <c r="A40" s="2462" t="s">
        <v>2175</v>
      </c>
      <c r="B40" s="157"/>
      <c r="C40" s="158"/>
      <c r="D40" s="158"/>
      <c r="E40" s="159"/>
      <c r="F40" s="2456"/>
      <c r="G40" s="137"/>
      <c r="H40" s="137"/>
      <c r="I40" s="137"/>
    </row>
    <row r="41" spans="1:15" ht="14.25">
      <c r="A41" s="2462" t="s">
        <v>2176</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6"/>
      <c r="B43" s="2156"/>
      <c r="C43" s="2156"/>
      <c r="D43" s="2156"/>
      <c r="E43" s="2156"/>
      <c r="F43" s="2464"/>
      <c r="G43" s="2464"/>
      <c r="H43" s="2464"/>
      <c r="I43" s="2465"/>
    </row>
    <row r="44" spans="1:15" ht="18.75">
      <c r="A44" s="2466" t="s">
        <v>2177</v>
      </c>
      <c r="B44" s="2467"/>
      <c r="C44" s="2467"/>
      <c r="D44" s="2468"/>
      <c r="E44" s="2468"/>
      <c r="F44" s="2469"/>
      <c r="G44" s="2469"/>
      <c r="H44" s="2469"/>
      <c r="I44" s="2469"/>
      <c r="J44" s="2470" t="s">
        <v>2178</v>
      </c>
      <c r="K44" s="2471"/>
      <c r="L44" s="2471"/>
      <c r="M44" s="2471"/>
      <c r="N44" s="2471"/>
      <c r="O44" s="2471"/>
    </row>
    <row r="45" spans="1:15" ht="14.25" customHeight="1" thickBot="1">
      <c r="A45" s="3118" t="s">
        <v>2179</v>
      </c>
      <c r="B45" s="3119"/>
      <c r="C45" s="3120"/>
      <c r="D45" s="163">
        <f ca="1">ROUND(H101*F45,0)</f>
        <v>705</v>
      </c>
      <c r="E45" s="164" t="s">
        <v>2180</v>
      </c>
      <c r="F45" s="165">
        <v>1</v>
      </c>
      <c r="G45" s="166" t="s">
        <v>2181</v>
      </c>
      <c r="H45" s="137"/>
      <c r="I45" s="137"/>
      <c r="J45" s="3178" t="s">
        <v>2182</v>
      </c>
      <c r="K45" s="3178"/>
      <c r="L45" s="3178"/>
      <c r="M45" s="3178"/>
      <c r="N45" s="3178"/>
      <c r="O45" s="3178"/>
    </row>
    <row r="46" spans="1:15" ht="14.25" customHeight="1">
      <c r="A46" s="3115" t="s">
        <v>2183</v>
      </c>
      <c r="B46" s="3116"/>
      <c r="C46" s="3116"/>
      <c r="D46" s="3116"/>
      <c r="E46" s="3116"/>
      <c r="F46" s="3116"/>
      <c r="G46" s="3117"/>
      <c r="H46" s="2472"/>
      <c r="I46" s="167"/>
      <c r="J46" s="1806">
        <v>1</v>
      </c>
      <c r="K46" s="3178" t="s">
        <v>2184</v>
      </c>
      <c r="L46" s="3178"/>
      <c r="M46" s="3198"/>
      <c r="N46" s="3198"/>
      <c r="O46" s="3198"/>
    </row>
    <row r="47" spans="1:15" ht="12" customHeight="1">
      <c r="A47" s="168" t="s">
        <v>2185</v>
      </c>
      <c r="B47" s="169"/>
      <c r="C47" s="170"/>
      <c r="D47" s="171" t="s">
        <v>2186</v>
      </c>
      <c r="E47" s="24" t="s">
        <v>2187</v>
      </c>
      <c r="F47" s="172" t="s">
        <v>2188</v>
      </c>
      <c r="G47" s="173" t="s">
        <v>2189</v>
      </c>
      <c r="H47" s="2472"/>
      <c r="I47" s="167"/>
      <c r="J47" s="1806">
        <v>2</v>
      </c>
      <c r="K47" s="3178" t="s">
        <v>2190</v>
      </c>
      <c r="L47" s="3178"/>
      <c r="M47" s="3199">
        <f>'数据-取费表'!B2</f>
        <v>43676</v>
      </c>
      <c r="N47" s="3199"/>
      <c r="O47" s="3199"/>
    </row>
    <row r="48" spans="1:15" ht="25.5">
      <c r="A48" s="3146" t="s">
        <v>2191</v>
      </c>
      <c r="B48" s="3129"/>
      <c r="C48" s="3129"/>
      <c r="D48" s="139">
        <f>IF(H48="情况1",0,IF(H48="情况2",D52,IF(H48="情况3",D53,IF(H48="情况4",D54))))</f>
        <v>0</v>
      </c>
      <c r="E48" s="1795" t="str">
        <f>IF(H48="情况4","(销售额-原购置价)×税（费）率","销售额×税（费）率")</f>
        <v>销售额×税（费）率</v>
      </c>
      <c r="F48" s="174" t="str">
        <f>IF(H48="情况1","免征",'数据-取费表'!B41)</f>
        <v>免征</v>
      </c>
      <c r="G48" s="2473" t="s">
        <v>2192</v>
      </c>
      <c r="H48" s="2474" t="s">
        <v>2193</v>
      </c>
      <c r="I48" s="2472"/>
      <c r="J48" s="1806">
        <v>3</v>
      </c>
      <c r="K48" s="3178" t="s">
        <v>2194</v>
      </c>
      <c r="L48" s="3178"/>
      <c r="M48" s="3200">
        <f ca="1">H101</f>
        <v>705</v>
      </c>
      <c r="N48" s="3200"/>
      <c r="O48" s="3200"/>
    </row>
    <row r="49" spans="1:35" ht="25.5" customHeight="1">
      <c r="A49" s="175" t="s">
        <v>2195</v>
      </c>
      <c r="B49" s="3114" t="s">
        <v>2196</v>
      </c>
      <c r="C49" s="3114"/>
      <c r="D49" s="176">
        <v>0</v>
      </c>
      <c r="E49" s="23" t="s">
        <v>2197</v>
      </c>
      <c r="F49" s="28" t="s">
        <v>34</v>
      </c>
      <c r="G49" s="3184"/>
      <c r="H49" s="137"/>
      <c r="I49" s="2475"/>
      <c r="J49" s="1806">
        <v>4</v>
      </c>
      <c r="K49" s="3178" t="str">
        <f>IF(项目基本情况!E8="房地产抵押价值","房地产抵押价值","抵押担保权已注销时的房地产抵押价值")</f>
        <v>抵押担保权已注销时的房地产抵押价值</v>
      </c>
      <c r="L49" s="3178"/>
      <c r="M49" s="3200" t="str">
        <f>IF(项目基本情况!E8="房地产抵押价值",H107,H109)</f>
        <v>——</v>
      </c>
      <c r="N49" s="3200"/>
      <c r="O49" s="3200"/>
    </row>
    <row r="50" spans="1:35" ht="25.5" customHeight="1">
      <c r="A50" s="177"/>
      <c r="B50" s="3114" t="s">
        <v>2198</v>
      </c>
      <c r="C50" s="3114"/>
      <c r="D50" s="178"/>
      <c r="E50" s="31"/>
      <c r="F50" s="179"/>
      <c r="G50" s="3185"/>
      <c r="H50" s="137"/>
      <c r="I50" s="2475"/>
      <c r="J50" s="3178" t="s">
        <v>2199</v>
      </c>
      <c r="K50" s="3178"/>
      <c r="L50" s="3178"/>
      <c r="M50" s="3178"/>
      <c r="N50" s="3178"/>
      <c r="O50" s="3178"/>
    </row>
    <row r="51" spans="1:35" ht="12" customHeight="1">
      <c r="A51" s="180"/>
      <c r="B51" s="3114" t="s">
        <v>2200</v>
      </c>
      <c r="C51" s="3114"/>
      <c r="D51" s="181"/>
      <c r="E51" s="30"/>
      <c r="F51" s="179"/>
      <c r="G51" s="3186"/>
      <c r="H51" s="137"/>
      <c r="I51" s="2475"/>
      <c r="J51" s="2476" t="s">
        <v>2201</v>
      </c>
      <c r="K51" s="3178" t="s">
        <v>2202</v>
      </c>
      <c r="L51" s="3178"/>
      <c r="M51" s="2476" t="s">
        <v>2203</v>
      </c>
      <c r="N51" s="2476" t="s">
        <v>2204</v>
      </c>
      <c r="O51" s="2476" t="s">
        <v>2205</v>
      </c>
    </row>
    <row r="52" spans="1:35" ht="24" customHeight="1">
      <c r="A52" s="182" t="s">
        <v>2206</v>
      </c>
      <c r="B52" s="3114" t="s">
        <v>2207</v>
      </c>
      <c r="C52" s="3114"/>
      <c r="D52" s="181">
        <f ca="1">ROUND(D45*'数据-取费表'!B41/(1+'数据-取费表'!C42),0)</f>
        <v>37</v>
      </c>
      <c r="E52" s="11" t="s">
        <v>2208</v>
      </c>
      <c r="F52" s="183">
        <f>'数据-取费表'!B41</f>
        <v>5.5000000000000007E-2</v>
      </c>
      <c r="G52" s="2477"/>
      <c r="H52" s="137"/>
      <c r="I52" s="2475"/>
      <c r="J52" s="1806">
        <v>1</v>
      </c>
      <c r="K52" s="3179" t="s">
        <v>2209</v>
      </c>
      <c r="L52" s="3179"/>
      <c r="M52" s="1749">
        <f>D48</f>
        <v>0</v>
      </c>
      <c r="N52" s="1806" t="str">
        <f>E48</f>
        <v>销售额×税（费）率</v>
      </c>
      <c r="O52" s="1750" t="str">
        <f>F48</f>
        <v>免征</v>
      </c>
    </row>
    <row r="53" spans="1:35" ht="12" customHeight="1">
      <c r="A53" s="182" t="s">
        <v>2210</v>
      </c>
      <c r="B53" s="3137" t="s">
        <v>2211</v>
      </c>
      <c r="C53" s="3138"/>
      <c r="D53" s="181">
        <f ca="1">ROUND(D45*'数据-取费表'!B41/(1+'数据-取费表'!C42),0)</f>
        <v>37</v>
      </c>
      <c r="E53" s="11" t="s">
        <v>2208</v>
      </c>
      <c r="F53" s="183">
        <f>'数据-取费表'!B41</f>
        <v>5.5000000000000007E-2</v>
      </c>
      <c r="G53" s="2477"/>
      <c r="H53" s="137"/>
      <c r="I53" s="2475"/>
      <c r="J53" s="1806">
        <v>2</v>
      </c>
      <c r="K53" s="3179" t="s">
        <v>2212</v>
      </c>
      <c r="L53" s="3179"/>
      <c r="M53" s="1749">
        <f t="shared" ref="M53:O54" ca="1" si="0">D55</f>
        <v>0</v>
      </c>
      <c r="N53" s="1806" t="str">
        <f t="shared" si="0"/>
        <v>销售额×税（费）率</v>
      </c>
      <c r="O53" s="1750">
        <f t="shared" si="0"/>
        <v>5.0000000000000001E-4</v>
      </c>
    </row>
    <row r="54" spans="1:35" ht="12" customHeight="1">
      <c r="A54" s="182" t="s">
        <v>2213</v>
      </c>
      <c r="B54" s="3137" t="s">
        <v>2214</v>
      </c>
      <c r="C54" s="3138"/>
      <c r="D54" s="181">
        <f ca="1">C68</f>
        <v>37</v>
      </c>
      <c r="E54" s="30" t="s">
        <v>2215</v>
      </c>
      <c r="F54" s="183">
        <f>'数据-取费表'!B41</f>
        <v>5.5000000000000007E-2</v>
      </c>
      <c r="G54" s="2477"/>
      <c r="H54" s="2478"/>
      <c r="I54" s="2475"/>
      <c r="J54" s="1806">
        <v>3</v>
      </c>
      <c r="K54" s="3179" t="s">
        <v>2216</v>
      </c>
      <c r="L54" s="3179"/>
      <c r="M54" s="1749">
        <f t="shared" ca="1" si="0"/>
        <v>400</v>
      </c>
      <c r="N54" s="1806" t="str">
        <f t="shared" si="0"/>
        <v>增值额×税（费）率</v>
      </c>
      <c r="O54" s="1751" t="str">
        <f t="shared" si="0"/>
        <v>——</v>
      </c>
    </row>
    <row r="55" spans="1:35" ht="24" customHeight="1">
      <c r="A55" s="3128" t="s">
        <v>2217</v>
      </c>
      <c r="B55" s="3129"/>
      <c r="C55" s="3129"/>
      <c r="D55" s="184">
        <f ca="1">IF(H55="个人住宅",0,ROUND(D45*I55,0))</f>
        <v>0</v>
      </c>
      <c r="E55" s="11" t="s">
        <v>2218</v>
      </c>
      <c r="F55" s="183">
        <f>IF(H55="正常",I55,"免征")</f>
        <v>5.0000000000000001E-4</v>
      </c>
      <c r="G55" s="2477"/>
      <c r="H55" s="2474" t="s">
        <v>2219</v>
      </c>
      <c r="I55" s="185">
        <f>'数据-取费表'!B49</f>
        <v>5.0000000000000001E-4</v>
      </c>
      <c r="J55" s="1806" t="str">
        <f>IF(H59="非个人房产","",4)</f>
        <v/>
      </c>
      <c r="K55" s="3179" t="str">
        <f>IF(H59="非个人房产","——","个人所得税")</f>
        <v>——</v>
      </c>
      <c r="L55" s="3179"/>
      <c r="M55" s="1752" t="str">
        <f>D59</f>
        <v>——</v>
      </c>
      <c r="N55" s="1804" t="str">
        <f>E59</f>
        <v>——</v>
      </c>
      <c r="O55" s="1753" t="str">
        <f>F59</f>
        <v>——</v>
      </c>
    </row>
    <row r="56" spans="1:35" ht="24.75">
      <c r="A56" s="3128" t="s">
        <v>2220</v>
      </c>
      <c r="B56" s="3129"/>
      <c r="C56" s="3129"/>
      <c r="D56" s="184">
        <f ca="1">IF(H56="个人住宅",D57,D58)</f>
        <v>400</v>
      </c>
      <c r="E56" s="11" t="s">
        <v>2221</v>
      </c>
      <c r="F56" s="183" t="str">
        <f>IF(H56="正常",F58,"免征")</f>
        <v>——</v>
      </c>
      <c r="G56" s="2479" t="s">
        <v>2222</v>
      </c>
      <c r="H56" s="2480" t="s">
        <v>2219</v>
      </c>
      <c r="I56" s="2481"/>
      <c r="J56" s="1806" t="str">
        <f>IF(项目基本情况!K6="上海银行",IF(J55="",4,J55+1),"")</f>
        <v/>
      </c>
      <c r="K56" s="3202" t="str">
        <f>IF(项目基本情况!K6="上海银行","其他处置费用","")</f>
        <v/>
      </c>
      <c r="L56" s="3203"/>
      <c r="M56" s="1749" t="str">
        <f>IF(项目基本情况!K6="上海银行",M69,"")</f>
        <v/>
      </c>
      <c r="N56" s="3205" t="str">
        <f>IF(项目基本情况!K6="上海银行","包含处置中涉及的律师、诉讼、拍卖、评估等费用","")</f>
        <v/>
      </c>
      <c r="O56" s="3206"/>
    </row>
    <row r="57" spans="1:35" ht="12.75">
      <c r="A57" s="182" t="s">
        <v>2195</v>
      </c>
      <c r="B57" s="3144" t="s">
        <v>2223</v>
      </c>
      <c r="C57" s="3153"/>
      <c r="D57" s="186">
        <v>0</v>
      </c>
      <c r="E57" s="23" t="s">
        <v>2197</v>
      </c>
      <c r="F57" s="154"/>
      <c r="G57" s="2477"/>
      <c r="H57" s="2481"/>
      <c r="I57" s="2481"/>
      <c r="J57" s="3179">
        <f>IF(AND(J55="",J56=""),4,IF(项目基本情况!K6="上海银行",结果表!J56+1,结果表!J55+1))</f>
        <v>4</v>
      </c>
      <c r="K57" s="3179" t="s">
        <v>2224</v>
      </c>
      <c r="L57" s="2482" t="s">
        <v>2225</v>
      </c>
      <c r="M57" s="1754"/>
      <c r="N57" s="1755">
        <f ca="1">SUMIF(M52:M56,"&lt;9e307")</f>
        <v>400</v>
      </c>
      <c r="O57" s="2483"/>
      <c r="P57" s="1748" t="e">
        <f ca="1">N57/M49</f>
        <v>#VALUE!</v>
      </c>
    </row>
    <row r="58" spans="1:35" ht="24.75">
      <c r="A58" s="182" t="s">
        <v>2206</v>
      </c>
      <c r="B58" s="3144" t="s">
        <v>2226</v>
      </c>
      <c r="C58" s="3145"/>
      <c r="D58" s="184">
        <f ca="1">IF(H58="转让取得",C81,C97)</f>
        <v>400</v>
      </c>
      <c r="E58" s="11" t="s">
        <v>2221</v>
      </c>
      <c r="F58" s="24" t="s">
        <v>34</v>
      </c>
      <c r="G58" s="2477"/>
      <c r="H58" s="2480" t="s">
        <v>2227</v>
      </c>
      <c r="I58" s="2481"/>
      <c r="J58" s="3179"/>
      <c r="K58" s="3179"/>
      <c r="L58" s="2482" t="s">
        <v>2228</v>
      </c>
      <c r="M58" s="1756"/>
      <c r="N58" s="2484" t="str">
        <f ca="1">NUMBERSTRING(INT(N57*10000),2)&amp;"元整"</f>
        <v>肆佰万元整</v>
      </c>
      <c r="O58" s="2485"/>
    </row>
    <row r="59" spans="1:35" ht="24.75" thickBot="1">
      <c r="A59" s="3182" t="s">
        <v>2229</v>
      </c>
      <c r="B59" s="3183"/>
      <c r="C59" s="3183"/>
      <c r="D59" s="187" t="str">
        <f>IF(H59="非个人房产","——",IF(H59="个人住宅",0,ROUND(D45*I59,0)))</f>
        <v>——</v>
      </c>
      <c r="E59" s="188" t="str">
        <f>IF(H59="非个人房产","——","销售额×税（费）率")</f>
        <v>——</v>
      </c>
      <c r="F59" s="189" t="str">
        <f>IF(H59="非个人房产","——",IF(H59="个人住宅","免征",I59))</f>
        <v>——</v>
      </c>
      <c r="G59" s="2486" t="s">
        <v>2222</v>
      </c>
      <c r="H59" s="2480" t="s">
        <v>2230</v>
      </c>
      <c r="I59" s="190">
        <v>0.01</v>
      </c>
      <c r="J59" s="3180">
        <f>J57+1</f>
        <v>5</v>
      </c>
      <c r="K59" s="3179" t="s">
        <v>2231</v>
      </c>
      <c r="L59" s="1806" t="s">
        <v>2225</v>
      </c>
      <c r="M59" s="1757"/>
      <c r="N59" s="1758" t="e">
        <f ca="1">M49-N57</f>
        <v>#VALUE!</v>
      </c>
      <c r="O59" s="2487"/>
    </row>
    <row r="60" spans="1:35" ht="12" customHeight="1">
      <c r="A60" s="2488"/>
      <c r="B60" s="2410"/>
      <c r="C60" s="2410"/>
      <c r="D60" s="2410"/>
      <c r="E60" s="2157"/>
      <c r="F60" s="2481"/>
      <c r="G60" s="2481"/>
      <c r="H60" s="2489"/>
      <c r="I60" s="137"/>
      <c r="J60" s="3181"/>
      <c r="K60" s="3179"/>
      <c r="L60" s="2482" t="s">
        <v>2228</v>
      </c>
      <c r="M60" s="1756"/>
      <c r="N60" s="2484" t="e">
        <f ca="1">NUMBERSTRING(INT(N59*10000),2)&amp;"元整"</f>
        <v>#VALUE!</v>
      </c>
      <c r="O60" s="2485"/>
    </row>
    <row r="61" spans="1:35" ht="13.5" thickBot="1">
      <c r="A61" s="3126" t="s">
        <v>2232</v>
      </c>
      <c r="B61" s="3126"/>
      <c r="C61" s="3126"/>
      <c r="D61" s="3126"/>
      <c r="E61" s="3126"/>
      <c r="F61" s="2481"/>
      <c r="G61" s="2481"/>
      <c r="H61" s="2489"/>
      <c r="I61" s="137"/>
      <c r="J61" s="1806">
        <f>J59+1</f>
        <v>6</v>
      </c>
      <c r="K61" s="3179" t="s">
        <v>2233</v>
      </c>
      <c r="L61" s="3179"/>
      <c r="M61" s="1759"/>
      <c r="N61" s="1760" t="e">
        <f ca="1">ROUND(N59*10000/'数据-汇总表'!E3,0)</f>
        <v>#VALUE!</v>
      </c>
      <c r="O61" s="2490"/>
    </row>
    <row r="62" spans="1:35" ht="12.75">
      <c r="A62" s="3142" t="s">
        <v>2234</v>
      </c>
      <c r="B62" s="3143"/>
      <c r="C62" s="1798"/>
      <c r="D62" s="1798" t="s">
        <v>2235</v>
      </c>
      <c r="E62" s="191" t="s">
        <v>2236</v>
      </c>
      <c r="F62" s="2481"/>
      <c r="G62" s="2481"/>
      <c r="H62" s="2489"/>
      <c r="I62" s="137"/>
    </row>
    <row r="63" spans="1:35" ht="12.75">
      <c r="A63" s="202" t="s">
        <v>775</v>
      </c>
      <c r="B63" s="192" t="s">
        <v>2237</v>
      </c>
      <c r="C63" s="193">
        <f ca="1">ROUND((C64+C65)/(1+'数据-取费表'!C42),0)</f>
        <v>671</v>
      </c>
      <c r="D63" s="194"/>
      <c r="E63" s="195"/>
      <c r="F63" s="2481"/>
      <c r="G63" s="2481"/>
      <c r="H63" s="2489"/>
      <c r="I63" s="137"/>
      <c r="J63" s="3204" t="s">
        <v>2238</v>
      </c>
      <c r="K63" s="2491" t="s">
        <v>2239</v>
      </c>
      <c r="L63" s="1747" t="e">
        <f>IF(M49&gt;10000,M49*0.5%,IF(AND(M49&gt;1000,M49&lt;=10000),M49*1%,IF(AND(M49&gt;100,M49&lt;=1000),M49*3%,IF(AND(M49&gt;10,M49&lt;=100),M49*5%,M49*8%))))</f>
        <v>#VALUE!</v>
      </c>
      <c r="M63" s="24" t="e">
        <f>ROUND(L63,1)</f>
        <v>#VALUE!</v>
      </c>
      <c r="Z63" s="2415"/>
      <c r="AI63" s="2416"/>
    </row>
    <row r="64" spans="1:35" ht="14.25" customHeight="1">
      <c r="A64" s="196" t="s">
        <v>770</v>
      </c>
      <c r="B64" s="197" t="s">
        <v>2240</v>
      </c>
      <c r="C64" s="198">
        <f ca="1">D45</f>
        <v>705</v>
      </c>
      <c r="D64" s="199" t="s">
        <v>32</v>
      </c>
      <c r="E64" s="200"/>
      <c r="F64" s="2481"/>
      <c r="G64" s="2481"/>
      <c r="H64" s="2489"/>
      <c r="I64" s="137"/>
      <c r="J64" s="3204"/>
      <c r="K64" s="2491" t="s">
        <v>2241</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2242</v>
      </c>
      <c r="Z64" s="2415"/>
      <c r="AI64" s="2416"/>
    </row>
    <row r="65" spans="1:35" ht="14.25" customHeight="1">
      <c r="A65" s="196" t="s">
        <v>771</v>
      </c>
      <c r="B65" s="197" t="s">
        <v>2243</v>
      </c>
      <c r="C65" s="201"/>
      <c r="D65" s="199"/>
      <c r="E65" s="200"/>
      <c r="F65" s="2481"/>
      <c r="G65" s="2481"/>
      <c r="H65" s="2489"/>
      <c r="I65" s="137"/>
      <c r="J65" s="3204"/>
      <c r="K65" s="2491" t="s">
        <v>2244</v>
      </c>
      <c r="L65" s="1747" t="e">
        <f>IF(M49&gt;1000,M49*0.1%,IF(AND(M49&gt;500,M49&lt;=1000),M49*0.5%,IF(AND(M49&gt;50,M49&lt;=500),M49*1%,IF(AND(M49&gt;1,M49&lt;=50),M49*1.5%))))</f>
        <v>#VALUE!</v>
      </c>
      <c r="M65" s="24" t="e">
        <f t="shared" si="1"/>
        <v>#VALUE!</v>
      </c>
      <c r="N65" s="137" t="s">
        <v>2242</v>
      </c>
      <c r="Z65" s="2415"/>
      <c r="AI65" s="2416"/>
    </row>
    <row r="66" spans="1:35" ht="14.25" customHeight="1">
      <c r="A66" s="202" t="s">
        <v>772</v>
      </c>
      <c r="B66" s="203" t="s">
        <v>2245</v>
      </c>
      <c r="C66" s="204"/>
      <c r="D66" s="205" t="s">
        <v>32</v>
      </c>
      <c r="E66" s="1770" t="s">
        <v>1367</v>
      </c>
      <c r="F66" s="2481"/>
      <c r="G66" s="2481"/>
      <c r="H66" s="2489"/>
      <c r="I66" s="137"/>
      <c r="J66" s="3204"/>
      <c r="K66" s="2491" t="s">
        <v>2246</v>
      </c>
      <c r="L66" s="1747" t="e">
        <f>M49*0.5%</f>
        <v>#VALUE!</v>
      </c>
      <c r="M66" s="24" t="e">
        <f>IF(L66&gt;0.5,0.5,ROUND(L66,0))</f>
        <v>#VALUE!</v>
      </c>
      <c r="N66" s="137" t="s">
        <v>2247</v>
      </c>
      <c r="Z66" s="2415"/>
      <c r="AI66" s="2416"/>
    </row>
    <row r="67" spans="1:35" ht="14.25" customHeight="1">
      <c r="A67" s="202" t="s">
        <v>773</v>
      </c>
      <c r="B67" s="203" t="s">
        <v>2248</v>
      </c>
      <c r="C67" s="206">
        <f ca="1">C63-C66</f>
        <v>671</v>
      </c>
      <c r="D67" s="199" t="s">
        <v>32</v>
      </c>
      <c r="E67" s="200"/>
      <c r="F67" s="2481"/>
      <c r="G67" s="2481"/>
      <c r="H67" s="2489"/>
      <c r="I67" s="137"/>
      <c r="J67" s="3204"/>
      <c r="K67" s="2491"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7" t="s">
        <v>774</v>
      </c>
      <c r="B68" s="208" t="s">
        <v>2250</v>
      </c>
      <c r="C68" s="209">
        <f ca="1">IF(C67&lt;=0,0,ROUND(C67*D68,0))</f>
        <v>37</v>
      </c>
      <c r="D68" s="210">
        <f>'数据-取费表'!B41</f>
        <v>5.5000000000000007E-2</v>
      </c>
      <c r="E68" s="211"/>
      <c r="F68" s="2481"/>
      <c r="G68" s="2481"/>
      <c r="H68" s="2489"/>
      <c r="I68" s="137"/>
      <c r="J68" s="3204"/>
      <c r="K68" s="2491" t="s">
        <v>2251</v>
      </c>
      <c r="L68" s="1747"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7"/>
      <c r="G69" s="2157"/>
      <c r="H69" s="2156"/>
      <c r="I69" s="2410"/>
      <c r="J69" s="3204"/>
      <c r="K69" s="2491" t="s">
        <v>2252</v>
      </c>
      <c r="L69" s="2497"/>
      <c r="M69" s="24" t="e">
        <f>ROUND(SUM(M63:M68),0)</f>
        <v>#VALUE!</v>
      </c>
      <c r="N69" s="1748" t="e">
        <f>M69/M49</f>
        <v>#VALUE!</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63" t="s">
        <v>2253</v>
      </c>
      <c r="B70" s="3164"/>
      <c r="C70" s="3164"/>
      <c r="D70" s="3164"/>
      <c r="E70" s="3164"/>
      <c r="F70" s="3164"/>
      <c r="G70" s="3164"/>
      <c r="H70" s="316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2" t="s">
        <v>2234</v>
      </c>
      <c r="B71" s="3143"/>
      <c r="C71" s="1798"/>
      <c r="D71" s="1798" t="s">
        <v>2235</v>
      </c>
      <c r="E71" s="212" t="s">
        <v>2236</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2254</v>
      </c>
      <c r="C72" s="206">
        <f ca="1">ROUND(D45/(1+'数据-取费表'!C42),0)</f>
        <v>671</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2255</v>
      </c>
      <c r="C73" s="206">
        <f ca="1">C74+C78</f>
        <v>3</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2256</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2257</v>
      </c>
      <c r="C75" s="217"/>
      <c r="D75" s="199" t="s">
        <v>32</v>
      </c>
      <c r="E75" s="218" t="s">
        <v>2258</v>
      </c>
      <c r="F75" s="2503" t="s">
        <v>2259</v>
      </c>
      <c r="G75" s="218" t="s">
        <v>2260</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2261</v>
      </c>
      <c r="C76" s="199">
        <f>IF(F75="购房发票",ROUND(C75*H75*D76,0),0)</f>
        <v>0</v>
      </c>
      <c r="D76" s="221">
        <v>0.05</v>
      </c>
      <c r="E76" s="3137" t="s">
        <v>2262</v>
      </c>
      <c r="F76" s="3114"/>
      <c r="G76" s="3114"/>
      <c r="H76" s="316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2263</v>
      </c>
      <c r="C77" s="199">
        <f>ROUND(IF(G77="个人住宅",0,IF(G77="2016年5月1日前购买",C75*D77,C75*D77/(1+'数据-取费表'!C42))),0)</f>
        <v>0</v>
      </c>
      <c r="D77" s="222">
        <f>'数据-取费表'!B48+'数据-取费表'!B49</f>
        <v>4.0500000000000001E-2</v>
      </c>
      <c r="E77" s="15" t="s">
        <v>2264</v>
      </c>
      <c r="F77" s="223"/>
      <c r="G77" s="2505" t="s">
        <v>2265</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2266</v>
      </c>
      <c r="C78" s="224">
        <f ca="1">ROUND(D45*D78/(1+'数据-取费表'!C42),0)</f>
        <v>3</v>
      </c>
      <c r="D78" s="225">
        <f>'数据-取费表'!B43</f>
        <v>5.000000000000001E-3</v>
      </c>
      <c r="E78" s="3123" t="s">
        <v>2267</v>
      </c>
      <c r="F78" s="3124"/>
      <c r="G78" s="3124"/>
      <c r="H78" s="313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2268</v>
      </c>
      <c r="C79" s="206">
        <f ca="1">C72-C73</f>
        <v>668</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2269</v>
      </c>
      <c r="C80" s="226">
        <f ca="1">IF(C79&lt;=0,0,C79/C73)</f>
        <v>222.66666666666666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2270</v>
      </c>
      <c r="C81" s="227">
        <f ca="1">ROUND(IF(C79&lt;=0,0,IF(C80&gt;=200%,C79*60%-C73*35%,IF(C80&gt;=100%,C79*50%-C73*15%,IF(C80&gt;=50%,C79*40%-C73*5%,IF(C80&lt;50%,C79*30%,0))))),0)</f>
        <v>400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63" t="s">
        <v>2271</v>
      </c>
      <c r="B83" s="3164"/>
      <c r="C83" s="3164"/>
      <c r="D83" s="3164"/>
      <c r="E83" s="3164"/>
      <c r="F83" s="3164"/>
      <c r="G83" s="3164"/>
      <c r="H83" s="316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2" t="s">
        <v>2234</v>
      </c>
      <c r="B84" s="3143"/>
      <c r="C84" s="1798"/>
      <c r="D84" s="1798" t="s">
        <v>2235</v>
      </c>
      <c r="E84" s="212" t="s">
        <v>2236</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2254</v>
      </c>
      <c r="C85" s="206">
        <f ca="1">ROUND(D45/(1+'数据-取费表'!C42),0)</f>
        <v>671</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2255</v>
      </c>
      <c r="C86" s="206">
        <f ca="1">IF(H88="仅含出让金",C87+C90+C91+C92+C93+C94,C87+C91+C92+C93+C94)</f>
        <v>3</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2272</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2273</v>
      </c>
      <c r="C88" s="235"/>
      <c r="D88" s="225"/>
      <c r="E88" s="236" t="s">
        <v>2274</v>
      </c>
      <c r="F88" s="1794"/>
      <c r="G88" s="237" t="s">
        <v>2275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2263</v>
      </c>
      <c r="C89" s="224">
        <f>ROUND(C88*D89,0)</f>
        <v>0</v>
      </c>
      <c r="D89" s="225">
        <f>'数据-取费表'!B48+'数据-取费表'!B49</f>
        <v>4.0500000000000001E-2</v>
      </c>
      <c r="E89" s="236" t="s">
        <v>2276</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2277</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2278</v>
      </c>
      <c r="B91" s="197" t="s">
        <v>2279</v>
      </c>
      <c r="C91" s="224">
        <f>IF(H91="——",成本法!C33,I91)</f>
        <v>0</v>
      </c>
      <c r="D91" s="225"/>
      <c r="E91" s="3123" t="s">
        <v>2280</v>
      </c>
      <c r="F91" s="3124"/>
      <c r="G91" s="3124"/>
      <c r="H91" s="2510" t="s">
        <v>2281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2282</v>
      </c>
      <c r="B92" s="197" t="s">
        <v>2283</v>
      </c>
      <c r="C92" s="224">
        <f>ROUND((C87+C90+C91)*D92,0)</f>
        <v>0</v>
      </c>
      <c r="D92" s="225">
        <v>0.1</v>
      </c>
      <c r="E92" s="3123" t="s">
        <v>2284</v>
      </c>
      <c r="F92" s="3124"/>
      <c r="G92" s="3124"/>
      <c r="H92" s="313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2285</v>
      </c>
      <c r="B93" s="197" t="s">
        <v>2266</v>
      </c>
      <c r="C93" s="224">
        <f ca="1">ROUND(D45*D93/(1+'数据-取费表'!C42),0)</f>
        <v>3</v>
      </c>
      <c r="D93" s="225">
        <f>'数据-取费表'!B43</f>
        <v>5.000000000000001E-3</v>
      </c>
      <c r="E93" s="3123" t="s">
        <v>2267</v>
      </c>
      <c r="F93" s="3124"/>
      <c r="G93" s="3124"/>
      <c r="H93" s="313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2286</v>
      </c>
      <c r="B94" s="197" t="s">
        <v>2287</v>
      </c>
      <c r="C94" s="235">
        <f>ROUND((C87+C90+C91)*D94,0)</f>
        <v>0</v>
      </c>
      <c r="D94" s="225">
        <v>0.2</v>
      </c>
      <c r="E94" s="3134" t="s">
        <v>2288</v>
      </c>
      <c r="F94" s="3135"/>
      <c r="G94" s="3135"/>
      <c r="H94" s="313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2268</v>
      </c>
      <c r="C95" s="206">
        <f ca="1">ROUND(C85-C86,0)</f>
        <v>668</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2269</v>
      </c>
      <c r="C96" s="226">
        <f ca="1">IF(C95&lt;=0,0,C95/C86)</f>
        <v>222.66666666666666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2270</v>
      </c>
      <c r="C97" s="227">
        <f ca="1">ROUND(IF(C95&lt;=0,0,IF(C96&gt;=200%,C95*60%-C86*35%,IF(C96&gt;=100%,C95*50%-C86*15%,IF(C96&gt;=50%,C95*40%-C86*5%,IF(C96&lt;50%,C95*30%,0))))),0)</f>
        <v>400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7"/>
      <c r="F98" s="2157"/>
      <c r="G98" s="2157"/>
      <c r="H98" s="2156"/>
      <c r="I98" s="137"/>
    </row>
    <row r="99" spans="1:35" ht="21.75" customHeight="1" thickBot="1">
      <c r="A99" s="2466" t="s">
        <v>2289</v>
      </c>
      <c r="B99" s="2410"/>
      <c r="C99" s="2410"/>
      <c r="D99" s="2410"/>
      <c r="E99" s="2157"/>
      <c r="F99" s="2157"/>
      <c r="G99" s="2157"/>
      <c r="H99" s="2156"/>
      <c r="I99" s="137"/>
    </row>
    <row r="100" spans="1:35" ht="18.75" customHeight="1">
      <c r="A100" s="3108" t="s">
        <v>2290</v>
      </c>
      <c r="B100" s="3109"/>
      <c r="C100" s="3109"/>
      <c r="D100" s="3125"/>
      <c r="E100" s="3109" t="s">
        <v>2291</v>
      </c>
      <c r="F100" s="3109"/>
      <c r="G100" s="3109"/>
      <c r="H100" s="3125"/>
      <c r="I100" s="137"/>
    </row>
    <row r="101" spans="1:35" ht="18.75" customHeight="1">
      <c r="A101" s="3187" t="s">
        <v>2292</v>
      </c>
      <c r="B101" s="3188"/>
      <c r="C101" s="735" t="str">
        <f>C4</f>
        <v>比较法-商业</v>
      </c>
      <c r="D101" s="736" t="str">
        <f>D4</f>
        <v>收益法 (元)</v>
      </c>
      <c r="E101" s="3201" t="s">
        <v>2293</v>
      </c>
      <c r="F101" s="3155"/>
      <c r="G101" s="2512" t="s">
        <v>2294</v>
      </c>
      <c r="H101" s="1044">
        <f ca="1">H118</f>
        <v>705</v>
      </c>
      <c r="I101" s="137"/>
    </row>
    <row r="102" spans="1:35" ht="18.75" customHeight="1">
      <c r="A102" s="3157" t="s">
        <v>2295</v>
      </c>
      <c r="B102" s="2512" t="s">
        <v>2294</v>
      </c>
      <c r="C102" s="735">
        <f ca="1">C19</f>
        <v>800</v>
      </c>
      <c r="D102" s="736">
        <f ca="1">D19</f>
        <v>563</v>
      </c>
      <c r="E102" s="3201"/>
      <c r="F102" s="3155"/>
      <c r="G102" s="2512" t="s">
        <v>2296</v>
      </c>
      <c r="H102" s="370">
        <f ca="1">I118</f>
        <v>16620</v>
      </c>
      <c r="I102" s="137"/>
    </row>
    <row r="103" spans="1:35" ht="42.75" customHeight="1">
      <c r="A103" s="3157"/>
      <c r="B103" s="2512" t="s">
        <v>2296</v>
      </c>
      <c r="C103" s="737">
        <f ca="1">C20</f>
        <v>18866</v>
      </c>
      <c r="D103" s="738">
        <f ca="1">D20</f>
        <v>13268</v>
      </c>
      <c r="E103" s="3196" t="s">
        <v>2297</v>
      </c>
      <c r="F103" s="3197"/>
      <c r="G103" s="2513" t="s">
        <v>2298</v>
      </c>
      <c r="H103" s="1044">
        <f>IF(D36="正常操作",H104+H105+H106,H105+H106)</f>
        <v>0</v>
      </c>
      <c r="I103" s="137"/>
    </row>
    <row r="104" spans="1:35" ht="18.75" customHeight="1">
      <c r="A104" s="3157" t="s">
        <v>2299</v>
      </c>
      <c r="B104" s="2514" t="s">
        <v>2294</v>
      </c>
      <c r="C104" s="739">
        <f ca="1">H118</f>
        <v>705</v>
      </c>
      <c r="D104" s="740"/>
      <c r="E104" s="2258" t="s">
        <v>2300</v>
      </c>
      <c r="F104" s="2249"/>
      <c r="G104" s="2513" t="s">
        <v>2298</v>
      </c>
      <c r="H104" s="1045">
        <f>IF(D36="同一抵押权人同一抵押物续贷",C36&amp;"（未扣减，详见特别提示）",C36)</f>
        <v>0</v>
      </c>
      <c r="I104" s="137"/>
    </row>
    <row r="105" spans="1:35" ht="18.75" customHeight="1" thickBot="1">
      <c r="A105" s="3158"/>
      <c r="B105" s="2515" t="s">
        <v>2296</v>
      </c>
      <c r="C105" s="741">
        <f ca="1">I118</f>
        <v>16620</v>
      </c>
      <c r="D105" s="742"/>
      <c r="E105" s="2258" t="s">
        <v>2301</v>
      </c>
      <c r="F105" s="2249"/>
      <c r="G105" s="2513" t="s">
        <v>2298</v>
      </c>
      <c r="H105" s="1045">
        <f>C37</f>
        <v>0</v>
      </c>
      <c r="I105" s="137"/>
    </row>
    <row r="106" spans="1:35" ht="18.75" customHeight="1">
      <c r="A106" s="2410" t="s">
        <v>2302</v>
      </c>
      <c r="B106" s="2410"/>
      <c r="C106" s="2410"/>
      <c r="D106" s="2410"/>
      <c r="E106" s="2516" t="s">
        <v>2303</v>
      </c>
      <c r="F106" s="2249"/>
      <c r="G106" s="2513" t="s">
        <v>2298</v>
      </c>
      <c r="H106" s="1045">
        <f>C38</f>
        <v>0</v>
      </c>
      <c r="I106" s="137"/>
    </row>
    <row r="107" spans="1:35" ht="18.75" customHeight="1">
      <c r="A107" s="137"/>
      <c r="B107" s="137"/>
      <c r="C107" s="137"/>
      <c r="D107" s="137"/>
      <c r="E107" s="3154" t="str">
        <f>IF(项目基本情况!E8="已注销","——","3.房地产抵押价值")</f>
        <v>3.房地产抵押价值</v>
      </c>
      <c r="F107" s="3155"/>
      <c r="G107" s="2512" t="s">
        <v>2294</v>
      </c>
      <c r="H107" s="1044">
        <f ca="1">IF(E107="——","——",H101-H103)</f>
        <v>705</v>
      </c>
      <c r="I107" s="137"/>
    </row>
    <row r="108" spans="1:35" ht="18.75" customHeight="1">
      <c r="A108" s="137"/>
      <c r="B108" s="137"/>
      <c r="C108" s="137"/>
      <c r="D108" s="137"/>
      <c r="E108" s="3154"/>
      <c r="F108" s="3155"/>
      <c r="G108" s="2512" t="s">
        <v>2296</v>
      </c>
      <c r="H108" s="370">
        <f ca="1">ROUND(H107*10000/'数据-汇总表'!E3,0)</f>
        <v>16620</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55"/>
      <c r="G109" s="2512" t="s">
        <v>2294</v>
      </c>
      <c r="H109" s="347" t="str">
        <f>IF(E109="——","——",H101-H105-H106)</f>
        <v>——</v>
      </c>
      <c r="I109" s="137"/>
    </row>
    <row r="110" spans="1:35" ht="18.75" customHeight="1">
      <c r="A110" s="137"/>
      <c r="B110" s="137"/>
      <c r="C110" s="137"/>
      <c r="D110" s="137"/>
      <c r="E110" s="3154"/>
      <c r="F110" s="3155"/>
      <c r="G110" s="2512" t="s">
        <v>2296</v>
      </c>
      <c r="H110" s="370" t="str">
        <f>IF(H109="——","——",ROUND(H109*10000/'数据-汇总表'!E3,0))</f>
        <v>——</v>
      </c>
      <c r="I110" s="137"/>
    </row>
    <row r="111" spans="1:35" ht="18.75" customHeight="1">
      <c r="A111" s="137"/>
      <c r="B111" s="137"/>
      <c r="C111" s="137"/>
      <c r="D111" s="137"/>
      <c r="E111" s="3189" t="str">
        <f>IF(项目基本情况!E9="抵押净值",IF(OR(项目基本情况!E8="已注销",项目基本情况!E8="房地产抵押价值"),"4.抵押净值","5.抵押净值"),"——")</f>
        <v>——</v>
      </c>
      <c r="F111" s="3190"/>
      <c r="G111" s="2512" t="s">
        <v>2294</v>
      </c>
      <c r="H111" s="1044" t="str">
        <f>IF(E111="——","——",N59)</f>
        <v>——</v>
      </c>
      <c r="I111" s="137"/>
    </row>
    <row r="112" spans="1:35" ht="18.75" customHeight="1" thickBot="1">
      <c r="A112" s="137"/>
      <c r="B112" s="137"/>
      <c r="C112" s="137"/>
      <c r="D112" s="137"/>
      <c r="E112" s="3191"/>
      <c r="F112" s="3192"/>
      <c r="G112" s="2517" t="s">
        <v>2296</v>
      </c>
      <c r="H112" s="789" t="str">
        <f>IF(E111="——","——",N61)</f>
        <v>——</v>
      </c>
      <c r="I112" s="137"/>
    </row>
    <row r="113" spans="1:11" ht="18.75" customHeight="1">
      <c r="A113" s="137"/>
      <c r="B113" s="137"/>
      <c r="C113" s="137"/>
      <c r="D113" s="137"/>
      <c r="E113" s="3159" t="s">
        <v>2302</v>
      </c>
      <c r="F113" s="3159"/>
      <c r="G113" s="3159"/>
      <c r="H113" s="3159"/>
      <c r="I113" s="137"/>
    </row>
    <row r="114" spans="1:11" ht="3.75" customHeight="1">
      <c r="A114" s="2410"/>
      <c r="B114" s="2410"/>
      <c r="C114" s="2410"/>
      <c r="D114" s="2410"/>
      <c r="E114" s="2488"/>
      <c r="F114" s="2488"/>
      <c r="G114" s="2488"/>
      <c r="H114" s="2488"/>
      <c r="I114" s="2410"/>
    </row>
    <row r="115" spans="1:11" ht="18.75" customHeight="1">
      <c r="A115" s="3172" t="s">
        <v>2304</v>
      </c>
      <c r="B115" s="3173"/>
      <c r="C115" s="3173"/>
      <c r="D115" s="3173"/>
      <c r="E115" s="3173"/>
      <c r="F115" s="3173"/>
      <c r="G115" s="3173"/>
      <c r="H115" s="3173"/>
      <c r="I115" s="3174"/>
    </row>
    <row r="116" spans="1:11" ht="27" customHeight="1">
      <c r="A116" s="3065" t="s">
        <v>2305</v>
      </c>
      <c r="B116" s="3160" t="s">
        <v>2306</v>
      </c>
      <c r="C116" s="3160" t="s">
        <v>2307</v>
      </c>
      <c r="D116" s="3176" t="s">
        <v>2308</v>
      </c>
      <c r="E116" s="3177"/>
      <c r="F116" s="3168" t="s">
        <v>2309</v>
      </c>
      <c r="G116" s="3168"/>
      <c r="H116" s="3065" t="s">
        <v>2310</v>
      </c>
      <c r="I116" s="3065"/>
    </row>
    <row r="117" spans="1:11" ht="18.75" customHeight="1">
      <c r="A117" s="3065"/>
      <c r="B117" s="3161"/>
      <c r="C117" s="3161"/>
      <c r="D117" s="1792" t="s">
        <v>2311</v>
      </c>
      <c r="E117" s="1792" t="s">
        <v>2312</v>
      </c>
      <c r="F117" s="1792" t="s">
        <v>2311</v>
      </c>
      <c r="G117" s="1792" t="s">
        <v>2313</v>
      </c>
      <c r="H117" s="1792" t="s">
        <v>2311</v>
      </c>
      <c r="I117" s="1792" t="s">
        <v>2313</v>
      </c>
    </row>
    <row r="118" spans="1:11" ht="24.75" customHeight="1">
      <c r="A118" s="2518" t="str">
        <f>项目基本情况!S2</f>
        <v>湖北省黄石市大冶市东岳路办事处新华路十五万楼等商业用房房地产</v>
      </c>
      <c r="B118" s="1792">
        <f>M18</f>
        <v>424.2</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705</v>
      </c>
      <c r="I118" s="1792">
        <f ca="1">ROUND(IF(D32="楼面单价",C32,H118*10000/B118),0)</f>
        <v>16620</v>
      </c>
    </row>
    <row r="119" spans="1:11" ht="18.75" customHeight="1">
      <c r="A119" s="3065" t="s">
        <v>2314</v>
      </c>
      <c r="B119" s="3065"/>
      <c r="C119" s="3065"/>
      <c r="D119" s="3165" t="e">
        <f ca="1">NUMBERSTRING(INT(D118*10000),2)&amp;"元整"</f>
        <v>#REF!</v>
      </c>
      <c r="E119" s="3167"/>
      <c r="F119" s="3165" t="e">
        <f ca="1">NUMBERSTRING(INT(F118*10000),2)&amp;"元整"</f>
        <v>#REF!</v>
      </c>
      <c r="G119" s="3167"/>
      <c r="H119" s="3165" t="str">
        <f ca="1">NUMBERSTRING(INT(H118*10000),2)&amp;"元整"</f>
        <v>柒佰零伍万元整</v>
      </c>
      <c r="I119" s="3167"/>
    </row>
    <row r="120" spans="1:11" ht="18.75" customHeight="1">
      <c r="A120" s="3193" t="str">
        <f>IF(项目基本情况!B9="房地产市场价值","",MID(E103,3,LEN(E103)-2))</f>
        <v/>
      </c>
      <c r="B120" s="3194"/>
      <c r="C120" s="3195"/>
      <c r="D120" s="3193">
        <f>H103</f>
        <v>0</v>
      </c>
      <c r="E120" s="3194"/>
      <c r="F120" s="3194"/>
      <c r="G120" s="3194"/>
      <c r="H120" s="3194"/>
      <c r="I120" s="3195"/>
      <c r="K120" s="2415" t="str">
        <f>IF(D120=0,"故，本次评估不存在"&amp;A120,"故，本次评估"&amp;A120&amp;"为人民币"&amp;D120&amp;"万元整。")</f>
        <v>故，本次评估不存在</v>
      </c>
    </row>
    <row r="121" spans="1:11" ht="18.75" customHeight="1">
      <c r="A121" s="3169" t="s">
        <v>2314</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
      </c>
      <c r="B122" s="3156"/>
      <c r="C122" s="3156"/>
      <c r="D122" s="3193">
        <f ca="1">H107</f>
        <v>705</v>
      </c>
      <c r="E122" s="3194"/>
      <c r="F122" s="3194"/>
      <c r="G122" s="3194"/>
      <c r="H122" s="3194"/>
      <c r="I122" s="3195"/>
    </row>
    <row r="123" spans="1:11" ht="18.75" customHeight="1">
      <c r="A123" s="3065" t="s">
        <v>2314</v>
      </c>
      <c r="B123" s="3065"/>
      <c r="C123" s="3065"/>
      <c r="D123" s="3165" t="str">
        <f ca="1">NUMBERSTRING(INT(D122*10000),2)&amp;"元整"</f>
        <v>柒佰零伍万元整</v>
      </c>
      <c r="E123" s="3166"/>
      <c r="F123" s="3166"/>
      <c r="G123" s="3166"/>
      <c r="H123" s="3166"/>
      <c r="I123" s="3167"/>
    </row>
    <row r="124" spans="1:11" ht="18.75" customHeight="1">
      <c r="A124" s="3156" t="str">
        <f>IF(项目基本情况!B9="房地产市场价值","",MID(E109,3,LEN(E109)-2))</f>
        <v/>
      </c>
      <c r="B124" s="3156"/>
      <c r="C124" s="3156"/>
      <c r="D124" s="3193" t="str">
        <f>H109</f>
        <v>——</v>
      </c>
      <c r="E124" s="3194"/>
      <c r="F124" s="3194"/>
      <c r="G124" s="3194"/>
      <c r="H124" s="3194"/>
      <c r="I124" s="3195"/>
    </row>
    <row r="125" spans="1:11" ht="18.75" customHeight="1">
      <c r="A125" s="3065" t="s">
        <v>2314</v>
      </c>
      <c r="B125" s="3065"/>
      <c r="C125" s="3065"/>
      <c r="D125" s="3165" t="e">
        <f>NUMBERSTRING(INT(D124*10000),2)&amp;"元整"</f>
        <v>#VALUE!</v>
      </c>
      <c r="E125" s="3166"/>
      <c r="F125" s="3166"/>
      <c r="G125" s="3166"/>
      <c r="H125" s="3166"/>
      <c r="I125" s="3167"/>
    </row>
    <row r="126" spans="1:11" ht="18.75" customHeight="1">
      <c r="A126" s="3156" t="str">
        <f>IF(项目基本情况!B9="房地产市场价值","",MID(E111,3,LEN(E111)-2))</f>
        <v/>
      </c>
      <c r="B126" s="3156"/>
      <c r="C126" s="3156"/>
      <c r="D126" s="3193" t="str">
        <f>H111</f>
        <v>——</v>
      </c>
      <c r="E126" s="3194"/>
      <c r="F126" s="3194"/>
      <c r="G126" s="3194"/>
      <c r="H126" s="3194"/>
      <c r="I126" s="3195"/>
    </row>
    <row r="127" spans="1:11" ht="18.75" customHeight="1">
      <c r="A127" s="3065" t="s">
        <v>2314</v>
      </c>
      <c r="B127" s="3065"/>
      <c r="C127" s="3065"/>
      <c r="D127" s="3165" t="e">
        <f>NUMBERSTRING(INT(D126*10000),2)&amp;"元整"</f>
        <v>#VALUE!</v>
      </c>
      <c r="E127" s="3166"/>
      <c r="F127" s="3166"/>
      <c r="G127" s="3166"/>
      <c r="H127" s="3166"/>
      <c r="I127" s="3167"/>
    </row>
    <row r="128" spans="1:11" ht="21.75" customHeight="1">
      <c r="A128" s="3175" t="s">
        <v>2315</v>
      </c>
      <c r="B128" s="3175"/>
      <c r="C128" s="3175"/>
      <c r="D128" s="3175"/>
      <c r="E128" s="3175"/>
      <c r="F128" s="3175"/>
      <c r="G128" s="3175"/>
      <c r="H128" s="3175"/>
      <c r="I128" s="3175"/>
    </row>
    <row r="129" spans="1:35" ht="21.75" customHeight="1">
      <c r="A129" s="2519" t="s">
        <v>2316</v>
      </c>
      <c r="B129" s="2520"/>
      <c r="C129" s="2521" t="s">
        <v>2317</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2318</v>
      </c>
      <c r="G135" s="2536"/>
      <c r="H135" s="2536"/>
      <c r="I135" s="2537" t="s">
        <v>2319</v>
      </c>
    </row>
    <row r="136" spans="1:35" ht="21.75" customHeight="1">
      <c r="A136" s="794"/>
      <c r="B136" s="2538"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2321</v>
      </c>
    </row>
    <row r="139" spans="1:35" ht="21.75" customHeight="1">
      <c r="A139" s="794"/>
      <c r="B139" s="2538" t="s">
        <v>2322</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2321</v>
      </c>
    </row>
    <row r="142" spans="1:35" ht="21.75" customHeight="1">
      <c r="A142" s="794"/>
      <c r="B142" s="2538"/>
      <c r="C142" s="2539"/>
      <c r="D142" s="2540"/>
      <c r="E142" s="2540"/>
      <c r="F142" s="2332"/>
      <c r="G142" s="794"/>
      <c r="H142" s="794"/>
      <c r="I142" s="794"/>
    </row>
    <row r="143" spans="1:35" s="138" customFormat="1" ht="21.75" customHeight="1">
      <c r="A143" s="794"/>
      <c r="B143" s="2538"/>
      <c r="C143" s="2539"/>
      <c r="D143" s="2540"/>
      <c r="E143" s="2540"/>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3"/>
      <c r="C1" s="241"/>
      <c r="D1" s="241"/>
      <c r="E1" s="241"/>
      <c r="F1" s="241"/>
      <c r="G1" s="1377">
        <f>MATCH(B1,'数据-取费表'!A6:A16,0)+5</f>
        <v>7</v>
      </c>
    </row>
    <row r="2" spans="1:9" s="243" customFormat="1" ht="18" customHeight="1">
      <c r="A2" s="244" t="s">
        <v>2324</v>
      </c>
      <c r="B2" s="245">
        <f ca="1">IF(D2="——",C52,C52-E2)</f>
        <v>192</v>
      </c>
      <c r="C2" s="242" t="s">
        <v>2325</v>
      </c>
      <c r="D2" s="2541" t="s">
        <v>70</v>
      </c>
      <c r="E2" s="1438" t="e">
        <f ca="1">SUMIF(INDIRECT("'"&amp;G2&amp;"'"&amp;"!A:A"),"承租人权益价值",INDIRECT("'"&amp;G2&amp;"'"&amp;"!c:c"))</f>
        <v>#REF!</v>
      </c>
      <c r="F2" s="2542" t="s">
        <v>2325</v>
      </c>
      <c r="G2" s="2543"/>
    </row>
    <row r="3" spans="1:9" s="243" customFormat="1" ht="18" customHeight="1" thickBot="1">
      <c r="A3" s="246" t="s">
        <v>2326</v>
      </c>
      <c r="B3" s="247">
        <f ca="1">ROUND(B2*10000/(IF(B1="",'数据-汇总表'!E3,INDIRECT("'数据-取费表'!k"&amp;$G$1))),0)</f>
        <v>4526</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76</v>
      </c>
      <c r="D5" s="254" t="s">
        <v>2331</v>
      </c>
      <c r="E5" s="255" t="s">
        <v>2332</v>
      </c>
      <c r="F5" s="255" t="s">
        <v>2333</v>
      </c>
      <c r="G5" s="256"/>
    </row>
    <row r="6" spans="1:9" s="257" customFormat="1" ht="13.5" customHeight="1">
      <c r="A6" s="948" t="s">
        <v>2334</v>
      </c>
      <c r="B6" s="258" t="s">
        <v>2335</v>
      </c>
      <c r="C6" s="259">
        <f>'土地比较法-住宅、综合'!B2</f>
        <v>73</v>
      </c>
      <c r="D6" s="260"/>
      <c r="E6" s="261"/>
      <c r="F6" s="261"/>
      <c r="G6" s="262"/>
    </row>
    <row r="7" spans="1:9" s="257" customFormat="1" ht="13.5" customHeight="1">
      <c r="A7" s="948" t="s">
        <v>2336</v>
      </c>
      <c r="B7" s="258" t="s">
        <v>2337</v>
      </c>
      <c r="C7" s="263">
        <f>ROUND(C6*F7,0)</f>
        <v>3</v>
      </c>
      <c r="D7" s="263"/>
      <c r="E7" s="261"/>
      <c r="F7" s="264">
        <f>IF(项目基本情况!B8="出让",0,'数据-取费表'!B48+'数据-取费表'!B49)</f>
        <v>4.0500000000000001E-2</v>
      </c>
      <c r="G7" s="262"/>
    </row>
    <row r="8" spans="1:9" s="266" customFormat="1">
      <c r="A8" s="948" t="s">
        <v>2338</v>
      </c>
      <c r="B8" s="258" t="s">
        <v>2339</v>
      </c>
      <c r="C8" s="263">
        <f>IF(G8="已包含在土地购买价格中","0",IF(B1="",'数据-取费表'!B29,IF(G9="全部缴纳",C9+C10,H9)))</f>
        <v>0</v>
      </c>
      <c r="D8" s="265"/>
      <c r="E8" s="263"/>
      <c r="F8" s="264"/>
      <c r="G8" s="2544" t="s">
        <v>3180</v>
      </c>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0</v>
      </c>
      <c r="F9" s="264"/>
      <c r="G9" s="2545" t="s">
        <v>3181</v>
      </c>
      <c r="H9" s="1388"/>
      <c r="I9" s="2546" t="s">
        <v>2341</v>
      </c>
    </row>
    <row r="10" spans="1:9" s="257" customFormat="1" ht="13.5" customHeight="1">
      <c r="A10" s="949" t="s">
        <v>801</v>
      </c>
      <c r="B10" s="267" t="s">
        <v>2342</v>
      </c>
      <c r="C10" s="268">
        <f ca="1">ROUND(D10*E10/10000,0)</f>
        <v>2</v>
      </c>
      <c r="D10" s="1031">
        <f ca="1">IF(B1="",'数据-汇总表'!E6,IF(INDIRECT("'数据-取费表'!c"&amp;$G$1)="住宅",INDIRECT("'数据-取费表'!s"&amp;$G$1),INDIRECT("'数据-取费表'!k"&amp;$G$1)+INDIRECT("'数据-取费表'!s"&amp;$G$1)))</f>
        <v>424.2</v>
      </c>
      <c r="E10" s="268">
        <f>'数据-取费表'!B28</f>
        <v>40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t="str">
        <f>IF(G19="已包含在土地取得成本中","0",ROUND(D19*E19/10000,0))</f>
        <v>0</v>
      </c>
      <c r="D19" s="1035">
        <f ca="1">D9+D10</f>
        <v>424.2</v>
      </c>
      <c r="E19" s="254">
        <f>'数据-取费表'!B31</f>
        <v>150</v>
      </c>
      <c r="F19" s="274"/>
      <c r="G19" s="2544" t="s">
        <v>3182</v>
      </c>
    </row>
    <row r="20" spans="1:7" s="257" customFormat="1" ht="13.5" customHeight="1">
      <c r="A20" s="298" t="s">
        <v>2355</v>
      </c>
      <c r="B20" s="253" t="s">
        <v>2356</v>
      </c>
      <c r="C20" s="275">
        <f>ROUND((C5+C19)*F20,0)</f>
        <v>2</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2">
        <f ca="1">ROUND(SUM(C23:C25),0)</f>
        <v>3</v>
      </c>
      <c r="D22" s="278">
        <f ca="1">C26</f>
        <v>4.0000000000000002E-4</v>
      </c>
      <c r="E22" s="279" t="s">
        <v>2360</v>
      </c>
      <c r="F22" s="280">
        <f ca="1">'数据-取费表'!B40</f>
        <v>4.3499999999999997E-2</v>
      </c>
      <c r="G22" s="277" t="str">
        <f>IF('数据-取费表'!B22&lt;=1,"单利计息","复利计息")</f>
        <v>单利计息</v>
      </c>
    </row>
    <row r="23" spans="1:7" s="257" customFormat="1" ht="13.5" customHeight="1">
      <c r="A23" s="950" t="s">
        <v>2364</v>
      </c>
      <c r="B23" s="258" t="s">
        <v>2365</v>
      </c>
      <c r="C23" s="1353">
        <f ca="1">ROUND(IF('数据-取费表'!B22&lt;=1,C5*F22*'数据-取费表'!B23,C5*(POWER((1+F22),'数据-取费表'!B23)-1)),0)</f>
        <v>3</v>
      </c>
      <c r="D23" s="281"/>
      <c r="E23" s="281"/>
      <c r="F23" s="282"/>
      <c r="G23" s="283" t="s">
        <v>2366</v>
      </c>
    </row>
    <row r="24" spans="1:7" s="257" customFormat="1" ht="13.5" customHeight="1">
      <c r="A24" s="950" t="s">
        <v>2367</v>
      </c>
      <c r="B24" s="258" t="s">
        <v>2368</v>
      </c>
      <c r="C24" s="1353">
        <f ca="1">ROUND(IF('数据-取费表'!B22&lt;=1,C19*F22*('数据-取费表'!B19/2+'数据-取费表'!B21),C19*(POWER((1+F22),('数据-取费表'!B19/2+'数据-取费表'!B21))-1)),0)</f>
        <v>0</v>
      </c>
      <c r="D24" s="281"/>
      <c r="E24" s="281"/>
      <c r="F24" s="282"/>
      <c r="G24" s="283" t="s">
        <v>2369</v>
      </c>
    </row>
    <row r="25" spans="1:7" s="257" customFormat="1" ht="24">
      <c r="A25" s="950" t="s">
        <v>2370</v>
      </c>
      <c r="B25" s="258" t="s">
        <v>2371</v>
      </c>
      <c r="C25" s="1353">
        <f ca="1">ROUND(IF('数据-取费表'!B22&lt;=1,C20*F22*'数据-取费表'!B23/2,C20*(POWER((1+F22),'数据-取费表'!B23/2)-1)),0)</f>
        <v>0</v>
      </c>
      <c r="D25" s="281"/>
      <c r="E25" s="284"/>
      <c r="F25" s="282"/>
      <c r="G25" s="285" t="s">
        <v>2372</v>
      </c>
    </row>
    <row r="26" spans="1:7" s="257" customFormat="1">
      <c r="A26" s="950" t="s">
        <v>795</v>
      </c>
      <c r="B26" s="258" t="s">
        <v>2373</v>
      </c>
      <c r="C26" s="281">
        <f ca="1">ROUND(IF('数据-取费表'!B22&lt;=1,F21*F22*'数据-取费表'!B23/2,F21*(POWER((1+F22),'数据-取费表'!B23/2)-1)),4)</f>
        <v>4.0000000000000002E-4</v>
      </c>
      <c r="D26" s="281"/>
      <c r="E26" s="284"/>
      <c r="F26" s="282"/>
      <c r="G26" s="286"/>
    </row>
    <row r="27" spans="1:7" s="257" customFormat="1" ht="24.75">
      <c r="A27" s="298" t="s">
        <v>2374</v>
      </c>
      <c r="B27" s="287" t="s">
        <v>2375</v>
      </c>
      <c r="C27" s="288">
        <f ca="1">C28</f>
        <v>8</v>
      </c>
      <c r="D27" s="278">
        <f ca="1">C29</f>
        <v>2E-3</v>
      </c>
      <c r="E27" s="279" t="s">
        <v>2376</v>
      </c>
      <c r="F27" s="289">
        <f ca="1">IF(B1="",'数据-取费表'!Q16,INDIRECT("'数据-取费表'!q"&amp;$G$1))</f>
        <v>0.1</v>
      </c>
      <c r="G27" s="290" t="s">
        <v>2377</v>
      </c>
    </row>
    <row r="28" spans="1:7" s="257" customFormat="1" ht="13.5" customHeight="1">
      <c r="A28" s="950" t="s">
        <v>791</v>
      </c>
      <c r="B28" s="291" t="s">
        <v>2378</v>
      </c>
      <c r="C28" s="292">
        <f ca="1">ROUND((C5+C19+C20)*F27*'数据-取费表'!B21/'数据-取费表'!B20,0)</f>
        <v>8</v>
      </c>
      <c r="D28" s="278"/>
      <c r="E28" s="279"/>
      <c r="F28" s="289"/>
      <c r="G28" s="290"/>
    </row>
    <row r="29" spans="1:7" s="257" customFormat="1" ht="13.5" customHeight="1">
      <c r="A29" s="950" t="s">
        <v>792</v>
      </c>
      <c r="B29" s="291" t="s">
        <v>2379</v>
      </c>
      <c r="C29" s="281">
        <f ca="1">ROUND(C21*F27*'数据-取费表'!B21/'数据-取费表'!B20,4)</f>
        <v>2E-3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96</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103</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93</v>
      </c>
      <c r="D34" s="260"/>
      <c r="E34" s="263"/>
      <c r="F34" s="300">
        <f ca="1">IF('数据-取费表'!B24=0,1,IF(B1="",'数据-取费表'!N16,INDIRECT("'数据-取费表'!n"&amp;$G$1)))</f>
        <v>1</v>
      </c>
      <c r="G34" s="262" t="s">
        <v>2388</v>
      </c>
    </row>
    <row r="35" spans="1:7" ht="13.5" customHeight="1">
      <c r="A35" s="950" t="s">
        <v>796</v>
      </c>
      <c r="B35" s="258" t="s">
        <v>2389</v>
      </c>
      <c r="C35" s="263">
        <f ca="1">ROUND(C34*F35,0)</f>
        <v>3</v>
      </c>
      <c r="D35" s="263"/>
      <c r="E35" s="263"/>
      <c r="F35" s="302">
        <f>'数据-取费表'!B33</f>
        <v>0.03</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2392</v>
      </c>
    </row>
    <row r="37" spans="1:7" s="301" customFormat="1" ht="13.5" customHeight="1">
      <c r="A37" s="950" t="s">
        <v>798</v>
      </c>
      <c r="B37" s="258" t="s">
        <v>2393</v>
      </c>
      <c r="C37" s="292">
        <f ca="1">ROUND(E37*D37*F34/10000,0)</f>
        <v>6</v>
      </c>
      <c r="D37" s="260">
        <f ca="1">D19</f>
        <v>424.2</v>
      </c>
      <c r="E37" s="292">
        <f>'数据-取费表'!B35</f>
        <v>150</v>
      </c>
      <c r="F37" s="302"/>
      <c r="G37" s="304" t="s">
        <v>2394</v>
      </c>
    </row>
    <row r="38" spans="1:7" ht="13.5" customHeight="1">
      <c r="A38" s="950" t="s">
        <v>799</v>
      </c>
      <c r="B38" s="258" t="s">
        <v>2395</v>
      </c>
      <c r="C38" s="263">
        <f ca="1">ROUND(C34*F38,0)</f>
        <v>1</v>
      </c>
      <c r="D38" s="263"/>
      <c r="E38" s="263"/>
      <c r="F38" s="302">
        <f>'数据-取费表'!B36</f>
        <v>1.4999999999999999E-2</v>
      </c>
      <c r="G38" s="262" t="s">
        <v>2390</v>
      </c>
    </row>
    <row r="39" spans="1:7" s="257" customFormat="1" ht="13.5" customHeight="1">
      <c r="A39" s="298" t="s">
        <v>2396</v>
      </c>
      <c r="B39" s="253" t="s">
        <v>2397</v>
      </c>
      <c r="C39" s="275">
        <f ca="1">ROUND(C33*F20,0)</f>
        <v>2</v>
      </c>
      <c r="D39" s="275"/>
      <c r="E39" s="275"/>
      <c r="F39" s="276"/>
      <c r="G39" s="277" t="s">
        <v>2398</v>
      </c>
    </row>
    <row r="40" spans="1:7" s="257" customFormat="1" ht="13.5" customHeight="1">
      <c r="A40" s="298" t="s">
        <v>2399</v>
      </c>
      <c r="B40" s="253" t="s">
        <v>2400</v>
      </c>
      <c r="C40" s="1726">
        <f>F21</f>
        <v>0.02</v>
      </c>
      <c r="D40" s="279" t="s">
        <v>2401</v>
      </c>
      <c r="E40" s="275"/>
      <c r="F40" s="276"/>
      <c r="G40" s="277" t="s">
        <v>2402</v>
      </c>
    </row>
    <row r="41" spans="1:7" s="257" customFormat="1" ht="13.5" customHeight="1">
      <c r="A41" s="298" t="s">
        <v>2403</v>
      </c>
      <c r="B41" s="253" t="s">
        <v>2404</v>
      </c>
      <c r="C41" s="275">
        <f ca="1">ROUND(SUM(C42:C43),0)</f>
        <v>2</v>
      </c>
      <c r="D41" s="278">
        <f ca="1">C44</f>
        <v>4.0000000000000002E-4</v>
      </c>
      <c r="E41" s="279" t="s">
        <v>2401</v>
      </c>
      <c r="F41" s="280"/>
      <c r="G41" s="277" t="str">
        <f>IF('数据-取费表'!B22&lt;=1,"单利计息","复利计息")</f>
        <v>单利计息</v>
      </c>
    </row>
    <row r="42" spans="1:7" ht="13.5" customHeight="1">
      <c r="A42" s="950" t="s">
        <v>791</v>
      </c>
      <c r="B42" s="258" t="s">
        <v>2405</v>
      </c>
      <c r="C42" s="281">
        <f ca="1">ROUND(IF('数据-取费表'!B22&lt;=1,C33*F22*'数据-取费表'!B21/2,C33*(POWER((1+F22),'数据-取费表'!B21/2)-1)),0)</f>
        <v>2</v>
      </c>
      <c r="D42" s="281"/>
      <c r="E42" s="281"/>
      <c r="F42" s="282"/>
      <c r="G42" s="3207" t="s">
        <v>2406</v>
      </c>
    </row>
    <row r="43" spans="1:7" ht="13.5" customHeight="1">
      <c r="A43" s="950" t="s">
        <v>792</v>
      </c>
      <c r="B43" s="258" t="s">
        <v>2407</v>
      </c>
      <c r="C43" s="281">
        <f ca="1">ROUND(IF('数据-取费表'!B22&lt;=1,C39*F22*'数据-取费表'!B21/2,C39*(POWER((1+F22),'数据-取费表'!B21/2)-1)),0)</f>
        <v>0</v>
      </c>
      <c r="D43" s="281"/>
      <c r="E43" s="281"/>
      <c r="F43" s="282"/>
      <c r="G43" s="3208"/>
    </row>
    <row r="44" spans="1:7" ht="13.5" customHeight="1">
      <c r="A44" s="950" t="s">
        <v>793</v>
      </c>
      <c r="B44" s="258" t="s">
        <v>2408</v>
      </c>
      <c r="C44" s="281">
        <f ca="1">ROUND(IF('数据-取费表'!B22&lt;=1,C40*F22*'数据-取费表'!B21/2,C40*(POWER((1+F22),'数据-取费表'!B21/2)-1)),4)</f>
        <v>4.0000000000000002E-4</v>
      </c>
      <c r="D44" s="281"/>
      <c r="E44" s="281"/>
      <c r="F44" s="282"/>
      <c r="G44" s="3209"/>
    </row>
    <row r="45" spans="1:7" s="257" customFormat="1" ht="13.5" customHeight="1">
      <c r="A45" s="298" t="s">
        <v>2409</v>
      </c>
      <c r="B45" s="287" t="s">
        <v>2375</v>
      </c>
      <c r="C45" s="288">
        <f ca="1">C46</f>
        <v>11</v>
      </c>
      <c r="D45" s="278">
        <f ca="1">C47</f>
        <v>2E-3</v>
      </c>
      <c r="E45" s="279" t="s">
        <v>2401</v>
      </c>
      <c r="F45" s="289"/>
      <c r="G45" s="290" t="s">
        <v>2410</v>
      </c>
    </row>
    <row r="46" spans="1:7" s="257" customFormat="1" ht="13.5" customHeight="1">
      <c r="A46" s="950" t="s">
        <v>791</v>
      </c>
      <c r="B46" s="291" t="s">
        <v>2411</v>
      </c>
      <c r="C46" s="292">
        <f ca="1">ROUND((C33+C39)*F27,0)</f>
        <v>11</v>
      </c>
      <c r="D46" s="306"/>
      <c r="E46" s="279"/>
      <c r="F46" s="289"/>
      <c r="G46" s="290"/>
    </row>
    <row r="47" spans="1:7" s="257" customFormat="1" ht="13.5" customHeight="1">
      <c r="A47" s="950" t="s">
        <v>792</v>
      </c>
      <c r="B47" s="291" t="s">
        <v>2412</v>
      </c>
      <c r="C47" s="281">
        <f ca="1">ROUND(C40*F27,4)</f>
        <v>2E-3</v>
      </c>
      <c r="D47" s="306"/>
      <c r="E47" s="279"/>
      <c r="F47" s="289"/>
      <c r="G47" s="290"/>
    </row>
    <row r="48" spans="1:7" s="257" customFormat="1" ht="13.5" customHeight="1">
      <c r="A48" s="298" t="s">
        <v>2374</v>
      </c>
      <c r="B48" s="253" t="s">
        <v>2413</v>
      </c>
      <c r="C48" s="1726">
        <f>ROUND(F30/(1+'数据-取费表'!C42),4)</f>
        <v>5.2400000000000002E-2</v>
      </c>
      <c r="D48" s="279" t="s">
        <v>2401</v>
      </c>
      <c r="E48" s="275"/>
      <c r="F48" s="280"/>
      <c r="G48" s="277" t="s">
        <v>2414</v>
      </c>
    </row>
    <row r="49" spans="1:7" ht="16.5" customHeight="1">
      <c r="A49" s="298" t="s">
        <v>2380</v>
      </c>
      <c r="B49" s="253" t="s">
        <v>2415</v>
      </c>
      <c r="C49" s="275">
        <f ca="1">ROUND((C33+C39+C41+C45)/(1-C40-D41-D45-C48),0)</f>
        <v>128</v>
      </c>
      <c r="D49" s="275"/>
      <c r="E49" s="275"/>
      <c r="F49" s="307"/>
      <c r="G49" s="277" t="s">
        <v>2416</v>
      </c>
    </row>
    <row r="50" spans="1:7" s="301" customFormat="1" ht="24">
      <c r="A50" s="298" t="s">
        <v>2417</v>
      </c>
      <c r="B50" s="253" t="s">
        <v>2418</v>
      </c>
      <c r="C50" s="275"/>
      <c r="D50" s="275"/>
      <c r="E50" s="275"/>
      <c r="F50" s="307">
        <f>IF('数据-取费表'!B24=0,'数据-取费表'!N16,1)</f>
        <v>0.75</v>
      </c>
      <c r="G50" s="290" t="s">
        <v>2419</v>
      </c>
    </row>
    <row r="51" spans="1:7" ht="16.5" customHeight="1">
      <c r="A51" s="298" t="s">
        <v>2420</v>
      </c>
      <c r="B51" s="253" t="s">
        <v>2421</v>
      </c>
      <c r="C51" s="275">
        <f ca="1">ROUND(C49*F50,0)</f>
        <v>96</v>
      </c>
      <c r="D51" s="275"/>
      <c r="E51" s="275"/>
      <c r="F51" s="307"/>
      <c r="G51" s="277" t="s">
        <v>2422</v>
      </c>
    </row>
    <row r="52" spans="1:7" s="251" customFormat="1" ht="16.5" thickBot="1">
      <c r="A52" s="308" t="s">
        <v>2423</v>
      </c>
      <c r="B52" s="309"/>
      <c r="C52" s="310">
        <f ca="1">C31+C51</f>
        <v>192</v>
      </c>
      <c r="D52" s="309"/>
      <c r="E52" s="309"/>
      <c r="F52" s="309"/>
      <c r="G52" s="311"/>
    </row>
    <row r="55" spans="1:7" ht="15">
      <c r="B55" s="313" t="s">
        <v>2424</v>
      </c>
      <c r="C55" s="314"/>
    </row>
    <row r="56" spans="1:7">
      <c r="B56" s="316" t="s">
        <v>1508</v>
      </c>
      <c r="C56" s="318">
        <f ca="1">1-C57</f>
        <v>0.5</v>
      </c>
    </row>
    <row r="57" spans="1:7">
      <c r="B57" s="316" t="s">
        <v>1509</v>
      </c>
      <c r="C57" s="317">
        <f ca="1">ROUND(C51/C52,3)</f>
        <v>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1" t="str">
        <f>项目基本情况!B1</f>
        <v>湖北省黄石市大冶市东岳路办事处新华路十五万楼等商业用房房地产市场价值预评估</v>
      </c>
      <c r="C37" s="3021"/>
      <c r="D37" s="3021"/>
      <c r="E37" s="3021"/>
      <c r="F37" s="3021"/>
      <c r="G37" s="3021"/>
      <c r="H37" s="3021"/>
      <c r="I37" s="3021"/>
    </row>
    <row r="38" spans="1:9">
      <c r="A38" s="1015"/>
      <c r="B38" s="1015"/>
    </row>
    <row r="39" spans="1:9">
      <c r="A39" s="1013" t="s">
        <v>818</v>
      </c>
      <c r="B39" s="1013" t="s">
        <v>820</v>
      </c>
    </row>
    <row r="40" spans="1:9">
      <c r="A40" s="1013"/>
      <c r="B40" s="1938" t="str">
        <f>项目基本情况!B5</f>
        <v>国民信托有限公司</v>
      </c>
    </row>
    <row r="41" spans="1:9">
      <c r="A41" s="1013"/>
      <c r="B41" s="1013"/>
    </row>
    <row r="42" spans="1:9">
      <c r="A42" s="1013" t="s">
        <v>818</v>
      </c>
      <c r="B42" s="1013" t="s">
        <v>821</v>
      </c>
    </row>
    <row r="43" spans="1:9">
      <c r="A43" s="1013"/>
      <c r="B43" s="1938" t="s">
        <v>822</v>
      </c>
    </row>
    <row r="44" spans="1:9">
      <c r="A44" s="1013"/>
      <c r="B44" s="1013"/>
    </row>
    <row r="45" spans="1:9">
      <c r="A45" s="1013" t="s">
        <v>818</v>
      </c>
      <c r="B45" s="1013" t="s">
        <v>823</v>
      </c>
    </row>
    <row r="46" spans="1:9" s="1013" customFormat="1" ht="12.75">
      <c r="B46" s="1938" t="str">
        <f ca="1">项目基本情况!K4</f>
        <v>王鹏（注册号：1120050019)、郑燚（注册号：0)</v>
      </c>
    </row>
    <row r="47" spans="1:9">
      <c r="A47" s="1013"/>
      <c r="B47" s="1013" t="str">
        <f>项目基本情况!K5</f>
        <v/>
      </c>
    </row>
    <row r="48" spans="1:9">
      <c r="A48" s="1013" t="s">
        <v>818</v>
      </c>
      <c r="B48" s="1013" t="s">
        <v>824</v>
      </c>
    </row>
    <row r="49" spans="2:2">
      <c r="B49" s="1938" t="str">
        <f>"康正预评字"&amp;项目基本情况!B2&amp;"号"</f>
        <v>康正预评字2019-1-0478-P02DYGJ2号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3"/>
      <c r="C1" s="2547" t="s">
        <v>2425</v>
      </c>
      <c r="D1" s="241"/>
      <c r="E1" s="241"/>
      <c r="F1" s="241"/>
      <c r="G1" s="1377">
        <f>MATCH(B1,'数据-取费表'!A6:A16,0)+5</f>
        <v>7</v>
      </c>
      <c r="H1" s="1280" t="str">
        <f>IF(ISERROR(FIND("住宅",B1)),"非住宅","住宅")</f>
        <v>非住宅</v>
      </c>
    </row>
    <row r="2" spans="1:8" s="243" customFormat="1" ht="18" customHeight="1">
      <c r="A2" s="244" t="s">
        <v>2324</v>
      </c>
      <c r="B2" s="245">
        <f ca="1">ROUND(IF(D2="——",C52/10000,C52/10000-E2),0)</f>
        <v>107</v>
      </c>
      <c r="C2" s="242" t="s">
        <v>2325</v>
      </c>
      <c r="D2" s="2541" t="s">
        <v>70</v>
      </c>
      <c r="E2" s="1438" t="e">
        <f ca="1">SUMIF(INDIRECT("'"&amp;G2&amp;"'"&amp;"!A:A"),"承租人权益价值",INDIRECT("'"&amp;G2&amp;"'"&amp;"!c:c"))</f>
        <v>#REF!</v>
      </c>
      <c r="F2" s="2542" t="s">
        <v>2325</v>
      </c>
      <c r="G2" s="2543"/>
    </row>
    <row r="3" spans="1:8" s="243" customFormat="1" ht="18" customHeight="1" thickBot="1">
      <c r="A3" s="246" t="s">
        <v>2326</v>
      </c>
      <c r="B3" s="247">
        <f ca="1">ROUND(B2*10000/(IF(B1="",'数据-汇总表'!E3,INDIRECT("'数据-取费表'!k"&amp;$G$1))),0)</f>
        <v>2522</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16968</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4.0500000000000001E-2</v>
      </c>
      <c r="G7" s="262"/>
    </row>
    <row r="8" spans="1:8" s="266" customFormat="1">
      <c r="A8" s="948" t="s">
        <v>2338</v>
      </c>
      <c r="B8" s="258" t="s">
        <v>2339</v>
      </c>
      <c r="C8" s="263">
        <f ca="1">IF(G8="已包含在土地购买价格中",0,C9+C10)</f>
        <v>16968</v>
      </c>
      <c r="D8" s="265"/>
      <c r="E8" s="263"/>
      <c r="F8" s="264"/>
      <c r="G8" s="2544"/>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2342</v>
      </c>
      <c r="C10" s="268">
        <f ca="1">ROUND(D10*E10,0)</f>
        <v>16968</v>
      </c>
      <c r="D10" s="1031">
        <f ca="1">IF(B1="",'数据-汇总表'!E6,IF(INDIRECT("'数据-取费表'!c"&amp;$G$1)="住宅",INDIRECT("'数据-取费表'!s"&amp;$G$1),INDIRECT("'数据-取费表'!k"&amp;$G$1)+INDIRECT("'数据-取费表'!s"&amp;$G$1)))</f>
        <v>424.2</v>
      </c>
      <c r="E10" s="268">
        <f>'数据-取费表'!B28</f>
        <v>40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63630</v>
      </c>
      <c r="D19" s="1035">
        <f ca="1">D9+D10</f>
        <v>424.2</v>
      </c>
      <c r="E19" s="254">
        <f>'数据-取费表'!B31</f>
        <v>150</v>
      </c>
      <c r="F19" s="274"/>
      <c r="G19" s="2544"/>
    </row>
    <row r="20" spans="1:7" s="257" customFormat="1" ht="13.5" customHeight="1">
      <c r="A20" s="298" t="s">
        <v>2436</v>
      </c>
      <c r="B20" s="253" t="s">
        <v>2437</v>
      </c>
      <c r="C20" s="275">
        <f ca="1">ROUND((C5+C19)*F20,0)</f>
        <v>1612</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8">
        <f ca="1">ROUND(SUM(C23:C25),0)</f>
        <v>3541</v>
      </c>
      <c r="D22" s="278">
        <f ca="1">C26</f>
        <v>4.0000000000000002E-4</v>
      </c>
      <c r="E22" s="279" t="s">
        <v>2441</v>
      </c>
      <c r="F22" s="280">
        <f ca="1">'数据-取费表'!B40</f>
        <v>4.3499999999999997E-2</v>
      </c>
      <c r="G22" s="277" t="str">
        <f>IF('数据-取费表'!B22&lt;=1,"单利计息","复利计息")</f>
        <v>单利计息</v>
      </c>
    </row>
    <row r="23" spans="1:7" s="257" customFormat="1" ht="13.5" customHeight="1">
      <c r="A23" s="950" t="s">
        <v>2334</v>
      </c>
      <c r="B23" s="258" t="s">
        <v>2445</v>
      </c>
      <c r="C23" s="1379">
        <f ca="1">ROUND(IF('数据-取费表'!B22&lt;=1,C5*F22*'数据-取费表'!B22,C5*(POWER((1+F22),'数据-取费表'!B22)-1)),0)</f>
        <v>738</v>
      </c>
      <c r="D23" s="281"/>
      <c r="E23" s="281"/>
      <c r="F23" s="282"/>
      <c r="G23" s="283" t="s">
        <v>2446</v>
      </c>
    </row>
    <row r="24" spans="1:7" s="257" customFormat="1" ht="13.5" customHeight="1">
      <c r="A24" s="950" t="s">
        <v>2336</v>
      </c>
      <c r="B24" s="258" t="s">
        <v>2447</v>
      </c>
      <c r="C24" s="1379">
        <f ca="1">ROUND(IF('数据-取费表'!B22&lt;=1,C19*F22*('数据-取费表'!B19/2+'数据-取费表'!B20),C19*(POWER((1+F22),('数据-取费表'!B19/2+'数据-取费表'!B20))-1)),0)</f>
        <v>2768</v>
      </c>
      <c r="D24" s="281"/>
      <c r="E24" s="281"/>
      <c r="F24" s="282"/>
      <c r="G24" s="283" t="s">
        <v>2448</v>
      </c>
    </row>
    <row r="25" spans="1:7" s="257" customFormat="1" ht="24">
      <c r="A25" s="950" t="s">
        <v>2338</v>
      </c>
      <c r="B25" s="258" t="s">
        <v>2449</v>
      </c>
      <c r="C25" s="1379">
        <f ca="1">ROUND(IF('数据-取费表'!B22&lt;=1,C20*F22*'数据-取费表'!B22/2,C20*(POWER((1+F22),'数据-取费表'!B22/2)-1)),0)</f>
        <v>35</v>
      </c>
      <c r="D25" s="281"/>
      <c r="E25" s="284"/>
      <c r="F25" s="282"/>
      <c r="G25" s="285" t="s">
        <v>2450</v>
      </c>
    </row>
    <row r="26" spans="1:7" s="257" customFormat="1">
      <c r="A26" s="950" t="s">
        <v>795</v>
      </c>
      <c r="B26" s="258" t="s">
        <v>2373</v>
      </c>
      <c r="C26" s="281">
        <f ca="1">ROUND(IF('数据-取费表'!B22&lt;=1,F21*F22*'数据-取费表'!B22/2,F21*(POWER((1+F22),'数据-取费表'!B22/2)-1)),4)</f>
        <v>4.0000000000000002E-4</v>
      </c>
      <c r="D26" s="281"/>
      <c r="E26" s="284"/>
      <c r="F26" s="282"/>
      <c r="G26" s="286"/>
    </row>
    <row r="27" spans="1:7" s="257" customFormat="1" ht="24.75">
      <c r="A27" s="298" t="s">
        <v>2374</v>
      </c>
      <c r="B27" s="287" t="s">
        <v>2375</v>
      </c>
      <c r="C27" s="288">
        <f ca="1">C28</f>
        <v>8221</v>
      </c>
      <c r="D27" s="278">
        <f ca="1">C29</f>
        <v>2E-3</v>
      </c>
      <c r="E27" s="279" t="s">
        <v>2376</v>
      </c>
      <c r="F27" s="289">
        <f ca="1">IF(B1="",'数据-取费表'!Q16,INDIRECT("'数据-取费表'!q"&amp;$G$1))</f>
        <v>0.1</v>
      </c>
      <c r="G27" s="290" t="s">
        <v>2377</v>
      </c>
    </row>
    <row r="28" spans="1:7" s="257" customFormat="1" ht="13.5" customHeight="1">
      <c r="A28" s="950" t="s">
        <v>791</v>
      </c>
      <c r="B28" s="291" t="s">
        <v>2378</v>
      </c>
      <c r="C28" s="292">
        <f ca="1">ROUND((C5+C19+C20)*F27,0)</f>
        <v>8221</v>
      </c>
      <c r="D28" s="278"/>
      <c r="E28" s="279"/>
      <c r="F28" s="289"/>
      <c r="G28" s="290"/>
    </row>
    <row r="29" spans="1:7" s="257" customFormat="1" ht="13.5" customHeight="1">
      <c r="A29" s="950" t="s">
        <v>792</v>
      </c>
      <c r="B29" s="291" t="s">
        <v>2379</v>
      </c>
      <c r="C29" s="281">
        <f ca="1">ROUND(C21*F27,4)</f>
        <v>2E-3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101569</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1038866</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933240</v>
      </c>
      <c r="D34" s="260"/>
      <c r="E34" s="263"/>
      <c r="F34" s="300"/>
      <c r="G34" s="262"/>
    </row>
    <row r="35" spans="1:7" ht="13.5" customHeight="1">
      <c r="A35" s="950" t="s">
        <v>796</v>
      </c>
      <c r="B35" s="258" t="s">
        <v>2389</v>
      </c>
      <c r="C35" s="263">
        <f ca="1">ROUND(C34*F35,0)</f>
        <v>27997</v>
      </c>
      <c r="D35" s="263"/>
      <c r="E35" s="263"/>
      <c r="F35" s="302">
        <f>'数据-取费表'!B33</f>
        <v>0.03</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0.05</v>
      </c>
      <c r="G36" s="303" t="s">
        <v>2392</v>
      </c>
    </row>
    <row r="37" spans="1:7" s="301" customFormat="1" ht="13.5" customHeight="1">
      <c r="A37" s="950" t="s">
        <v>798</v>
      </c>
      <c r="B37" s="258" t="s">
        <v>2393</v>
      </c>
      <c r="C37" s="292">
        <f ca="1">ROUND(E37*D37,0)</f>
        <v>63630</v>
      </c>
      <c r="D37" s="260">
        <f ca="1">D19</f>
        <v>424.2</v>
      </c>
      <c r="E37" s="292">
        <f>'数据-取费表'!B35</f>
        <v>150</v>
      </c>
      <c r="F37" s="302"/>
      <c r="G37" s="304"/>
    </row>
    <row r="38" spans="1:7" ht="13.5" customHeight="1">
      <c r="A38" s="950" t="s">
        <v>799</v>
      </c>
      <c r="B38" s="258" t="s">
        <v>2395</v>
      </c>
      <c r="C38" s="263">
        <f ca="1">ROUND(C34*F38,0)</f>
        <v>13999</v>
      </c>
      <c r="D38" s="263"/>
      <c r="E38" s="263"/>
      <c r="F38" s="302">
        <f>'数据-取费表'!B36</f>
        <v>1.4999999999999999E-2</v>
      </c>
      <c r="G38" s="262" t="s">
        <v>2390</v>
      </c>
    </row>
    <row r="39" spans="1:7" s="257" customFormat="1" ht="13.5" customHeight="1">
      <c r="A39" s="298" t="s">
        <v>2396</v>
      </c>
      <c r="B39" s="253" t="s">
        <v>2397</v>
      </c>
      <c r="C39" s="275">
        <f ca="1">ROUND(C33*F20,0)</f>
        <v>20777</v>
      </c>
      <c r="D39" s="275"/>
      <c r="E39" s="275"/>
      <c r="F39" s="276"/>
      <c r="G39" s="277" t="s">
        <v>2398</v>
      </c>
    </row>
    <row r="40" spans="1:7" s="257" customFormat="1" ht="13.5" customHeight="1">
      <c r="A40" s="298" t="s">
        <v>2399</v>
      </c>
      <c r="B40" s="253" t="s">
        <v>2400</v>
      </c>
      <c r="C40" s="1726">
        <f>F21</f>
        <v>0.02</v>
      </c>
      <c r="D40" s="279" t="s">
        <v>2401</v>
      </c>
      <c r="E40" s="275"/>
      <c r="F40" s="276"/>
      <c r="G40" s="277" t="s">
        <v>2402</v>
      </c>
    </row>
    <row r="41" spans="1:7" s="257" customFormat="1" ht="13.5" customHeight="1">
      <c r="A41" s="298" t="s">
        <v>2403</v>
      </c>
      <c r="B41" s="253" t="s">
        <v>2404</v>
      </c>
      <c r="C41" s="275">
        <f ca="1">ROUND(SUM(C42:C43),0)</f>
        <v>23047</v>
      </c>
      <c r="D41" s="278">
        <f ca="1">C44</f>
        <v>4.0000000000000002E-4</v>
      </c>
      <c r="E41" s="279" t="s">
        <v>2401</v>
      </c>
      <c r="F41" s="280"/>
      <c r="G41" s="277" t="str">
        <f>IF('数据-取费表'!B22&lt;=1,"单利计息","复利计息")</f>
        <v>单利计息</v>
      </c>
    </row>
    <row r="42" spans="1:7" ht="13.5" customHeight="1">
      <c r="A42" s="950" t="s">
        <v>791</v>
      </c>
      <c r="B42" s="258" t="s">
        <v>2405</v>
      </c>
      <c r="C42" s="281">
        <f ca="1">ROUND(IF('数据-取费表'!B22&lt;=1,C33*F22*'数据-取费表'!B20/2,C33*(POWER((1+F22),'数据-取费表'!B20/2)-1)),0)</f>
        <v>22595</v>
      </c>
      <c r="D42" s="281"/>
      <c r="E42" s="281"/>
      <c r="F42" s="282"/>
      <c r="G42" s="3207" t="s">
        <v>2453</v>
      </c>
    </row>
    <row r="43" spans="1:7" ht="13.5" customHeight="1">
      <c r="A43" s="950" t="s">
        <v>792</v>
      </c>
      <c r="B43" s="258" t="s">
        <v>2407</v>
      </c>
      <c r="C43" s="281">
        <f ca="1">ROUND(IF('数据-取费表'!B22&lt;=1,C39*F22*'数据-取费表'!B20/2,C39*(POWER((1+F22),'数据-取费表'!B20/2)-1)),0)</f>
        <v>452</v>
      </c>
      <c r="D43" s="281"/>
      <c r="E43" s="281"/>
      <c r="F43" s="282"/>
      <c r="G43" s="3208"/>
    </row>
    <row r="44" spans="1:7" ht="13.5" customHeight="1">
      <c r="A44" s="950" t="s">
        <v>793</v>
      </c>
      <c r="B44" s="258" t="s">
        <v>2408</v>
      </c>
      <c r="C44" s="281">
        <f ca="1">ROUND(IF('数据-取费表'!B22&lt;=1,C40*F22*'数据-取费表'!B20/2,C40*(POWER((1+F22),'数据-取费表'!B20/2)-1)),4)</f>
        <v>4.0000000000000002E-4</v>
      </c>
      <c r="D44" s="281"/>
      <c r="E44" s="281"/>
      <c r="F44" s="282"/>
      <c r="G44" s="3209"/>
    </row>
    <row r="45" spans="1:7" s="257" customFormat="1" ht="13.5" customHeight="1">
      <c r="A45" s="298" t="s">
        <v>2409</v>
      </c>
      <c r="B45" s="287" t="s">
        <v>2375</v>
      </c>
      <c r="C45" s="288">
        <f ca="1">C46</f>
        <v>105964</v>
      </c>
      <c r="D45" s="278">
        <f ca="1">C47</f>
        <v>2E-3</v>
      </c>
      <c r="E45" s="279" t="s">
        <v>2401</v>
      </c>
      <c r="F45" s="289"/>
      <c r="G45" s="290" t="s">
        <v>2410</v>
      </c>
    </row>
    <row r="46" spans="1:7" s="257" customFormat="1" ht="13.5" customHeight="1">
      <c r="A46" s="950" t="s">
        <v>791</v>
      </c>
      <c r="B46" s="291" t="s">
        <v>2411</v>
      </c>
      <c r="C46" s="292">
        <f ca="1">ROUND((C33+C39)*F27,0)</f>
        <v>105964</v>
      </c>
      <c r="D46" s="306"/>
      <c r="E46" s="279"/>
      <c r="F46" s="289"/>
      <c r="G46" s="290"/>
    </row>
    <row r="47" spans="1:7" s="257" customFormat="1" ht="13.5" customHeight="1">
      <c r="A47" s="950" t="s">
        <v>792</v>
      </c>
      <c r="B47" s="291" t="s">
        <v>2412</v>
      </c>
      <c r="C47" s="281">
        <f ca="1">ROUND(C40*F27,4)</f>
        <v>2E-3</v>
      </c>
      <c r="D47" s="306"/>
      <c r="E47" s="279"/>
      <c r="F47" s="289"/>
      <c r="G47" s="290"/>
    </row>
    <row r="48" spans="1:7" s="257" customFormat="1" ht="13.5" customHeight="1">
      <c r="A48" s="298" t="s">
        <v>2374</v>
      </c>
      <c r="B48" s="253" t="s">
        <v>2413</v>
      </c>
      <c r="C48" s="305">
        <f>ROUND(F30/(1+'数据-取费表'!C42),4)</f>
        <v>5.2400000000000002E-2</v>
      </c>
      <c r="D48" s="279" t="s">
        <v>2401</v>
      </c>
      <c r="E48" s="275"/>
      <c r="F48" s="280"/>
      <c r="G48" s="277" t="s">
        <v>2414</v>
      </c>
    </row>
    <row r="49" spans="1:7" ht="16.5" customHeight="1">
      <c r="A49" s="298" t="s">
        <v>2380</v>
      </c>
      <c r="B49" s="253" t="s">
        <v>2454</v>
      </c>
      <c r="C49" s="275">
        <f ca="1">ROUND((C33+C39+C41+C45)/(1-C40-D41-D45-C48),0)</f>
        <v>1284754</v>
      </c>
      <c r="D49" s="275"/>
      <c r="E49" s="275"/>
      <c r="F49" s="307"/>
      <c r="G49" s="277" t="s">
        <v>2416</v>
      </c>
    </row>
    <row r="50" spans="1:7" s="301" customFormat="1">
      <c r="A50" s="298" t="s">
        <v>2417</v>
      </c>
      <c r="B50" s="253" t="s">
        <v>2418</v>
      </c>
      <c r="C50" s="275"/>
      <c r="D50" s="275"/>
      <c r="E50" s="275"/>
      <c r="F50" s="307">
        <f>IF('数据-取费表'!B24=0,'数据-取费表'!N16,1)</f>
        <v>0.75</v>
      </c>
      <c r="G50" s="290"/>
    </row>
    <row r="51" spans="1:7" ht="16.5" customHeight="1">
      <c r="A51" s="298" t="s">
        <v>2420</v>
      </c>
      <c r="B51" s="253" t="s">
        <v>2455</v>
      </c>
      <c r="C51" s="275">
        <f ca="1">ROUND(C49*F50,0)</f>
        <v>963566</v>
      </c>
      <c r="D51" s="275"/>
      <c r="E51" s="275"/>
      <c r="F51" s="307"/>
      <c r="G51" s="277" t="s">
        <v>2422</v>
      </c>
    </row>
    <row r="52" spans="1:7" s="251" customFormat="1" ht="16.5" thickBot="1">
      <c r="A52" s="308" t="s">
        <v>2423</v>
      </c>
      <c r="B52" s="309"/>
      <c r="C52" s="310">
        <f ca="1">C31+C51</f>
        <v>1065135</v>
      </c>
      <c r="D52" s="309"/>
      <c r="E52" s="309"/>
      <c r="F52" s="309"/>
      <c r="G52" s="311"/>
    </row>
    <row r="55" spans="1:7" ht="15">
      <c r="B55" s="313" t="s">
        <v>2424</v>
      </c>
      <c r="C55" s="314"/>
    </row>
    <row r="56" spans="1:7">
      <c r="B56" s="316" t="s">
        <v>1508</v>
      </c>
      <c r="C56" s="318">
        <f ca="1">1-C57</f>
        <v>9.4999999999999973E-2</v>
      </c>
    </row>
    <row r="57" spans="1:7">
      <c r="B57" s="316" t="s">
        <v>1509</v>
      </c>
      <c r="C57" s="317">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2456</v>
      </c>
      <c r="B1" s="1579"/>
      <c r="C1" s="1580"/>
      <c r="D1" s="1578"/>
      <c r="E1" s="319"/>
      <c r="F1" s="319"/>
      <c r="G1" s="1579"/>
      <c r="H1" s="319"/>
      <c r="I1" s="319"/>
      <c r="J1" s="319"/>
      <c r="K1" s="319">
        <f>MATCH(C1,'数据-取费表'!A6:A16,0)+5</f>
        <v>7</v>
      </c>
    </row>
    <row r="2" spans="1:33" ht="18" customHeight="1">
      <c r="A2" s="244" t="s">
        <v>2324</v>
      </c>
      <c r="B2" s="247">
        <f ca="1">C32</f>
        <v>-2</v>
      </c>
      <c r="C2" s="319" t="s">
        <v>2457</v>
      </c>
      <c r="D2" s="319"/>
      <c r="E2" s="319"/>
      <c r="F2" s="319"/>
      <c r="G2" s="319"/>
      <c r="H2" s="319"/>
      <c r="I2" s="319"/>
      <c r="J2" s="319"/>
      <c r="K2" s="319"/>
    </row>
    <row r="3" spans="1:33" ht="18" customHeight="1" thickBot="1">
      <c r="A3" s="246" t="s">
        <v>2326</v>
      </c>
      <c r="B3" s="247">
        <f ca="1">ROUND(B2*10000/IF(C1="",'数据-汇总表'!E3,INDIRECT("'数据-取费表'!K"&amp;$K$1)),0)</f>
        <v>-47</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48" t="s">
        <v>2462</v>
      </c>
      <c r="D5" s="2548" t="s">
        <v>2463</v>
      </c>
      <c r="E5" s="2548" t="s">
        <v>2464</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4"/>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4"/>
      <c r="F13" s="975">
        <f>'数据-取费表'!B34</f>
        <v>0.05</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424.2</v>
      </c>
      <c r="E14" s="24">
        <f>'数据-取费表'!B35</f>
        <v>150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424.2</v>
      </c>
      <c r="E17" s="24">
        <f>'数据-取费表'!B32</f>
        <v>0</v>
      </c>
      <c r="F17" s="977"/>
      <c r="G17" s="139" t="s">
        <v>2488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2</v>
      </c>
      <c r="D18" s="1032"/>
      <c r="E18" s="24"/>
      <c r="F18" s="975"/>
      <c r="G18" s="2550"/>
      <c r="H18" s="1575"/>
      <c r="I18" s="2551"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2492</v>
      </c>
      <c r="C20" s="24">
        <f ca="1">ROUND(D20*E20/10000,0)</f>
        <v>2</v>
      </c>
      <c r="D20" s="1032">
        <f ca="1">IF(C1="",'数据-汇总表'!E6,IF(INDIRECT("'数据-取费表'!c"&amp;$K$1)="住宅",INDIRECT("'数据-取费表'!s"&amp;$K$1),INDIRECT("'数据-取费表'!k"&amp;$K$1)+INDIRECT("'数据-取费表'!s"&amp;$K$1)))</f>
        <v>424.2</v>
      </c>
      <c r="E20" s="24">
        <f>'数据-取费表'!B28</f>
        <v>40</v>
      </c>
      <c r="F20" s="975"/>
      <c r="G20" s="15"/>
      <c r="H20" s="980"/>
      <c r="I20" s="980"/>
      <c r="J20" s="980"/>
      <c r="K20" s="981"/>
    </row>
    <row r="21" spans="1:33" s="974" customFormat="1" ht="13.5" customHeight="1">
      <c r="A21" s="960" t="s">
        <v>802</v>
      </c>
      <c r="B21" s="984" t="s">
        <v>2493</v>
      </c>
      <c r="C21" s="985">
        <f ca="1">C16+C17+C18</f>
        <v>2</v>
      </c>
      <c r="D21" s="986"/>
      <c r="E21" s="324"/>
      <c r="F21" s="324"/>
      <c r="G21" s="139" t="s">
        <v>2494</v>
      </c>
      <c r="H21" s="978"/>
      <c r="I21" s="978"/>
      <c r="J21" s="978"/>
      <c r="K21" s="979"/>
    </row>
    <row r="22" spans="1:33" s="974" customFormat="1" ht="13.5" customHeight="1">
      <c r="A22" s="960" t="s">
        <v>2466</v>
      </c>
      <c r="B22" s="984" t="s">
        <v>2495</v>
      </c>
      <c r="C22" s="985">
        <f ca="1">ROUND(C21*F22,0)</f>
        <v>0</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3.8600000000000002E-2</v>
      </c>
      <c r="D24" s="324" t="s">
        <v>15</v>
      </c>
      <c r="E24" s="324"/>
      <c r="F24" s="987">
        <f>IF(项目基本情况!B8="出让",0,'数据-取费表'!B48+'数据-取费表'!B49)</f>
        <v>4.0500000000000001E-2</v>
      </c>
      <c r="G24" s="8" t="s">
        <v>2501</v>
      </c>
      <c r="H24" s="989"/>
      <c r="I24" s="989"/>
      <c r="J24" s="989"/>
      <c r="K24" s="990"/>
    </row>
    <row r="25" spans="1:33" s="974" customFormat="1" ht="13.5" customHeight="1">
      <c r="A25" s="960" t="s">
        <v>2502</v>
      </c>
      <c r="B25" s="986" t="s">
        <v>2503</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2504</v>
      </c>
      <c r="C26" s="1355">
        <f ca="1">ROUND(IF('数据-取费表'!B22&lt;=1,(1+C24)*F25*'数据-取费表'!B24,(1+C24)*(POWER((1+F25),'数据-取费表'!B24)-1)),4)</f>
        <v>0</v>
      </c>
      <c r="D26" s="327"/>
      <c r="E26" s="328"/>
      <c r="F26" s="329"/>
      <c r="G26" s="2552"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2505</v>
      </c>
      <c r="C27" s="1356">
        <f ca="1">ROUND(IF('数据-取费表'!B22&lt;=1,(C21+C22+C23)*F25*'数据-取费表'!B24/2,(C21+C22+C23)*(POWER((1+F25),'数据-取费表'!B24/2)-1)),0)</f>
        <v>0</v>
      </c>
      <c r="D27" s="327"/>
      <c r="E27" s="328"/>
      <c r="F27" s="329"/>
      <c r="G27" s="2552" t="str">
        <f>IF('数据-取费表'!B22&lt;=1,"（1）-（3）项×年利率×建设期÷2","（1）-（3）项×((1+年利率)^(建设期÷2)-1)")</f>
        <v>（1）-（3）项×年利率×建设期÷2</v>
      </c>
      <c r="H27" s="978"/>
      <c r="I27" s="978"/>
      <c r="J27" s="978"/>
      <c r="K27" s="979"/>
    </row>
    <row r="28" spans="1:33" s="332" customFormat="1" ht="13.5" customHeight="1">
      <c r="A28" s="960" t="s">
        <v>2506</v>
      </c>
      <c r="B28" s="2553" t="s">
        <v>2507</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0</v>
      </c>
      <c r="D30" s="327"/>
      <c r="E30" s="328"/>
      <c r="F30" s="333"/>
      <c r="G30" s="139"/>
      <c r="H30" s="978"/>
      <c r="I30" s="978"/>
      <c r="J30" s="978"/>
      <c r="K30" s="979"/>
    </row>
    <row r="31" spans="1:33" s="974" customFormat="1" ht="13.5" customHeight="1" thickBot="1">
      <c r="A31" s="2554" t="s">
        <v>2511</v>
      </c>
      <c r="B31" s="1004" t="s">
        <v>2512</v>
      </c>
      <c r="C31" s="1005">
        <f>ROUND(C4*F31/(1+'数据-取费表'!C42),0)</f>
        <v>0</v>
      </c>
      <c r="D31" s="1006"/>
      <c r="E31" s="1007"/>
      <c r="F31" s="1008">
        <f>'数据-取费表'!B41</f>
        <v>5.5000000000000007E-2</v>
      </c>
      <c r="G31" s="1009" t="s">
        <v>2513</v>
      </c>
      <c r="H31" s="1010"/>
      <c r="I31" s="1010"/>
      <c r="J31" s="1010"/>
      <c r="K31" s="1011"/>
    </row>
    <row r="32" spans="1:33" s="969" customFormat="1" ht="13.5" customHeight="1" thickBot="1">
      <c r="A32" s="999" t="s">
        <v>2514</v>
      </c>
      <c r="B32" s="1000"/>
      <c r="C32" s="1001">
        <f ca="1">ROUND((C4-C21-C22-C23-C25-C28-C31)/(1+C24+D25+D28),0)</f>
        <v>-2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 sqref="C4:D4"/>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73</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1721</v>
      </c>
      <c r="C3" s="246" t="s">
        <v>2743</v>
      </c>
      <c r="D3" s="1581">
        <f>E56</f>
        <v>424.2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2642</v>
      </c>
      <c r="B4" s="401"/>
      <c r="C4" s="3214" t="s">
        <v>2643</v>
      </c>
      <c r="D4" s="3227"/>
      <c r="E4" s="3228" t="s">
        <v>2644</v>
      </c>
      <c r="F4" s="3229"/>
      <c r="G4" s="3214" t="s">
        <v>2645</v>
      </c>
      <c r="H4" s="3227"/>
      <c r="I4" s="3214" t="s">
        <v>2646</v>
      </c>
      <c r="J4" s="3227"/>
      <c r="K4" s="609" t="s">
        <v>2647</v>
      </c>
      <c r="L4" s="1128"/>
      <c r="M4" s="1129"/>
      <c r="N4" s="1129"/>
      <c r="O4" s="1129"/>
      <c r="P4" s="3230" t="s">
        <v>2648</v>
      </c>
      <c r="Q4" s="3231"/>
      <c r="R4" s="3236" t="s">
        <v>2644</v>
      </c>
      <c r="S4" s="3237"/>
      <c r="T4" s="3236" t="s">
        <v>2645</v>
      </c>
      <c r="U4" s="3237"/>
      <c r="V4" s="3223" t="s">
        <v>2646</v>
      </c>
      <c r="W4" s="3223"/>
      <c r="X4" s="1810"/>
      <c r="Y4" s="3236" t="s">
        <v>2648</v>
      </c>
      <c r="Z4" s="3237"/>
      <c r="AA4" s="3224" t="s">
        <v>2644</v>
      </c>
      <c r="AB4" s="3225" t="s">
        <v>2645</v>
      </c>
      <c r="AC4" s="3224" t="s">
        <v>2646</v>
      </c>
    </row>
    <row r="5" spans="1:30" ht="15">
      <c r="A5" s="403"/>
      <c r="B5" s="404"/>
      <c r="C5" s="3244" t="s">
        <v>2539</v>
      </c>
      <c r="D5" s="3245"/>
      <c r="E5" s="3251" t="str">
        <f>Sheet2!A4</f>
        <v>大冶湖核心区地质馆以西经四路以南园博路以北716、808、809地块</v>
      </c>
      <c r="F5" s="3252"/>
      <c r="G5" s="3244" t="str">
        <f>Sheet2!A5</f>
        <v>金山大道以南A15路以东中级法院以西</v>
      </c>
      <c r="H5" s="3245"/>
      <c r="I5" s="3244" t="str">
        <f>Sheet2!A10</f>
        <v>东风东路以北、金湖大道以东</v>
      </c>
      <c r="J5" s="3245"/>
      <c r="K5" s="609"/>
      <c r="L5" s="1128"/>
      <c r="M5" s="1129"/>
      <c r="N5" s="1129"/>
      <c r="O5" s="1129"/>
      <c r="P5" s="3232"/>
      <c r="Q5" s="3233"/>
      <c r="R5" s="3238"/>
      <c r="S5" s="3239"/>
      <c r="T5" s="3238"/>
      <c r="U5" s="3239"/>
      <c r="V5" s="3223"/>
      <c r="W5" s="3223"/>
      <c r="X5" s="1810"/>
      <c r="Y5" s="3238"/>
      <c r="Z5" s="3239"/>
      <c r="AA5" s="3225"/>
      <c r="AB5" s="3225"/>
      <c r="AC5" s="3225"/>
    </row>
    <row r="6" spans="1:30" ht="15.75" thickBot="1">
      <c r="A6" s="405"/>
      <c r="B6" s="406"/>
      <c r="C6" s="3242" t="s">
        <v>2543</v>
      </c>
      <c r="D6" s="3243"/>
      <c r="E6" s="3249" t="s">
        <v>2543</v>
      </c>
      <c r="F6" s="3250"/>
      <c r="G6" s="3242" t="s">
        <v>2543</v>
      </c>
      <c r="H6" s="3243"/>
      <c r="I6" s="3242" t="s">
        <v>2543</v>
      </c>
      <c r="J6" s="3243"/>
      <c r="K6" s="609" t="s">
        <v>2544</v>
      </c>
      <c r="L6" s="1128"/>
      <c r="M6" s="1129"/>
      <c r="N6" s="1129"/>
      <c r="O6" s="1129"/>
      <c r="P6" s="3234"/>
      <c r="Q6" s="3235"/>
      <c r="R6" s="3238"/>
      <c r="S6" s="3239"/>
      <c r="T6" s="3240"/>
      <c r="U6" s="3241"/>
      <c r="V6" s="3223"/>
      <c r="W6" s="3223"/>
      <c r="X6" s="1810"/>
      <c r="Y6" s="3240"/>
      <c r="Z6" s="3241"/>
      <c r="AA6" s="3226"/>
      <c r="AB6" s="3226"/>
      <c r="AC6" s="3226"/>
    </row>
    <row r="7" spans="1:30" s="117" customFormat="1" ht="15.75" thickBot="1">
      <c r="A7" s="407" t="s">
        <v>2545</v>
      </c>
      <c r="B7" s="408"/>
      <c r="C7" s="409">
        <f>'数据-取费表'!B2</f>
        <v>43676</v>
      </c>
      <c r="D7" s="410">
        <v>100</v>
      </c>
      <c r="E7" s="411" t="str">
        <f>Sheet2!H4</f>
        <v>2018-12-18</v>
      </c>
      <c r="F7" s="412">
        <f>SUMIF(70:70,YEAR(E7)&amp;"-"&amp;INT((MONTH(E7)+2)/3),71:71)</f>
        <v>97</v>
      </c>
      <c r="G7" s="2690" t="str">
        <f>Sheet2!H5</f>
        <v>2018-12-13</v>
      </c>
      <c r="H7" s="410">
        <f>SUMIF(70:70,YEAR(G7)&amp;"-"&amp;INT((MONTH(G7)+2)/3),71:71)</f>
        <v>97</v>
      </c>
      <c r="I7" s="2690" t="str">
        <f>Sheet2!H10</f>
        <v>2018-04-17</v>
      </c>
      <c r="J7" s="410">
        <f>SUMIF(70:70,YEAR(I7)&amp;"-"&amp;INT((MONTH(I7)+2)/3),71:71)</f>
        <v>95</v>
      </c>
      <c r="K7" s="610"/>
      <c r="L7" s="1130"/>
      <c r="M7" s="1131"/>
      <c r="N7" s="1131"/>
      <c r="O7" s="1131"/>
      <c r="P7" s="3246" t="s">
        <v>2546</v>
      </c>
      <c r="Q7" s="3248"/>
      <c r="R7" s="769" t="s">
        <v>17</v>
      </c>
      <c r="S7" s="770">
        <f t="shared" ref="S7:S15" si="0">F7</f>
        <v>97</v>
      </c>
      <c r="T7" s="769" t="s">
        <v>17</v>
      </c>
      <c r="U7" s="770">
        <f t="shared" ref="U7:U15" si="1">H7</f>
        <v>97</v>
      </c>
      <c r="V7" s="769" t="s">
        <v>17</v>
      </c>
      <c r="W7" s="770">
        <f t="shared" ref="W7:W15" si="2">J7</f>
        <v>95</v>
      </c>
      <c r="X7" s="771"/>
      <c r="Y7" s="3246" t="s">
        <v>2546</v>
      </c>
      <c r="Z7" s="3247"/>
      <c r="AA7" s="772">
        <f>D7/F7</f>
        <v>1.0309278350515463</v>
      </c>
      <c r="AB7" s="772">
        <f>D7/H7</f>
        <v>1.0309278350515463</v>
      </c>
      <c r="AC7" s="772">
        <f>D7/J7</f>
        <v>1.0526315789473684</v>
      </c>
    </row>
    <row r="8" spans="1:30" s="117" customFormat="1" ht="15.75" thickBot="1">
      <c r="A8" s="407" t="s">
        <v>2547</v>
      </c>
      <c r="B8" s="408"/>
      <c r="C8" s="413" t="s">
        <v>2548</v>
      </c>
      <c r="D8" s="410">
        <v>100</v>
      </c>
      <c r="E8" s="2956" t="s">
        <v>3175</v>
      </c>
      <c r="F8" s="412">
        <f>SUMIF(73:73,E8,74:74)-SUMIF(73:73,C8,74:74)+100</f>
        <v>100</v>
      </c>
      <c r="G8" s="2956" t="s">
        <v>3175</v>
      </c>
      <c r="H8" s="410">
        <f>SUMIF(73:73,G8,74:74)-SUMIF(73:73,C8,74:74)+100</f>
        <v>100</v>
      </c>
      <c r="I8" s="2956" t="s">
        <v>3175</v>
      </c>
      <c r="J8" s="410">
        <f>SUMIF(73:73,I8,74:74)-SUMIF(73:73,C8,74:74)+100</f>
        <v>100</v>
      </c>
      <c r="K8" s="610"/>
      <c r="L8" s="1130"/>
      <c r="M8" s="1131"/>
      <c r="N8" s="1131"/>
      <c r="O8" s="1131"/>
      <c r="P8" s="3246" t="s">
        <v>2549</v>
      </c>
      <c r="Q8" s="3247"/>
      <c r="R8" s="769" t="s">
        <v>17</v>
      </c>
      <c r="S8" s="770">
        <f t="shared" si="0"/>
        <v>100</v>
      </c>
      <c r="T8" s="769" t="s">
        <v>17</v>
      </c>
      <c r="U8" s="770">
        <f t="shared" si="1"/>
        <v>100</v>
      </c>
      <c r="V8" s="769" t="s">
        <v>17</v>
      </c>
      <c r="W8" s="770">
        <f t="shared" si="2"/>
        <v>100</v>
      </c>
      <c r="X8" s="771"/>
      <c r="Y8" s="3246" t="s">
        <v>2549</v>
      </c>
      <c r="Z8" s="3247"/>
      <c r="AA8" s="772">
        <f t="shared" ref="AA8:AA45" si="3">D8/F8</f>
        <v>1</v>
      </c>
      <c r="AB8" s="772">
        <f t="shared" ref="AB8:AB45" si="4">D8/H8</f>
        <v>1</v>
      </c>
      <c r="AC8" s="772">
        <f t="shared" ref="AC8:AC45" si="5">D8/J8</f>
        <v>1</v>
      </c>
    </row>
    <row r="9" spans="1:30" s="117" customFormat="1">
      <c r="A9" s="414" t="s">
        <v>2550</v>
      </c>
      <c r="B9" s="71" t="s">
        <v>2551</v>
      </c>
      <c r="C9" s="2957" t="s">
        <v>3177</v>
      </c>
      <c r="D9" s="134">
        <v>100</v>
      </c>
      <c r="E9" s="2957" t="s">
        <v>3177</v>
      </c>
      <c r="F9" s="134">
        <f>SUMIF(75:75,E9,76:76)-SUMIF(75:75,C9,76:76)+100</f>
        <v>100</v>
      </c>
      <c r="G9" s="2957" t="s">
        <v>3177</v>
      </c>
      <c r="H9" s="134">
        <f>SUMIF(75:75,G9,76:76)-SUMIF(75:75,C9,76:76)+100</f>
        <v>100</v>
      </c>
      <c r="I9" s="2957" t="s">
        <v>3177</v>
      </c>
      <c r="J9" s="134">
        <f>SUMIF(75:75,I9,76:76)-SUMIF(75:75,C9,76:76)+100</f>
        <v>100</v>
      </c>
      <c r="K9" s="610"/>
      <c r="L9" s="1130"/>
      <c r="M9" s="1131"/>
      <c r="N9" s="1131"/>
      <c r="O9" s="1132"/>
      <c r="P9" s="3217" t="s">
        <v>2552</v>
      </c>
      <c r="Q9" s="1792" t="str">
        <f t="shared" ref="Q9:Q15" si="6">B9</f>
        <v>用途</v>
      </c>
      <c r="R9" s="769" t="s">
        <v>17</v>
      </c>
      <c r="S9" s="770">
        <f t="shared" si="0"/>
        <v>100</v>
      </c>
      <c r="T9" s="769" t="s">
        <v>17</v>
      </c>
      <c r="U9" s="770">
        <f t="shared" si="1"/>
        <v>100</v>
      </c>
      <c r="V9" s="769" t="s">
        <v>17</v>
      </c>
      <c r="W9" s="770">
        <f t="shared" si="2"/>
        <v>100</v>
      </c>
      <c r="X9" s="771"/>
      <c r="Y9" s="3065" t="s">
        <v>2553</v>
      </c>
      <c r="Z9" s="55" t="str">
        <f t="shared" ref="Z9:Z15" si="7">Q9</f>
        <v>用途</v>
      </c>
      <c r="AA9" s="772">
        <f t="shared" si="3"/>
        <v>1</v>
      </c>
      <c r="AB9" s="772">
        <f t="shared" si="4"/>
        <v>1</v>
      </c>
      <c r="AC9" s="772">
        <f t="shared" si="5"/>
        <v>1</v>
      </c>
    </row>
    <row r="10" spans="1:30" s="426" customFormat="1" ht="27">
      <c r="A10" s="420"/>
      <c r="B10" s="421" t="s">
        <v>2554</v>
      </c>
      <c r="C10" s="431">
        <v>40</v>
      </c>
      <c r="D10" s="135">
        <v>100</v>
      </c>
      <c r="E10" s="464" t="s">
        <v>3176</v>
      </c>
      <c r="F10" s="135">
        <f>ROUND(100/'数据-取费表'!G16,0)</f>
        <v>100</v>
      </c>
      <c r="G10" s="462" t="s">
        <v>3176</v>
      </c>
      <c r="H10" s="135">
        <f>ROUND(100/'数据-取费表'!G16,0)</f>
        <v>100</v>
      </c>
      <c r="I10" s="462" t="s">
        <v>3176</v>
      </c>
      <c r="J10" s="135">
        <f>ROUND(100/'数据-取费表'!G16,0)</f>
        <v>100</v>
      </c>
      <c r="K10" s="671"/>
      <c r="L10" s="1133"/>
      <c r="M10" s="1134"/>
      <c r="N10" s="1134"/>
      <c r="O10" s="1135"/>
      <c r="P10" s="3217"/>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30" ht="15">
      <c r="A11" s="427"/>
      <c r="B11" s="421" t="s">
        <v>2555</v>
      </c>
      <c r="C11" s="428"/>
      <c r="D11" s="135">
        <v>100</v>
      </c>
      <c r="E11" s="428">
        <v>1.3</v>
      </c>
      <c r="F11" s="135">
        <f>LOOKUP(E11,80:80,81:81)-LOOKUP(C11,80:80,81:81)+100</f>
        <v>100</v>
      </c>
      <c r="G11" s="429">
        <v>2.5</v>
      </c>
      <c r="H11" s="135">
        <f>LOOKUP(G11,80:80,81:81)-LOOKUP(C11,80:80,81:81)+100</f>
        <v>100</v>
      </c>
      <c r="I11" s="428">
        <v>3</v>
      </c>
      <c r="J11" s="135">
        <f>LOOKUP(I11,80:80,81:81)-LOOKUP(C11,80:80,81:81)+100</f>
        <v>100</v>
      </c>
      <c r="K11" s="672">
        <v>0</v>
      </c>
      <c r="L11" s="1136"/>
      <c r="M11" s="1129"/>
      <c r="N11" s="1129"/>
      <c r="O11" s="1137"/>
      <c r="P11" s="3217"/>
      <c r="Q11" s="1792" t="str">
        <f t="shared" si="6"/>
        <v>容积率</v>
      </c>
      <c r="R11" s="769" t="s">
        <v>17</v>
      </c>
      <c r="S11" s="770">
        <f t="shared" si="0"/>
        <v>100</v>
      </c>
      <c r="T11" s="769" t="s">
        <v>17</v>
      </c>
      <c r="U11" s="770">
        <f t="shared" si="1"/>
        <v>100</v>
      </c>
      <c r="V11" s="769" t="s">
        <v>17</v>
      </c>
      <c r="W11" s="770">
        <f t="shared" si="2"/>
        <v>100</v>
      </c>
      <c r="X11" s="771"/>
      <c r="Y11" s="3065"/>
      <c r="Z11" s="55" t="str">
        <f t="shared" si="7"/>
        <v>容积率</v>
      </c>
      <c r="AA11" s="772">
        <f t="shared" si="3"/>
        <v>1</v>
      </c>
      <c r="AB11" s="772">
        <f t="shared" si="4"/>
        <v>1</v>
      </c>
      <c r="AC11" s="772">
        <f t="shared" si="5"/>
        <v>1</v>
      </c>
    </row>
    <row r="12" spans="1:30" s="117" customFormat="1" ht="15">
      <c r="A12" s="430"/>
      <c r="B12" s="2594" t="s">
        <v>2744</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17"/>
      <c r="Q12" s="1792" t="str">
        <f t="shared" si="6"/>
        <v>配建</v>
      </c>
      <c r="R12" s="769" t="s">
        <v>17</v>
      </c>
      <c r="S12" s="770">
        <f t="shared" si="0"/>
        <v>100</v>
      </c>
      <c r="T12" s="769" t="s">
        <v>17</v>
      </c>
      <c r="U12" s="770">
        <f t="shared" si="1"/>
        <v>100</v>
      </c>
      <c r="V12" s="769" t="s">
        <v>17</v>
      </c>
      <c r="W12" s="770">
        <f t="shared" si="2"/>
        <v>100</v>
      </c>
      <c r="X12" s="771"/>
      <c r="Y12" s="3065"/>
      <c r="Z12" s="55" t="str">
        <f t="shared" si="7"/>
        <v>配建</v>
      </c>
      <c r="AA12" s="772">
        <f>D12/F12</f>
        <v>1</v>
      </c>
      <c r="AB12" s="772">
        <f>D12/H12</f>
        <v>1</v>
      </c>
      <c r="AC12" s="772">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7"/>
      <c r="Q13" s="1792">
        <f t="shared" si="6"/>
        <v>111</v>
      </c>
      <c r="R13" s="769" t="s">
        <v>17</v>
      </c>
      <c r="S13" s="770">
        <f t="shared" si="0"/>
        <v>100</v>
      </c>
      <c r="T13" s="769" t="s">
        <v>17</v>
      </c>
      <c r="U13" s="770">
        <f t="shared" si="1"/>
        <v>100</v>
      </c>
      <c r="V13" s="769" t="s">
        <v>17</v>
      </c>
      <c r="W13" s="770">
        <f t="shared" si="2"/>
        <v>100</v>
      </c>
      <c r="X13" s="771"/>
      <c r="Y13" s="3065"/>
      <c r="Z13" s="55">
        <f t="shared" si="7"/>
        <v>111</v>
      </c>
      <c r="AA13" s="772">
        <f>D13/F13</f>
        <v>1</v>
      </c>
      <c r="AB13" s="772">
        <f>D13/H13</f>
        <v>1</v>
      </c>
      <c r="AC13" s="772">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7"/>
      <c r="Q14" s="1792">
        <f t="shared" si="6"/>
        <v>111</v>
      </c>
      <c r="R14" s="769" t="s">
        <v>17</v>
      </c>
      <c r="S14" s="770">
        <f t="shared" si="0"/>
        <v>100</v>
      </c>
      <c r="T14" s="769" t="s">
        <v>17</v>
      </c>
      <c r="U14" s="770">
        <f t="shared" si="1"/>
        <v>100</v>
      </c>
      <c r="V14" s="769" t="s">
        <v>17</v>
      </c>
      <c r="W14" s="770">
        <f t="shared" si="2"/>
        <v>100</v>
      </c>
      <c r="X14" s="771"/>
      <c r="Y14" s="3065"/>
      <c r="Z14" s="55">
        <f t="shared" si="7"/>
        <v>111</v>
      </c>
      <c r="AA14" s="772">
        <f>D14/F14</f>
        <v>1</v>
      </c>
      <c r="AB14" s="772">
        <f>D14/H14</f>
        <v>1</v>
      </c>
      <c r="AC14" s="772">
        <f>D14/J14</f>
        <v>1</v>
      </c>
    </row>
    <row r="15" spans="1:30" ht="99.75" hidden="1">
      <c r="A15" s="439" t="s">
        <v>2556</v>
      </c>
      <c r="B15" s="69" t="s">
        <v>2081</v>
      </c>
      <c r="C15" s="259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9" t="s">
        <v>2557</v>
      </c>
      <c r="Q15" s="1807" t="str">
        <f t="shared" si="6"/>
        <v>居住社区成熟度</v>
      </c>
      <c r="R15" s="773" t="s">
        <v>17</v>
      </c>
      <c r="S15" s="774">
        <f t="shared" si="0"/>
        <v>100</v>
      </c>
      <c r="T15" s="773" t="s">
        <v>17</v>
      </c>
      <c r="U15" s="774">
        <f t="shared" si="1"/>
        <v>100</v>
      </c>
      <c r="V15" s="773" t="s">
        <v>17</v>
      </c>
      <c r="W15" s="774">
        <f t="shared" si="2"/>
        <v>100</v>
      </c>
      <c r="X15" s="1810"/>
      <c r="Y15" s="3219" t="s">
        <v>2557</v>
      </c>
      <c r="Z15" s="1811" t="str">
        <f t="shared" si="7"/>
        <v>居住社区成熟度</v>
      </c>
      <c r="AA15" s="1808">
        <f t="shared" si="3"/>
        <v>1</v>
      </c>
      <c r="AB15" s="1808">
        <f t="shared" si="4"/>
        <v>1</v>
      </c>
      <c r="AC15" s="1808">
        <f t="shared" si="5"/>
        <v>1</v>
      </c>
    </row>
    <row r="16" spans="1:30" ht="15" hidden="1">
      <c r="A16" s="427"/>
      <c r="B16" s="445"/>
      <c r="C16" s="446"/>
      <c r="D16" s="447"/>
      <c r="E16" s="2599"/>
      <c r="F16" s="447"/>
      <c r="G16" s="2599"/>
      <c r="H16" s="449"/>
      <c r="I16" s="2598"/>
      <c r="J16" s="447"/>
      <c r="K16" s="671"/>
      <c r="L16" s="1138"/>
      <c r="M16" s="1129"/>
      <c r="N16" s="1129"/>
      <c r="O16" s="1137"/>
      <c r="P16" s="3220"/>
      <c r="Q16" s="1807"/>
      <c r="R16" s="773"/>
      <c r="S16" s="774"/>
      <c r="T16" s="773"/>
      <c r="U16" s="774"/>
      <c r="V16" s="773"/>
      <c r="W16" s="774"/>
      <c r="X16" s="1810"/>
      <c r="Y16" s="3220"/>
      <c r="Z16" s="1811"/>
      <c r="AA16" s="1808">
        <v>1</v>
      </c>
      <c r="AB16" s="1808">
        <v>1</v>
      </c>
      <c r="AC16" s="1808">
        <v>1</v>
      </c>
    </row>
    <row r="17" spans="1:29" ht="71.25">
      <c r="A17" s="427"/>
      <c r="B17" s="450" t="s">
        <v>2650</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8"/>
      <c r="M17" s="1129"/>
      <c r="N17" s="1129"/>
      <c r="O17" s="1137"/>
      <c r="P17" s="3220"/>
      <c r="Q17" s="1807" t="str">
        <f>B17</f>
        <v>商业繁华度</v>
      </c>
      <c r="R17" s="773" t="s">
        <v>17</v>
      </c>
      <c r="S17" s="774">
        <f>F17</f>
        <v>100</v>
      </c>
      <c r="T17" s="773" t="s">
        <v>17</v>
      </c>
      <c r="U17" s="774">
        <f>H17</f>
        <v>100</v>
      </c>
      <c r="V17" s="773" t="s">
        <v>17</v>
      </c>
      <c r="W17" s="774">
        <f>J17</f>
        <v>100</v>
      </c>
      <c r="X17" s="1810"/>
      <c r="Y17" s="3220"/>
      <c r="Z17" s="1811" t="str">
        <f>Q17</f>
        <v>商业繁华度</v>
      </c>
      <c r="AA17" s="1808">
        <f t="shared" si="3"/>
        <v>1</v>
      </c>
      <c r="AB17" s="1808">
        <f t="shared" si="4"/>
        <v>1</v>
      </c>
      <c r="AC17" s="1808">
        <f t="shared" si="5"/>
        <v>1</v>
      </c>
    </row>
    <row r="18" spans="1:29" ht="15">
      <c r="A18" s="427"/>
      <c r="B18" s="455"/>
      <c r="C18" s="2602" t="s">
        <v>3178</v>
      </c>
      <c r="D18" s="449"/>
      <c r="E18" s="2958" t="s">
        <v>3179</v>
      </c>
      <c r="F18" s="449"/>
      <c r="G18" s="2958" t="s">
        <v>3179</v>
      </c>
      <c r="H18" s="447"/>
      <c r="I18" s="2959" t="s">
        <v>3179</v>
      </c>
      <c r="J18" s="447"/>
      <c r="K18" s="671"/>
      <c r="L18" s="1138"/>
      <c r="M18" s="1129"/>
      <c r="N18" s="1129"/>
      <c r="O18" s="1137"/>
      <c r="P18" s="3220"/>
      <c r="Q18" s="1807"/>
      <c r="R18" s="773"/>
      <c r="S18" s="774"/>
      <c r="T18" s="773"/>
      <c r="U18" s="774"/>
      <c r="V18" s="773"/>
      <c r="W18" s="774"/>
      <c r="X18" s="1810"/>
      <c r="Y18" s="3220"/>
      <c r="Z18" s="1811"/>
      <c r="AA18" s="1808">
        <v>1</v>
      </c>
      <c r="AB18" s="1808">
        <v>1</v>
      </c>
      <c r="AC18" s="1808">
        <v>1</v>
      </c>
    </row>
    <row r="19" spans="1:29" ht="71.25" hidden="1">
      <c r="A19" s="427"/>
      <c r="B19" s="450" t="s">
        <v>2684</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0"/>
      <c r="Q19" s="1807" t="str">
        <f>B19</f>
        <v>办公集聚程度</v>
      </c>
      <c r="R19" s="773" t="s">
        <v>17</v>
      </c>
      <c r="S19" s="774">
        <f>F19</f>
        <v>100</v>
      </c>
      <c r="T19" s="773" t="s">
        <v>17</v>
      </c>
      <c r="U19" s="774">
        <f>H19</f>
        <v>100</v>
      </c>
      <c r="V19" s="773" t="s">
        <v>17</v>
      </c>
      <c r="W19" s="774">
        <f>J19</f>
        <v>100</v>
      </c>
      <c r="X19" s="1810"/>
      <c r="Y19" s="3220"/>
      <c r="Z19" s="1811" t="str">
        <f>Q19</f>
        <v>办公集聚程度</v>
      </c>
      <c r="AA19" s="1808">
        <f t="shared" si="3"/>
        <v>1</v>
      </c>
      <c r="AB19" s="1808">
        <f t="shared" si="4"/>
        <v>1</v>
      </c>
      <c r="AC19" s="1808">
        <f t="shared" si="5"/>
        <v>1</v>
      </c>
    </row>
    <row r="20" spans="1:29" ht="15" hidden="1">
      <c r="A20" s="427"/>
      <c r="B20" s="455"/>
      <c r="C20" s="446"/>
      <c r="D20" s="447"/>
      <c r="E20" s="2599"/>
      <c r="F20" s="447"/>
      <c r="G20" s="2599"/>
      <c r="H20" s="447"/>
      <c r="I20" s="2598"/>
      <c r="J20" s="447"/>
      <c r="K20" s="671"/>
      <c r="L20" s="1138"/>
      <c r="M20" s="1129"/>
      <c r="N20" s="1129"/>
      <c r="O20" s="1137"/>
      <c r="P20" s="3220"/>
      <c r="Q20" s="1807"/>
      <c r="R20" s="773"/>
      <c r="S20" s="774"/>
      <c r="T20" s="773"/>
      <c r="U20" s="774"/>
      <c r="V20" s="773"/>
      <c r="W20" s="774"/>
      <c r="X20" s="1810"/>
      <c r="Y20" s="3220"/>
      <c r="Z20" s="1811"/>
      <c r="AA20" s="1808">
        <v>1</v>
      </c>
      <c r="AB20" s="1808">
        <v>1</v>
      </c>
      <c r="AC20" s="1808">
        <v>1</v>
      </c>
    </row>
    <row r="21" spans="1:29" ht="85.5">
      <c r="A21" s="427"/>
      <c r="B21" s="450" t="s">
        <v>2706</v>
      </c>
      <c r="C21" s="260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20"/>
      <c r="Q21" s="1807" t="str">
        <f>B21</f>
        <v>交通便捷度</v>
      </c>
      <c r="R21" s="773" t="s">
        <v>17</v>
      </c>
      <c r="S21" s="774">
        <f>F21</f>
        <v>100</v>
      </c>
      <c r="T21" s="773" t="s">
        <v>17</v>
      </c>
      <c r="U21" s="774">
        <f>H21</f>
        <v>100</v>
      </c>
      <c r="V21" s="773" t="s">
        <v>17</v>
      </c>
      <c r="W21" s="774">
        <f>J21</f>
        <v>100</v>
      </c>
      <c r="X21" s="1810"/>
      <c r="Y21" s="3220"/>
      <c r="Z21" s="1811" t="str">
        <f>Q21</f>
        <v>交通便捷度</v>
      </c>
      <c r="AA21" s="1808">
        <f t="shared" si="3"/>
        <v>1</v>
      </c>
      <c r="AB21" s="1808">
        <f t="shared" si="4"/>
        <v>1</v>
      </c>
      <c r="AC21" s="1808">
        <f t="shared" si="5"/>
        <v>1</v>
      </c>
    </row>
    <row r="22" spans="1:29" ht="15">
      <c r="A22" s="427"/>
      <c r="B22" s="1382"/>
      <c r="C22" s="2960" t="s">
        <v>3179</v>
      </c>
      <c r="D22" s="449"/>
      <c r="E22" s="2961" t="s">
        <v>3179</v>
      </c>
      <c r="F22" s="447"/>
      <c r="G22" s="2961" t="s">
        <v>3179</v>
      </c>
      <c r="H22" s="447"/>
      <c r="I22" s="2962" t="s">
        <v>3179</v>
      </c>
      <c r="J22" s="447"/>
      <c r="K22" s="671"/>
      <c r="L22" s="1138"/>
      <c r="M22" s="1129"/>
      <c r="N22" s="1129"/>
      <c r="O22" s="1137"/>
      <c r="P22" s="3220"/>
      <c r="Q22" s="1807"/>
      <c r="R22" s="773"/>
      <c r="S22" s="774"/>
      <c r="T22" s="773"/>
      <c r="U22" s="774"/>
      <c r="V22" s="773"/>
      <c r="W22" s="774"/>
      <c r="X22" s="1810"/>
      <c r="Y22" s="3220"/>
      <c r="Z22" s="1811"/>
      <c r="AA22" s="1808">
        <v>1</v>
      </c>
      <c r="AB22" s="1808">
        <v>1</v>
      </c>
      <c r="AC22" s="1808">
        <v>1</v>
      </c>
    </row>
    <row r="23" spans="1:29" ht="15">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20"/>
      <c r="Q23" s="1807" t="str">
        <f t="shared" ref="Q23:Q37" si="8">B23</f>
        <v>区域土地利用方向</v>
      </c>
      <c r="R23" s="773" t="s">
        <v>17</v>
      </c>
      <c r="S23" s="774">
        <f>F23</f>
        <v>100</v>
      </c>
      <c r="T23" s="773" t="s">
        <v>17</v>
      </c>
      <c r="U23" s="774">
        <f>H23</f>
        <v>100</v>
      </c>
      <c r="V23" s="773" t="s">
        <v>17</v>
      </c>
      <c r="W23" s="774">
        <f>J23</f>
        <v>100</v>
      </c>
      <c r="X23" s="1810"/>
      <c r="Y23" s="3220"/>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11"/>
      <c r="L24" s="1138"/>
      <c r="M24" s="1129"/>
      <c r="N24" s="1129"/>
      <c r="O24" s="1137"/>
      <c r="P24" s="3220"/>
      <c r="Q24" s="1807"/>
      <c r="R24" s="773"/>
      <c r="S24" s="774"/>
      <c r="T24" s="773"/>
      <c r="U24" s="774"/>
      <c r="V24" s="773"/>
      <c r="W24" s="774"/>
      <c r="X24" s="1810"/>
      <c r="Y24" s="3220"/>
      <c r="Z24" s="1811"/>
      <c r="AA24" s="1808"/>
      <c r="AB24" s="1808"/>
      <c r="AC24" s="1808"/>
    </row>
    <row r="25" spans="1:29" ht="57">
      <c r="A25" s="403"/>
      <c r="B25" s="1382" t="s">
        <v>2746</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20"/>
      <c r="Q25" s="1807" t="str">
        <f t="shared" si="8"/>
        <v>自然及人文环境状况</v>
      </c>
      <c r="R25" s="773" t="s">
        <v>17</v>
      </c>
      <c r="S25" s="774">
        <f>F25</f>
        <v>100</v>
      </c>
      <c r="T25" s="773" t="s">
        <v>17</v>
      </c>
      <c r="U25" s="774">
        <f>H25</f>
        <v>100</v>
      </c>
      <c r="V25" s="773" t="s">
        <v>17</v>
      </c>
      <c r="W25" s="774">
        <f>J25</f>
        <v>100</v>
      </c>
      <c r="X25" s="1810"/>
      <c r="Y25" s="3220"/>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8"/>
      <c r="M26" s="1129"/>
      <c r="N26" s="1129"/>
      <c r="O26" s="1137"/>
      <c r="P26" s="3220"/>
      <c r="Q26" s="1807"/>
      <c r="R26" s="773"/>
      <c r="S26" s="774"/>
      <c r="T26" s="773"/>
      <c r="U26" s="774"/>
      <c r="V26" s="773"/>
      <c r="W26" s="774"/>
      <c r="X26" s="1810"/>
      <c r="Y26" s="3220"/>
      <c r="Z26" s="1811"/>
      <c r="AA26" s="1808">
        <v>1</v>
      </c>
      <c r="AB26" s="1808">
        <v>1</v>
      </c>
      <c r="AC26" s="1808">
        <v>1</v>
      </c>
    </row>
    <row r="27" spans="1:29" s="117" customFormat="1" ht="42.75">
      <c r="A27" s="648"/>
      <c r="B27" s="1382" t="s">
        <v>2651</v>
      </c>
      <c r="C27" s="260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20"/>
      <c r="Q27" s="1792" t="str">
        <f t="shared" si="8"/>
        <v>公共配套设施</v>
      </c>
      <c r="R27" s="769" t="s">
        <v>17</v>
      </c>
      <c r="S27" s="770">
        <f>F27</f>
        <v>100</v>
      </c>
      <c r="T27" s="769" t="s">
        <v>17</v>
      </c>
      <c r="U27" s="770">
        <f>H27</f>
        <v>100</v>
      </c>
      <c r="V27" s="769" t="s">
        <v>17</v>
      </c>
      <c r="W27" s="770">
        <f>J27</f>
        <v>100</v>
      </c>
      <c r="X27" s="771"/>
      <c r="Y27" s="3220"/>
      <c r="Z27" s="55" t="str">
        <f>Q27</f>
        <v>公共配套设施</v>
      </c>
      <c r="AA27" s="1808">
        <f>D27/F27</f>
        <v>1</v>
      </c>
      <c r="AB27" s="1808">
        <f>D27/H27</f>
        <v>1</v>
      </c>
      <c r="AC27" s="1808">
        <f>D27/J27</f>
        <v>1</v>
      </c>
    </row>
    <row r="28" spans="1:29" s="117" customFormat="1" ht="15">
      <c r="A28" s="648"/>
      <c r="B28" s="455"/>
      <c r="C28" s="2694"/>
      <c r="D28" s="447"/>
      <c r="E28" s="2605"/>
      <c r="F28" s="447"/>
      <c r="G28" s="2605"/>
      <c r="H28" s="447"/>
      <c r="I28" s="446"/>
      <c r="J28" s="447"/>
      <c r="K28" s="671"/>
      <c r="L28" s="1130"/>
      <c r="M28" s="1131"/>
      <c r="N28" s="1131"/>
      <c r="O28" s="1132"/>
      <c r="P28" s="3220"/>
      <c r="Q28" s="1792"/>
      <c r="R28" s="769"/>
      <c r="S28" s="770"/>
      <c r="T28" s="769"/>
      <c r="U28" s="770"/>
      <c r="V28" s="769"/>
      <c r="W28" s="770"/>
      <c r="X28" s="771"/>
      <c r="Y28" s="3220"/>
      <c r="Z28" s="55"/>
      <c r="AA28" s="1808">
        <v>1</v>
      </c>
      <c r="AB28" s="1808">
        <v>1</v>
      </c>
      <c r="AC28" s="1808">
        <v>1</v>
      </c>
    </row>
    <row r="29" spans="1:29" s="117" customFormat="1" ht="28.5">
      <c r="A29" s="648"/>
      <c r="B29" s="1382" t="s">
        <v>2652</v>
      </c>
      <c r="C29" s="260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20"/>
      <c r="Q29" s="1792" t="str">
        <f t="shared" ref="Q29" si="9">B29</f>
        <v>基础设施水平</v>
      </c>
      <c r="R29" s="769" t="s">
        <v>17</v>
      </c>
      <c r="S29" s="770">
        <f>F29</f>
        <v>100</v>
      </c>
      <c r="T29" s="769" t="s">
        <v>17</v>
      </c>
      <c r="U29" s="770">
        <f>H29</f>
        <v>100</v>
      </c>
      <c r="V29" s="769" t="s">
        <v>17</v>
      </c>
      <c r="W29" s="770">
        <f>J29</f>
        <v>100</v>
      </c>
      <c r="X29" s="771"/>
      <c r="Y29" s="3220"/>
      <c r="Z29" s="55" t="str">
        <f>Q29</f>
        <v>基础设施水平</v>
      </c>
      <c r="AA29" s="1808">
        <f>D29/F29</f>
        <v>1</v>
      </c>
      <c r="AB29" s="1808">
        <f>D29/H29</f>
        <v>1</v>
      </c>
      <c r="AC29" s="1808">
        <f>D29/J29</f>
        <v>1</v>
      </c>
    </row>
    <row r="30" spans="1:29" s="117" customFormat="1" ht="15">
      <c r="A30" s="648"/>
      <c r="B30" s="455"/>
      <c r="C30" s="2694"/>
      <c r="D30" s="447"/>
      <c r="E30" s="2695"/>
      <c r="F30" s="447"/>
      <c r="G30" s="2695"/>
      <c r="H30" s="447"/>
      <c r="I30" s="2695"/>
      <c r="J30" s="447"/>
      <c r="K30" s="671"/>
      <c r="L30" s="1130"/>
      <c r="M30" s="1131"/>
      <c r="N30" s="1131"/>
      <c r="O30" s="1132"/>
      <c r="P30" s="3220"/>
      <c r="Q30" s="1792"/>
      <c r="R30" s="769"/>
      <c r="S30" s="770"/>
      <c r="T30" s="769"/>
      <c r="U30" s="770"/>
      <c r="V30" s="769"/>
      <c r="W30" s="770"/>
      <c r="X30" s="771"/>
      <c r="Y30" s="3220"/>
      <c r="Z30" s="55"/>
      <c r="AA30" s="1808">
        <v>1</v>
      </c>
      <c r="AB30" s="1808">
        <v>1</v>
      </c>
      <c r="AC30" s="1808">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0"/>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20"/>
      <c r="Z31" s="1811" t="str">
        <f t="shared" ref="Z31:Z45" si="13">Q31</f>
        <v>临街状况</v>
      </c>
      <c r="AA31" s="1808">
        <f t="shared" si="3"/>
        <v>1</v>
      </c>
      <c r="AB31" s="1808">
        <f t="shared" si="4"/>
        <v>1</v>
      </c>
      <c r="AC31" s="1808">
        <f t="shared" si="5"/>
        <v>1</v>
      </c>
    </row>
    <row r="32" spans="1:29" ht="27">
      <c r="A32" s="427"/>
      <c r="B32" s="1382"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0"/>
      <c r="Q32" s="1807" t="str">
        <f t="shared" si="8"/>
        <v>毗邻道路的类型与等级</v>
      </c>
      <c r="R32" s="773" t="s">
        <v>17</v>
      </c>
      <c r="S32" s="774">
        <f t="shared" si="10"/>
        <v>100</v>
      </c>
      <c r="T32" s="773" t="s">
        <v>17</v>
      </c>
      <c r="U32" s="774">
        <f t="shared" si="11"/>
        <v>100</v>
      </c>
      <c r="V32" s="773" t="s">
        <v>17</v>
      </c>
      <c r="W32" s="774">
        <f t="shared" si="12"/>
        <v>100</v>
      </c>
      <c r="X32" s="1810"/>
      <c r="Y32" s="3220"/>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8"/>
      <c r="M33" s="1129"/>
      <c r="N33" s="1129"/>
      <c r="O33" s="1137"/>
      <c r="P33" s="3220"/>
      <c r="Q33" s="1807"/>
      <c r="R33" s="773"/>
      <c r="S33" s="774"/>
      <c r="T33" s="773"/>
      <c r="U33" s="774"/>
      <c r="V33" s="773"/>
      <c r="W33" s="774"/>
      <c r="X33" s="1810"/>
      <c r="Y33" s="3220"/>
      <c r="Z33" s="1811"/>
      <c r="AA33" s="1808">
        <v>1</v>
      </c>
      <c r="AB33" s="1808">
        <v>1</v>
      </c>
      <c r="AC33" s="1808">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0"/>
      <c r="Q34" s="1807" t="str">
        <f t="shared" si="8"/>
        <v>土地级别</v>
      </c>
      <c r="R34" s="773" t="s">
        <v>17</v>
      </c>
      <c r="S34" s="774">
        <f t="shared" si="10"/>
        <v>100</v>
      </c>
      <c r="T34" s="773" t="s">
        <v>17</v>
      </c>
      <c r="U34" s="774">
        <f t="shared" si="11"/>
        <v>100</v>
      </c>
      <c r="V34" s="773" t="s">
        <v>17</v>
      </c>
      <c r="W34" s="774">
        <f t="shared" si="12"/>
        <v>100</v>
      </c>
      <c r="X34" s="1810"/>
      <c r="Y34" s="3220"/>
      <c r="Z34" s="1811" t="str">
        <f t="shared" si="13"/>
        <v>土地级别</v>
      </c>
      <c r="AA34" s="1808">
        <f t="shared" si="3"/>
        <v>1</v>
      </c>
      <c r="AB34" s="1808">
        <f t="shared" si="4"/>
        <v>1</v>
      </c>
      <c r="AC34" s="1808">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0"/>
      <c r="Q35" s="1807">
        <f t="shared" si="8"/>
        <v>111</v>
      </c>
      <c r="R35" s="773" t="s">
        <v>17</v>
      </c>
      <c r="S35" s="774">
        <f t="shared" si="10"/>
        <v>100</v>
      </c>
      <c r="T35" s="773" t="s">
        <v>17</v>
      </c>
      <c r="U35" s="774">
        <f t="shared" si="11"/>
        <v>100</v>
      </c>
      <c r="V35" s="773" t="s">
        <v>17</v>
      </c>
      <c r="W35" s="774">
        <f t="shared" si="12"/>
        <v>100</v>
      </c>
      <c r="X35" s="1810"/>
      <c r="Y35" s="3220"/>
      <c r="Z35" s="1811">
        <f t="shared" si="13"/>
        <v>111</v>
      </c>
      <c r="AA35" s="1808">
        <f t="shared" si="3"/>
        <v>1</v>
      </c>
      <c r="AB35" s="1808">
        <f t="shared" si="4"/>
        <v>1</v>
      </c>
      <c r="AC35" s="1808">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21" t="s">
        <v>2562</v>
      </c>
      <c r="Q36" s="1807">
        <f t="shared" si="8"/>
        <v>111</v>
      </c>
      <c r="R36" s="773" t="s">
        <v>17</v>
      </c>
      <c r="S36" s="774">
        <f t="shared" si="10"/>
        <v>100</v>
      </c>
      <c r="T36" s="773" t="s">
        <v>17</v>
      </c>
      <c r="U36" s="774">
        <f t="shared" si="11"/>
        <v>100</v>
      </c>
      <c r="V36" s="773" t="s">
        <v>17</v>
      </c>
      <c r="W36" s="774">
        <f t="shared" si="12"/>
        <v>100</v>
      </c>
      <c r="X36" s="1810"/>
      <c r="Y36" s="3222" t="s">
        <v>2562</v>
      </c>
      <c r="Z36" s="1811">
        <f t="shared" si="13"/>
        <v>111</v>
      </c>
      <c r="AA36" s="1808">
        <f t="shared" si="3"/>
        <v>1</v>
      </c>
      <c r="AB36" s="1808">
        <f t="shared" si="4"/>
        <v>1</v>
      </c>
      <c r="AC36" s="1808">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2"/>
      <c r="Q37" s="1807">
        <f t="shared" si="8"/>
        <v>111</v>
      </c>
      <c r="R37" s="776" t="s">
        <v>17</v>
      </c>
      <c r="S37" s="777">
        <f t="shared" si="10"/>
        <v>100</v>
      </c>
      <c r="T37" s="776" t="s">
        <v>17</v>
      </c>
      <c r="U37" s="777">
        <f t="shared" si="11"/>
        <v>100</v>
      </c>
      <c r="V37" s="776" t="s">
        <v>17</v>
      </c>
      <c r="W37" s="777">
        <f t="shared" si="12"/>
        <v>100</v>
      </c>
      <c r="X37" s="778"/>
      <c r="Y37" s="3222"/>
      <c r="Z37" s="779">
        <f t="shared" si="13"/>
        <v>111</v>
      </c>
      <c r="AA37" s="1808">
        <f t="shared" si="3"/>
        <v>1</v>
      </c>
      <c r="AB37" s="1808">
        <f t="shared" si="4"/>
        <v>1</v>
      </c>
      <c r="AC37" s="1808">
        <f t="shared" si="5"/>
        <v>1</v>
      </c>
    </row>
    <row r="38" spans="1:29" ht="15">
      <c r="A38" s="471" t="s">
        <v>2560</v>
      </c>
      <c r="B38" s="455" t="s">
        <v>2748</v>
      </c>
      <c r="C38" s="678"/>
      <c r="D38" s="466">
        <v>100</v>
      </c>
      <c r="E38" s="678"/>
      <c r="F38" s="466">
        <f>LOOKUP(E38,117:117,118:118)-LOOKUP(C38,117:117,118:118)+100</f>
        <v>100</v>
      </c>
      <c r="G38" s="678"/>
      <c r="H38" s="466">
        <f>LOOKUP(G38,117:117,118:118)-LOOKUP(C38,117:117,118:118)+100</f>
        <v>100</v>
      </c>
      <c r="I38" s="529"/>
      <c r="J38" s="466">
        <f>LOOKUP(I38,117:117,118:118)-LOOKUP(C38,117:117,118:118)+100</f>
        <v>100</v>
      </c>
      <c r="K38" s="612"/>
      <c r="L38" s="1138"/>
      <c r="M38" s="1129"/>
      <c r="N38" s="1129"/>
      <c r="O38" s="1137"/>
      <c r="P38" s="3222"/>
      <c r="Q38" s="1807" t="str">
        <f>B38</f>
        <v>宗地面积</v>
      </c>
      <c r="R38" s="773" t="s">
        <v>17</v>
      </c>
      <c r="S38" s="774">
        <f t="shared" si="10"/>
        <v>100</v>
      </c>
      <c r="T38" s="773" t="s">
        <v>17</v>
      </c>
      <c r="U38" s="774">
        <f t="shared" si="11"/>
        <v>100</v>
      </c>
      <c r="V38" s="773" t="s">
        <v>17</v>
      </c>
      <c r="W38" s="774">
        <f t="shared" si="12"/>
        <v>100</v>
      </c>
      <c r="X38" s="1810"/>
      <c r="Y38" s="3222"/>
      <c r="Z38" s="1811" t="str">
        <f t="shared" si="13"/>
        <v>宗地面积</v>
      </c>
      <c r="AA38" s="1808">
        <f t="shared" si="3"/>
        <v>1</v>
      </c>
      <c r="AB38" s="1808">
        <f t="shared" si="4"/>
        <v>1</v>
      </c>
      <c r="AC38" s="1808">
        <f t="shared" si="5"/>
        <v>1</v>
      </c>
    </row>
    <row r="39" spans="1:29" ht="15">
      <c r="A39" s="471"/>
      <c r="B39" s="421" t="s">
        <v>2749</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8"/>
      <c r="M39" s="1129"/>
      <c r="N39" s="1129"/>
      <c r="O39" s="1137"/>
      <c r="P39" s="3222"/>
      <c r="Q39" s="1807" t="str">
        <f t="shared" ref="Q39:Q45" si="14">B39</f>
        <v>宗地形状</v>
      </c>
      <c r="R39" s="773" t="s">
        <v>17</v>
      </c>
      <c r="S39" s="774">
        <f t="shared" si="10"/>
        <v>100</v>
      </c>
      <c r="T39" s="773" t="s">
        <v>17</v>
      </c>
      <c r="U39" s="774">
        <f t="shared" si="11"/>
        <v>100</v>
      </c>
      <c r="V39" s="773" t="s">
        <v>17</v>
      </c>
      <c r="W39" s="774">
        <f t="shared" si="12"/>
        <v>100</v>
      </c>
      <c r="X39" s="1810"/>
      <c r="Y39" s="3222"/>
      <c r="Z39" s="1811" t="str">
        <f t="shared" si="13"/>
        <v>宗地形状</v>
      </c>
      <c r="AA39" s="1808">
        <f t="shared" si="3"/>
        <v>1</v>
      </c>
      <c r="AB39" s="1808">
        <f t="shared" si="4"/>
        <v>1</v>
      </c>
      <c r="AC39" s="1808">
        <f t="shared" si="5"/>
        <v>1</v>
      </c>
    </row>
    <row r="40" spans="1:29" ht="15">
      <c r="A40" s="471"/>
      <c r="B40" s="421" t="s">
        <v>2750</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8"/>
      <c r="M40" s="1129"/>
      <c r="N40" s="1129"/>
      <c r="O40" s="1137"/>
      <c r="P40" s="3222"/>
      <c r="Q40" s="1807" t="str">
        <f t="shared" si="14"/>
        <v>临街宽度及深度</v>
      </c>
      <c r="R40" s="773" t="s">
        <v>17</v>
      </c>
      <c r="S40" s="774">
        <f t="shared" si="10"/>
        <v>100</v>
      </c>
      <c r="T40" s="773" t="s">
        <v>17</v>
      </c>
      <c r="U40" s="774">
        <f t="shared" si="11"/>
        <v>100</v>
      </c>
      <c r="V40" s="773" t="s">
        <v>17</v>
      </c>
      <c r="W40" s="774">
        <f t="shared" si="12"/>
        <v>100</v>
      </c>
      <c r="X40" s="1810"/>
      <c r="Y40" s="3222"/>
      <c r="Z40" s="1811" t="str">
        <f t="shared" si="13"/>
        <v>临街宽度及深度</v>
      </c>
      <c r="AA40" s="1808">
        <f t="shared" si="3"/>
        <v>1</v>
      </c>
      <c r="AB40" s="1808">
        <f t="shared" si="4"/>
        <v>1</v>
      </c>
      <c r="AC40" s="1808">
        <f t="shared" si="5"/>
        <v>1</v>
      </c>
    </row>
    <row r="41" spans="1:29" s="117" customFormat="1" ht="15">
      <c r="A41" s="472"/>
      <c r="B41" s="421" t="s">
        <v>2751</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0"/>
      <c r="M41" s="1131"/>
      <c r="N41" s="1131"/>
      <c r="O41" s="1132"/>
      <c r="P41" s="3222"/>
      <c r="Q41" s="1807" t="str">
        <f t="shared" si="14"/>
        <v>宗地开发程度</v>
      </c>
      <c r="R41" s="769" t="s">
        <v>17</v>
      </c>
      <c r="S41" s="770">
        <f t="shared" si="10"/>
        <v>100</v>
      </c>
      <c r="T41" s="769" t="s">
        <v>17</v>
      </c>
      <c r="U41" s="770">
        <f t="shared" si="11"/>
        <v>100</v>
      </c>
      <c r="V41" s="769" t="s">
        <v>17</v>
      </c>
      <c r="W41" s="770">
        <f t="shared" si="12"/>
        <v>100</v>
      </c>
      <c r="X41" s="771"/>
      <c r="Y41" s="3222"/>
      <c r="Z41" s="55" t="str">
        <f t="shared" si="13"/>
        <v>宗地开发程度</v>
      </c>
      <c r="AA41" s="772">
        <f t="shared" si="3"/>
        <v>1</v>
      </c>
      <c r="AB41" s="772">
        <f t="shared" si="4"/>
        <v>1</v>
      </c>
      <c r="AC41" s="772">
        <f t="shared" si="5"/>
        <v>1</v>
      </c>
    </row>
    <row r="42" spans="1:29" ht="15">
      <c r="A42" s="471"/>
      <c r="B42" s="421" t="s">
        <v>2752</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8"/>
      <c r="M42" s="1129"/>
      <c r="N42" s="1129"/>
      <c r="O42" s="1137"/>
      <c r="P42" s="3222" t="s">
        <v>2562</v>
      </c>
      <c r="Q42" s="1807" t="str">
        <f t="shared" si="14"/>
        <v>工程地质条件</v>
      </c>
      <c r="R42" s="773" t="s">
        <v>17</v>
      </c>
      <c r="S42" s="774">
        <f t="shared" si="10"/>
        <v>100</v>
      </c>
      <c r="T42" s="773" t="s">
        <v>17</v>
      </c>
      <c r="U42" s="774">
        <f t="shared" si="11"/>
        <v>100</v>
      </c>
      <c r="V42" s="773" t="s">
        <v>17</v>
      </c>
      <c r="W42" s="774">
        <f t="shared" si="12"/>
        <v>100</v>
      </c>
      <c r="X42" s="1810"/>
      <c r="Y42" s="3222" t="s">
        <v>2562</v>
      </c>
      <c r="Z42" s="1811" t="str">
        <f t="shared" si="13"/>
        <v>工程地质条件</v>
      </c>
      <c r="AA42" s="1808">
        <f t="shared" si="3"/>
        <v>1</v>
      </c>
      <c r="AB42" s="1808">
        <f t="shared" si="4"/>
        <v>1</v>
      </c>
      <c r="AC42" s="1808">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2"/>
      <c r="Q43" s="1807">
        <f t="shared" si="14"/>
        <v>111</v>
      </c>
      <c r="R43" s="773" t="s">
        <v>17</v>
      </c>
      <c r="S43" s="774">
        <f t="shared" si="10"/>
        <v>100</v>
      </c>
      <c r="T43" s="773" t="s">
        <v>17</v>
      </c>
      <c r="U43" s="774">
        <f t="shared" si="11"/>
        <v>100</v>
      </c>
      <c r="V43" s="773" t="s">
        <v>17</v>
      </c>
      <c r="W43" s="774">
        <f t="shared" si="12"/>
        <v>100</v>
      </c>
      <c r="X43" s="1810"/>
      <c r="Y43" s="3222"/>
      <c r="Z43" s="1811">
        <f t="shared" si="13"/>
        <v>111</v>
      </c>
      <c r="AA43" s="1808">
        <f t="shared" si="3"/>
        <v>1</v>
      </c>
      <c r="AB43" s="1808">
        <f t="shared" si="4"/>
        <v>1</v>
      </c>
      <c r="AC43" s="1808">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2"/>
      <c r="Q44" s="1807">
        <f t="shared" si="14"/>
        <v>111</v>
      </c>
      <c r="R44" s="773" t="s">
        <v>17</v>
      </c>
      <c r="S44" s="774">
        <f t="shared" si="10"/>
        <v>100</v>
      </c>
      <c r="T44" s="773" t="s">
        <v>17</v>
      </c>
      <c r="U44" s="774">
        <f t="shared" si="11"/>
        <v>100</v>
      </c>
      <c r="V44" s="773" t="s">
        <v>17</v>
      </c>
      <c r="W44" s="774">
        <f t="shared" si="12"/>
        <v>100</v>
      </c>
      <c r="X44" s="1810"/>
      <c r="Y44" s="3222"/>
      <c r="Z44" s="1811">
        <f t="shared" si="13"/>
        <v>111</v>
      </c>
      <c r="AA44" s="1808">
        <f t="shared" si="3"/>
        <v>1</v>
      </c>
      <c r="AB44" s="1808">
        <f t="shared" si="4"/>
        <v>1</v>
      </c>
      <c r="AC44" s="1808">
        <f t="shared" si="5"/>
        <v>1</v>
      </c>
    </row>
    <row r="45" spans="1:29" s="470" customFormat="1" ht="15.75"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2"/>
      <c r="Q45" s="1807">
        <f t="shared" si="14"/>
        <v>111</v>
      </c>
      <c r="R45" s="776" t="s">
        <v>17</v>
      </c>
      <c r="S45" s="777">
        <f t="shared" si="10"/>
        <v>100</v>
      </c>
      <c r="T45" s="776" t="s">
        <v>17</v>
      </c>
      <c r="U45" s="777">
        <f t="shared" si="11"/>
        <v>100</v>
      </c>
      <c r="V45" s="776" t="s">
        <v>17</v>
      </c>
      <c r="W45" s="777">
        <f t="shared" si="12"/>
        <v>100</v>
      </c>
      <c r="X45" s="778"/>
      <c r="Y45" s="3222"/>
      <c r="Z45" s="779">
        <f t="shared" si="13"/>
        <v>111</v>
      </c>
      <c r="AA45" s="1808">
        <f t="shared" si="3"/>
        <v>1</v>
      </c>
      <c r="AB45" s="1808">
        <f t="shared" si="4"/>
        <v>1</v>
      </c>
      <c r="AC45" s="1808">
        <f t="shared" si="5"/>
        <v>1</v>
      </c>
    </row>
    <row r="46" spans="1:29" ht="15">
      <c r="A46" s="478" t="s">
        <v>2717</v>
      </c>
      <c r="B46" s="2698" t="s">
        <v>2753</v>
      </c>
      <c r="C46" s="681" t="s">
        <v>1</v>
      </c>
      <c r="D46" s="480"/>
      <c r="E46" s="481">
        <v>1909</v>
      </c>
      <c r="F46" s="482"/>
      <c r="G46" s="483">
        <v>1309</v>
      </c>
      <c r="H46" s="484"/>
      <c r="I46" s="481">
        <v>1786</v>
      </c>
      <c r="J46" s="484"/>
      <c r="K46" s="782"/>
      <c r="L46" s="1141"/>
      <c r="M46" s="1142"/>
      <c r="N46" s="1129"/>
      <c r="O46" s="1142"/>
      <c r="P46" s="3217" t="str">
        <f>A46</f>
        <v>成交单价</v>
      </c>
      <c r="Q46" s="3217"/>
      <c r="R46" s="3223">
        <f>E46</f>
        <v>1909</v>
      </c>
      <c r="S46" s="3223"/>
      <c r="T46" s="3223">
        <f>G46</f>
        <v>1309</v>
      </c>
      <c r="U46" s="3223"/>
      <c r="V46" s="3223">
        <f>I46</f>
        <v>1786</v>
      </c>
      <c r="W46" s="3223"/>
      <c r="X46" s="758"/>
      <c r="Y46" s="780"/>
      <c r="Z46" s="758"/>
      <c r="AA46" s="758"/>
      <c r="AB46" s="758"/>
      <c r="AC46" s="758"/>
    </row>
    <row r="47" spans="1:29" ht="15.75" thickBot="1">
      <c r="A47" s="485" t="s">
        <v>2666</v>
      </c>
      <c r="B47" s="682"/>
      <c r="C47" s="489">
        <f>R48</f>
        <v>1732</v>
      </c>
      <c r="D47" s="488"/>
      <c r="E47" s="489">
        <f>R47</f>
        <v>1968</v>
      </c>
      <c r="F47" s="490"/>
      <c r="G47" s="487">
        <f>T47</f>
        <v>1349</v>
      </c>
      <c r="H47" s="488"/>
      <c r="I47" s="489">
        <f>V47</f>
        <v>1880</v>
      </c>
      <c r="J47" s="488"/>
      <c r="K47" s="783"/>
      <c r="L47" s="1141"/>
      <c r="M47" s="1142"/>
      <c r="N47" s="1142"/>
      <c r="O47" s="1142"/>
      <c r="P47" s="3217" t="str">
        <f>A47</f>
        <v>比较价值（元/平方米）</v>
      </c>
      <c r="Q47" s="3217"/>
      <c r="R47" s="3210">
        <f>ROUND(PRODUCT(R46,AA7:AA45),0)</f>
        <v>1968</v>
      </c>
      <c r="S47" s="3210"/>
      <c r="T47" s="3210">
        <f>ROUND(PRODUCT(T46,AB7:AB45),0)</f>
        <v>1349</v>
      </c>
      <c r="U47" s="3210"/>
      <c r="V47" s="3210">
        <f>ROUND(PRODUCT(V46,AC7:AC45),0)</f>
        <v>1880</v>
      </c>
      <c r="W47" s="3210"/>
      <c r="X47" s="758"/>
      <c r="Y47" s="758"/>
      <c r="Z47" s="758"/>
      <c r="AA47" s="758"/>
      <c r="AB47" s="758"/>
      <c r="AC47" s="758"/>
    </row>
    <row r="48" spans="1:29" ht="15.75" thickBot="1">
      <c r="A48" s="491" t="s">
        <v>2754</v>
      </c>
      <c r="B48" s="492"/>
      <c r="C48" s="493">
        <f>R48</f>
        <v>1732</v>
      </c>
      <c r="D48" s="493"/>
      <c r="E48" s="493"/>
      <c r="F48" s="493"/>
      <c r="G48" s="493"/>
      <c r="H48" s="493"/>
      <c r="I48" s="493"/>
      <c r="J48" s="493"/>
      <c r="K48" s="784"/>
      <c r="L48" s="1141"/>
      <c r="M48" s="1142"/>
      <c r="N48" s="1142"/>
      <c r="O48" s="1142"/>
      <c r="P48" s="3211" t="str">
        <f>A48</f>
        <v>估价对象XX用房的比较价值（楼面单价，元/平方米）</v>
      </c>
      <c r="Q48" s="3212"/>
      <c r="R48" s="3213">
        <f>ROUND(AVERAGE(R47:V47),0)</f>
        <v>1732</v>
      </c>
      <c r="S48" s="3213"/>
      <c r="T48" s="3213"/>
      <c r="U48" s="3213"/>
      <c r="V48" s="3213"/>
      <c r="W48" s="3213"/>
      <c r="X48" s="758"/>
      <c r="Y48" s="758"/>
      <c r="Z48" s="758"/>
      <c r="AA48" s="758"/>
      <c r="AB48" s="758"/>
      <c r="AC48" s="758"/>
    </row>
    <row r="49" spans="1:15">
      <c r="A49" s="1142"/>
      <c r="B49" s="1142"/>
      <c r="C49" s="1142"/>
      <c r="D49" s="1142"/>
      <c r="E49" s="1142"/>
      <c r="F49" s="1142"/>
      <c r="G49" s="1145"/>
      <c r="H49" s="1142"/>
      <c r="I49" s="1142"/>
      <c r="J49" s="1142"/>
      <c r="K49" s="1104"/>
      <c r="L49" s="1105"/>
      <c r="M49" s="1142"/>
      <c r="N49" s="1142"/>
      <c r="O49" s="1142"/>
    </row>
    <row r="50" spans="1:15">
      <c r="A50" s="1142"/>
      <c r="B50" s="1142"/>
      <c r="C50" s="1142"/>
      <c r="D50" s="1142"/>
      <c r="E50" s="1142"/>
      <c r="F50" s="1142"/>
      <c r="G50" s="1142"/>
      <c r="H50" s="1142"/>
      <c r="I50" s="1142"/>
      <c r="J50" s="1142"/>
      <c r="K50" s="1104"/>
      <c r="L50" s="1105"/>
      <c r="M50" s="1142"/>
      <c r="N50" s="1142"/>
      <c r="O50" s="1142"/>
    </row>
    <row r="51" spans="1:15" ht="13.5" customHeight="1">
      <c r="A51" s="1142"/>
      <c r="B51" s="1142"/>
      <c r="C51" s="496" t="s">
        <v>2668</v>
      </c>
      <c r="D51" s="497"/>
      <c r="E51" s="498">
        <f>IF(E46&lt;E47,E47/E46-1,E46/E47-1)</f>
        <v>3.0906233630172864E-2</v>
      </c>
      <c r="F51" s="499" t="str">
        <f>IF(OR(E51&gt;=0.3,E51&lt;=-0.3),"超过30%","")</f>
        <v/>
      </c>
      <c r="G51" s="498">
        <f>IF(G46&lt;G47,G47/G46-1,G46/G47-1)</f>
        <v>3.0557677616501078E-2</v>
      </c>
      <c r="H51" s="499" t="str">
        <f>IF(OR(G51&gt;=0.3,G51&lt;=-0.3),"超过30%","")</f>
        <v/>
      </c>
      <c r="I51" s="498">
        <f>IF(I46&lt;I47,I47/I46-1,I46/I47-1)</f>
        <v>5.2631578947368363E-2</v>
      </c>
      <c r="J51" s="499" t="str">
        <f>IF(OR(I51&gt;=0.3,I51&lt;=-0.3),"超过30%","")</f>
        <v/>
      </c>
      <c r="K51" s="1104"/>
      <c r="L51" s="1105"/>
      <c r="M51" s="1142"/>
      <c r="N51" s="1142"/>
      <c r="O51" s="1142"/>
    </row>
    <row r="52" spans="1:15" ht="13.5" customHeight="1">
      <c r="A52" s="1142"/>
      <c r="B52" s="1142"/>
      <c r="C52" s="496" t="s">
        <v>2669</v>
      </c>
      <c r="D52" s="500"/>
      <c r="E52" s="498">
        <f>IF(E47&lt;G47,G47/E47-1,E47/G47-1)</f>
        <v>0.45885841363973312</v>
      </c>
      <c r="F52" s="499" t="str">
        <f>IF(OR(E52&gt;=0.2,E52&lt;=-0.2),"超过20%","")</f>
        <v>超过20%</v>
      </c>
      <c r="G52" s="498">
        <f>IF(G47&lt;I47,I47/G47-1,G47/I47-1)</f>
        <v>0.39362490733876943</v>
      </c>
      <c r="H52" s="499" t="str">
        <f>IF(OR(G52&gt;=0.2,G52&lt;=-0.2),"超过20%","")</f>
        <v>超过20%</v>
      </c>
      <c r="I52" s="498">
        <f>IF(I47&lt;E47,E47/I47-1,I47/E47-1)</f>
        <v>4.6808510638297829E-2</v>
      </c>
      <c r="J52" s="499" t="str">
        <f>IF(OR(I52&gt;=0.2,I52&lt;=-0.2),"超过20%","")</f>
        <v/>
      </c>
      <c r="K52" s="1104"/>
      <c r="L52" s="1105"/>
      <c r="M52" s="1142"/>
      <c r="N52" s="1142"/>
      <c r="O52" s="1142"/>
    </row>
    <row r="53" spans="1:15" s="501" customFormat="1" ht="13.5" customHeight="1">
      <c r="A53" s="1143"/>
      <c r="B53" s="1143"/>
      <c r="C53" s="496" t="s">
        <v>2670</v>
      </c>
      <c r="D53" s="500"/>
      <c r="E53" s="498">
        <f>IF(E46&lt;G46,G46/E46-1,E46/G46-1)</f>
        <v>0.45836516424751728</v>
      </c>
      <c r="F53" s="499" t="str">
        <f>IF(OR(E53&gt;=0.3,E53&lt;=-0.3),"超过30%","")</f>
        <v>超过30%</v>
      </c>
      <c r="G53" s="498">
        <f>IF(G46&lt;I46,I46/G46-1,G46/I46-1)</f>
        <v>0.36440030557677616</v>
      </c>
      <c r="H53" s="499" t="str">
        <f>IF(OR(G53&gt;=0.3,G53&lt;=-0.3),"超过30%","")</f>
        <v>超过30%</v>
      </c>
      <c r="I53" s="498">
        <f>IF(I46&lt;E46,E46/I46-1,I46/E46-1)</f>
        <v>6.8868980963045834E-2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2755</v>
      </c>
      <c r="B55" s="684" t="s">
        <v>2756</v>
      </c>
      <c r="C55" s="2699" t="s">
        <v>2757</v>
      </c>
      <c r="D55" s="2700" t="s">
        <v>2758</v>
      </c>
      <c r="E55" s="685" t="s">
        <v>2759</v>
      </c>
      <c r="F55" s="1106" t="s">
        <v>2760</v>
      </c>
      <c r="G55" s="3214" t="s">
        <v>2761</v>
      </c>
      <c r="H55" s="3215"/>
      <c r="I55" s="143" t="s">
        <v>2762</v>
      </c>
      <c r="J55" s="2701" t="str">
        <f>项目基本情况!F35</f>
        <v>湖北省黄石市大冶市</v>
      </c>
      <c r="K55" s="2702" t="s">
        <v>2763</v>
      </c>
      <c r="L55" s="1105"/>
      <c r="M55" s="1142"/>
      <c r="N55" s="1142"/>
      <c r="O55" s="1142"/>
    </row>
    <row r="56" spans="1:15" s="691" customFormat="1">
      <c r="A56" s="687" t="s">
        <v>2764</v>
      </c>
      <c r="B56" s="688">
        <f>C48</f>
        <v>1732</v>
      </c>
      <c r="C56" s="689">
        <v>1</v>
      </c>
      <c r="D56" s="1161">
        <v>1</v>
      </c>
      <c r="E56" s="689">
        <f>'数据-汇总表'!E8+'数据-汇总表'!E9</f>
        <v>424.2</v>
      </c>
      <c r="F56" s="1102">
        <f t="shared" ref="F56:F65" si="15">ROUND(B56*E56/10000,0)</f>
        <v>73</v>
      </c>
      <c r="G56" s="3216"/>
      <c r="H56" s="3217"/>
      <c r="I56" s="1107">
        <v>1</v>
      </c>
      <c r="J56" s="1110">
        <v>1</v>
      </c>
      <c r="K56" s="1143"/>
      <c r="L56" s="940"/>
      <c r="M56" s="940"/>
      <c r="N56" s="940"/>
      <c r="O56" s="940"/>
    </row>
    <row r="57" spans="1:15" s="691" customFormat="1">
      <c r="A57" s="692" t="s">
        <v>2765</v>
      </c>
      <c r="B57" s="261">
        <f>ROUND($C$48*C57*D57,0)</f>
        <v>0</v>
      </c>
      <c r="C57" s="199">
        <f t="shared" ref="C57:C65" si="16">IF($C$55="北京市系数",I57,J57)</f>
        <v>0</v>
      </c>
      <c r="D57" s="1162">
        <v>0.25</v>
      </c>
      <c r="E57" s="693"/>
      <c r="F57" s="1102">
        <f t="shared" si="15"/>
        <v>0</v>
      </c>
      <c r="G57" s="3218" t="s">
        <v>2766</v>
      </c>
      <c r="H57" s="1103">
        <f>项目基本情况!B37</f>
        <v>0</v>
      </c>
      <c r="I57" s="1107">
        <f>SUMIF(修正!A45:A56,H57,修正!B45:B56)</f>
        <v>0</v>
      </c>
      <c r="J57" s="1111"/>
      <c r="K57" s="1142"/>
      <c r="L57" s="940"/>
      <c r="M57" s="940"/>
      <c r="N57" s="940"/>
      <c r="O57" s="940"/>
    </row>
    <row r="58" spans="1:15" s="691" customFormat="1">
      <c r="A58" s="692" t="s">
        <v>2767</v>
      </c>
      <c r="B58" s="261">
        <f t="shared" ref="B58:B65" si="17">ROUND($C$48*C58*D58,0)</f>
        <v>0</v>
      </c>
      <c r="C58" s="199">
        <f t="shared" si="16"/>
        <v>0</v>
      </c>
      <c r="D58" s="1162">
        <v>0.25</v>
      </c>
      <c r="E58" s="693"/>
      <c r="F58" s="1102">
        <f t="shared" si="15"/>
        <v>0</v>
      </c>
      <c r="G58" s="3218"/>
      <c r="H58" s="1103">
        <f>项目基本情况!B37</f>
        <v>0</v>
      </c>
      <c r="I58" s="1107">
        <f>SUMIF(修正!A45:A56,H58,修正!C45:C56)</f>
        <v>0</v>
      </c>
      <c r="J58" s="1111"/>
      <c r="K58" s="1143"/>
      <c r="L58" s="940"/>
      <c r="M58" s="940"/>
      <c r="N58" s="940"/>
      <c r="O58" s="940"/>
    </row>
    <row r="59" spans="1:15" s="691" customFormat="1">
      <c r="A59" s="692" t="s">
        <v>2768</v>
      </c>
      <c r="B59" s="261">
        <f t="shared" si="17"/>
        <v>0</v>
      </c>
      <c r="C59" s="199">
        <f t="shared" si="16"/>
        <v>0</v>
      </c>
      <c r="D59" s="1162">
        <v>0.25</v>
      </c>
      <c r="E59" s="693"/>
      <c r="F59" s="1102">
        <f t="shared" si="15"/>
        <v>0</v>
      </c>
      <c r="G59" s="3218"/>
      <c r="H59" s="1103">
        <f>项目基本情况!B37</f>
        <v>0</v>
      </c>
      <c r="I59" s="1107">
        <f>SUMIF(修正!A45:A56,H59,修正!D45:D56)</f>
        <v>0</v>
      </c>
      <c r="J59" s="1111"/>
      <c r="K59" s="1142"/>
      <c r="L59" s="940"/>
      <c r="M59" s="940"/>
      <c r="N59" s="940"/>
      <c r="O59" s="940"/>
    </row>
    <row r="60" spans="1:15" s="691" customFormat="1">
      <c r="A60" s="692" t="s">
        <v>2769</v>
      </c>
      <c r="B60" s="261">
        <f t="shared" si="17"/>
        <v>0</v>
      </c>
      <c r="C60" s="199">
        <f t="shared" si="16"/>
        <v>0</v>
      </c>
      <c r="D60" s="1162">
        <v>0.25</v>
      </c>
      <c r="E60" s="693"/>
      <c r="F60" s="1102">
        <f t="shared" si="15"/>
        <v>0</v>
      </c>
      <c r="G60" s="3218"/>
      <c r="H60" s="1103">
        <f>项目基本情况!B37</f>
        <v>0</v>
      </c>
      <c r="I60" s="1107">
        <f>SUMIF(修正!A45:A56,H60,修正!E45:E56)</f>
        <v>0</v>
      </c>
      <c r="J60" s="1111"/>
      <c r="K60" s="1143"/>
      <c r="L60" s="940"/>
      <c r="M60" s="940"/>
      <c r="N60" s="940"/>
      <c r="O60" s="940"/>
    </row>
    <row r="61" spans="1:15" s="691" customFormat="1">
      <c r="A61" s="692" t="s">
        <v>2770</v>
      </c>
      <c r="B61" s="261">
        <f t="shared" si="17"/>
        <v>0</v>
      </c>
      <c r="C61" s="199">
        <f t="shared" si="16"/>
        <v>0</v>
      </c>
      <c r="D61" s="1162">
        <v>0.25</v>
      </c>
      <c r="E61" s="260">
        <f>'数据-汇总表'!E11</f>
        <v>0</v>
      </c>
      <c r="F61" s="1102">
        <f t="shared" si="15"/>
        <v>0</v>
      </c>
      <c r="G61" s="2703" t="s">
        <v>2771</v>
      </c>
      <c r="H61" s="1103">
        <f>项目基本情况!C37</f>
        <v>0</v>
      </c>
      <c r="I61" s="1107">
        <f>SUMIF(修正!A45:A56,H61,修正!F45:F56)</f>
        <v>0</v>
      </c>
      <c r="J61" s="1111"/>
      <c r="K61" s="1142"/>
      <c r="L61" s="940"/>
      <c r="M61" s="940"/>
      <c r="N61" s="940"/>
      <c r="O61" s="940"/>
    </row>
    <row r="62" spans="1:15" s="691" customFormat="1">
      <c r="A62" s="692" t="s">
        <v>2772</v>
      </c>
      <c r="B62" s="261">
        <f t="shared" si="17"/>
        <v>0</v>
      </c>
      <c r="C62" s="199">
        <f t="shared" si="16"/>
        <v>0</v>
      </c>
      <c r="D62" s="1162">
        <v>0.25</v>
      </c>
      <c r="E62" s="260">
        <f>'数据-汇总表'!E12</f>
        <v>0</v>
      </c>
      <c r="F62" s="1102">
        <f t="shared" si="15"/>
        <v>0</v>
      </c>
      <c r="G62" s="1108" t="s">
        <v>2773</v>
      </c>
      <c r="H62" s="1103">
        <f>IF(G62="商业",项目基本情况!B37,IF(G62="办公",项目基本情况!C37,IF(G62="住宅",项目基本情况!D37,项目基本情况!E37)))</f>
        <v>0</v>
      </c>
      <c r="I62" s="1107">
        <f>SUMIF(修正!A45:A56,H62,修正!G45:G56)</f>
        <v>0</v>
      </c>
      <c r="J62" s="1111"/>
      <c r="K62" s="1143"/>
      <c r="L62" s="940"/>
      <c r="M62" s="940"/>
      <c r="N62" s="940"/>
      <c r="O62" s="940"/>
    </row>
    <row r="63" spans="1:15" s="691" customFormat="1">
      <c r="A63" s="692" t="s">
        <v>2774</v>
      </c>
      <c r="B63" s="261">
        <f t="shared" si="17"/>
        <v>0</v>
      </c>
      <c r="C63" s="199">
        <f t="shared" si="16"/>
        <v>0</v>
      </c>
      <c r="D63" s="1162">
        <v>0.25</v>
      </c>
      <c r="E63" s="260">
        <f>'数据-汇总表'!E13</f>
        <v>0</v>
      </c>
      <c r="F63" s="1102">
        <f t="shared" si="15"/>
        <v>0</v>
      </c>
      <c r="G63" s="1108" t="s">
        <v>2775</v>
      </c>
      <c r="H63" s="1103">
        <f>IF(G63="商业",项目基本情况!B37,IF(G63="办公",项目基本情况!C37,IF(G63="住宅",项目基本情况!D37,项目基本情况!E37)))</f>
        <v>0</v>
      </c>
      <c r="I63" s="1107">
        <f>SUMIF(修正!A45:A56,H63,修正!H45:H56)</f>
        <v>0</v>
      </c>
      <c r="J63" s="1111"/>
      <c r="K63" s="1142"/>
      <c r="L63" s="940"/>
      <c r="M63" s="940"/>
      <c r="N63" s="940"/>
      <c r="O63" s="940"/>
    </row>
    <row r="64" spans="1:15" s="691" customFormat="1">
      <c r="A64" s="692" t="s">
        <v>2776</v>
      </c>
      <c r="B64" s="261">
        <f t="shared" si="17"/>
        <v>0</v>
      </c>
      <c r="C64" s="199">
        <f t="shared" si="16"/>
        <v>0</v>
      </c>
      <c r="D64" s="1162">
        <v>0.25</v>
      </c>
      <c r="E64" s="260">
        <f>'数据-汇总表'!E14</f>
        <v>0</v>
      </c>
      <c r="F64" s="1102">
        <f t="shared" si="15"/>
        <v>0</v>
      </c>
      <c r="G64" s="2703" t="s">
        <v>2766</v>
      </c>
      <c r="H64" s="1103">
        <f>项目基本情况!B37</f>
        <v>0</v>
      </c>
      <c r="I64" s="1107">
        <f>SUMIF(修正!A45:A56,H64,修正!H45:H56)</f>
        <v>0</v>
      </c>
      <c r="J64" s="1111"/>
      <c r="K64" s="1143"/>
      <c r="L64" s="940"/>
      <c r="M64" s="940"/>
      <c r="N64" s="940"/>
      <c r="O64" s="940"/>
    </row>
    <row r="65" spans="1:17" s="691" customFormat="1" ht="15" thickBot="1">
      <c r="A65" s="692" t="s">
        <v>2777</v>
      </c>
      <c r="B65" s="261">
        <f t="shared" si="17"/>
        <v>0</v>
      </c>
      <c r="C65" s="199">
        <f t="shared" si="16"/>
        <v>0</v>
      </c>
      <c r="D65" s="1162">
        <v>0.25</v>
      </c>
      <c r="E65" s="260">
        <f>'数据-汇总表'!E15</f>
        <v>0</v>
      </c>
      <c r="F65" s="1102">
        <f t="shared" si="15"/>
        <v>0</v>
      </c>
      <c r="G65" s="2704" t="s">
        <v>2771</v>
      </c>
      <c r="H65" s="1113">
        <f>项目基本情况!C37</f>
        <v>0</v>
      </c>
      <c r="I65" s="1109">
        <f>SUMIF(修正!A45:A56,H65,修正!H45:H56)</f>
        <v>0</v>
      </c>
      <c r="J65" s="1112"/>
      <c r="K65" s="1142"/>
      <c r="L65" s="940"/>
      <c r="M65" s="940"/>
      <c r="N65" s="940"/>
      <c r="O65" s="940"/>
    </row>
    <row r="66" spans="1:17" s="691" customFormat="1" ht="13.5" thickBot="1">
      <c r="A66" s="694" t="s">
        <v>2778</v>
      </c>
      <c r="B66" s="695" t="s">
        <v>28</v>
      </c>
      <c r="C66" s="695" t="s">
        <v>29</v>
      </c>
      <c r="D66" s="695" t="s">
        <v>1026</v>
      </c>
      <c r="E66" s="695">
        <f>IF(B46="楼面地价",SUM(E56:E65),'数据-汇总表'!D3)</f>
        <v>424.2</v>
      </c>
      <c r="F66" s="696">
        <f>IF(B46="楼面地价",SUM(F56:F65),ROUND(C48*E66/10000,0))</f>
        <v>73</v>
      </c>
      <c r="G66" s="786"/>
      <c r="H66" s="786"/>
      <c r="I66" s="786"/>
      <c r="J66" s="786"/>
      <c r="K66" s="1156"/>
      <c r="L66" s="940"/>
      <c r="M66" s="940"/>
      <c r="N66" s="940"/>
      <c r="O66" s="940"/>
    </row>
    <row r="67" spans="1:17">
      <c r="A67" s="758"/>
      <c r="B67" s="760"/>
      <c r="C67" s="761"/>
      <c r="D67" s="758"/>
      <c r="E67" s="758"/>
      <c r="F67" s="758"/>
      <c r="G67" s="758"/>
      <c r="H67" s="758"/>
      <c r="I67" s="758"/>
      <c r="J67" s="1142"/>
      <c r="K67" s="1104"/>
      <c r="L67" s="1105"/>
      <c r="M67" s="1142"/>
      <c r="N67" s="1142"/>
      <c r="O67" s="1142"/>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2671</v>
      </c>
      <c r="B69" s="758"/>
      <c r="C69" s="763"/>
      <c r="D69" s="763"/>
      <c r="E69" s="763"/>
      <c r="F69" s="764"/>
      <c r="G69" s="764"/>
      <c r="H69" s="763"/>
      <c r="I69" s="763"/>
      <c r="J69" s="1157"/>
      <c r="K69" s="1158"/>
      <c r="L69" s="1159"/>
      <c r="M69" s="1157"/>
      <c r="N69" s="1157"/>
      <c r="O69" s="1157"/>
      <c r="P69" s="502"/>
      <c r="Q69" s="503"/>
    </row>
    <row r="70" spans="1:17" s="507" customFormat="1" ht="15">
      <c r="A70" s="2705" t="s">
        <v>2779</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7" customFormat="1" ht="30" customHeight="1">
      <c r="A71" s="2706" t="s">
        <v>2780</v>
      </c>
      <c r="B71" s="331" t="str">
        <f>"北京市平均增长率"&amp;TEXT(SUMIF(基准地价修正!N21:N25,A71,基准地价修正!P21:P25),"0.00%")</f>
        <v>北京市平均增长率2.23%</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2582</v>
      </c>
      <c r="B72" s="515"/>
      <c r="C72" s="516"/>
      <c r="D72" s="517"/>
      <c r="E72" s="517"/>
      <c r="F72" s="517"/>
      <c r="G72" s="517"/>
      <c r="H72" s="517"/>
      <c r="I72" s="517"/>
      <c r="J72" s="517"/>
      <c r="K72" s="517"/>
      <c r="L72" s="517"/>
      <c r="M72" s="518"/>
      <c r="N72" s="517"/>
      <c r="O72" s="1160"/>
      <c r="P72" s="503"/>
      <c r="Q72" s="503"/>
    </row>
    <row r="73" spans="1:17" s="117" customFormat="1" ht="15">
      <c r="A73" s="520" t="s">
        <v>2547</v>
      </c>
      <c r="B73" s="509"/>
      <c r="C73" s="521" t="s">
        <v>2649</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2585</v>
      </c>
      <c r="B75" s="527" t="s">
        <v>2551</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2554</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2782</v>
      </c>
      <c r="C96" s="577" t="s">
        <v>2594</v>
      </c>
      <c r="D96" s="577" t="s">
        <v>2595</v>
      </c>
      <c r="E96" s="577" t="s">
        <v>2596</v>
      </c>
      <c r="F96" s="577" t="s">
        <v>2597</v>
      </c>
      <c r="G96" s="577" t="s">
        <v>2598</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2783</v>
      </c>
      <c r="C98" s="572" t="s">
        <v>2594</v>
      </c>
      <c r="D98" s="572" t="s">
        <v>2595</v>
      </c>
      <c r="E98" s="572" t="s">
        <v>2596</v>
      </c>
      <c r="F98" s="572" t="s">
        <v>2597</v>
      </c>
      <c r="G98" s="572" t="s">
        <v>2598</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2688</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2747</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2560</v>
      </c>
      <c r="B116" s="527" t="s">
        <v>2788</v>
      </c>
      <c r="C116" s="528" t="str">
        <f>C117&amp;"(含)"&amp;"-"&amp;D117</f>
        <v>0(含)-10000</v>
      </c>
      <c r="D116" s="528" t="str">
        <f t="shared" ref="D116:M116" si="25">D117&amp;"(含)"&amp;"-"&amp;E117</f>
        <v>10000(含)-20000</v>
      </c>
      <c r="E116" s="528" t="str">
        <f t="shared" si="25"/>
        <v>20000(含)-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v>10000</v>
      </c>
      <c r="E117" s="594">
        <v>20000</v>
      </c>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2789</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2790</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2791</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2792</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D19" zoomScale="90" zoomScaleNormal="90" workbookViewId="0">
      <selection activeCell="I28" sqref="I2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2639</v>
      </c>
      <c r="C1" s="1632" t="s">
        <v>2527</v>
      </c>
      <c r="D1" s="1619"/>
      <c r="E1" s="2651"/>
      <c r="F1" s="2578" t="s">
        <v>3183</v>
      </c>
      <c r="G1" s="1629" t="s">
        <v>2640</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2324</v>
      </c>
      <c r="B2" s="1416">
        <f>IF(C2="——",ROUND(C49*D3/10000,0),ROUND(C49*D3/10000,0)-D2)</f>
        <v>800</v>
      </c>
      <c r="C2" s="2580" t="s">
        <v>70</v>
      </c>
      <c r="D2" s="1363" t="e">
        <f ca="1">SUMIF(INDIRECT("'"&amp;F2&amp;"'"&amp;"!A:A"),"承租人权益价值",INDIRECT("'"&amp;F2&amp;"'"&amp;"!c:c"))</f>
        <v>#REF!</v>
      </c>
      <c r="E2" s="2581" t="s">
        <v>2325</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2326</v>
      </c>
      <c r="B3" s="608">
        <f>IF(C2="——",C49,ROUND(B2*10000/D3,0))</f>
        <v>18866</v>
      </c>
      <c r="C3" s="399" t="s">
        <v>2641</v>
      </c>
      <c r="D3" s="398">
        <f>IF(D1="",'数据-汇总表'!E3,SUMIF('数据-汇总表'!$C19:$C33,D1,'数据-汇总表'!$E19:$E33))</f>
        <v>424.2</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2642</v>
      </c>
      <c r="B4" s="401"/>
      <c r="C4" s="3214" t="s">
        <v>2643</v>
      </c>
      <c r="D4" s="3227"/>
      <c r="E4" s="3228" t="s">
        <v>2644</v>
      </c>
      <c r="F4" s="3229"/>
      <c r="G4" s="3214" t="s">
        <v>2645</v>
      </c>
      <c r="H4" s="3227"/>
      <c r="I4" s="3214" t="s">
        <v>2646</v>
      </c>
      <c r="J4" s="3227"/>
      <c r="K4" s="609" t="s">
        <v>2647</v>
      </c>
      <c r="L4" s="1128"/>
      <c r="M4" s="1129"/>
      <c r="N4" s="1129"/>
      <c r="O4" s="1129"/>
      <c r="P4" s="3230" t="s">
        <v>2648</v>
      </c>
      <c r="Q4" s="3231"/>
      <c r="R4" s="3236" t="s">
        <v>2644</v>
      </c>
      <c r="S4" s="3237"/>
      <c r="T4" s="3236" t="s">
        <v>2645</v>
      </c>
      <c r="U4" s="3237"/>
      <c r="V4" s="3223" t="s">
        <v>2646</v>
      </c>
      <c r="W4" s="3223"/>
      <c r="X4" s="1810"/>
      <c r="Y4" s="3236" t="s">
        <v>2648</v>
      </c>
      <c r="Z4" s="3237"/>
      <c r="AA4" s="3224" t="s">
        <v>2644</v>
      </c>
      <c r="AB4" s="3223" t="s">
        <v>2645</v>
      </c>
      <c r="AC4" s="3224" t="s">
        <v>2646</v>
      </c>
    </row>
    <row r="5" spans="1:29" ht="15">
      <c r="A5" s="403"/>
      <c r="B5" s="404"/>
      <c r="C5" s="3244" t="s">
        <v>2539</v>
      </c>
      <c r="D5" s="3245"/>
      <c r="E5" s="3251" t="s">
        <v>2540</v>
      </c>
      <c r="F5" s="3252"/>
      <c r="G5" s="3244" t="s">
        <v>2541</v>
      </c>
      <c r="H5" s="3245"/>
      <c r="I5" s="3244" t="s">
        <v>2542</v>
      </c>
      <c r="J5" s="3245"/>
      <c r="K5" s="609"/>
      <c r="L5" s="1128"/>
      <c r="M5" s="1129"/>
      <c r="N5" s="1129"/>
      <c r="O5" s="1129"/>
      <c r="P5" s="3232"/>
      <c r="Q5" s="3233"/>
      <c r="R5" s="3238"/>
      <c r="S5" s="3239"/>
      <c r="T5" s="3238"/>
      <c r="U5" s="3239"/>
      <c r="V5" s="3223"/>
      <c r="W5" s="3223"/>
      <c r="X5" s="1810"/>
      <c r="Y5" s="3238"/>
      <c r="Z5" s="3239"/>
      <c r="AA5" s="3225"/>
      <c r="AB5" s="3223"/>
      <c r="AC5" s="3225"/>
    </row>
    <row r="6" spans="1:29" ht="15.75" thickBot="1">
      <c r="A6" s="405"/>
      <c r="B6" s="406"/>
      <c r="C6" s="3242" t="s">
        <v>2543</v>
      </c>
      <c r="D6" s="3243"/>
      <c r="E6" s="3249" t="s">
        <v>2543</v>
      </c>
      <c r="F6" s="3250"/>
      <c r="G6" s="3242" t="s">
        <v>2543</v>
      </c>
      <c r="H6" s="3243"/>
      <c r="I6" s="3242" t="s">
        <v>2543</v>
      </c>
      <c r="J6" s="3243"/>
      <c r="K6" s="609" t="s">
        <v>2544</v>
      </c>
      <c r="L6" s="1128"/>
      <c r="M6" s="1129"/>
      <c r="N6" s="1129"/>
      <c r="O6" s="1129"/>
      <c r="P6" s="3234"/>
      <c r="Q6" s="3235"/>
      <c r="R6" s="3238"/>
      <c r="S6" s="3239"/>
      <c r="T6" s="3240"/>
      <c r="U6" s="3241"/>
      <c r="V6" s="3223"/>
      <c r="W6" s="3223"/>
      <c r="X6" s="1810"/>
      <c r="Y6" s="3240"/>
      <c r="Z6" s="3241"/>
      <c r="AA6" s="3226"/>
      <c r="AB6" s="3223"/>
      <c r="AC6" s="3226"/>
    </row>
    <row r="7" spans="1:29" s="117" customFormat="1" ht="15.75" thickBot="1">
      <c r="A7" s="407" t="s">
        <v>2545</v>
      </c>
      <c r="B7" s="408"/>
      <c r="C7" s="409">
        <f>'数据-取费表'!B2</f>
        <v>43676</v>
      </c>
      <c r="D7" s="410">
        <v>100</v>
      </c>
      <c r="E7" s="411">
        <v>43647</v>
      </c>
      <c r="F7" s="412">
        <f>SUMIF(58:58,YEAR(E7)&amp;"-"&amp;MONTH(E7),59:59)</f>
        <v>100</v>
      </c>
      <c r="G7" s="411">
        <v>43647</v>
      </c>
      <c r="H7" s="410">
        <f>SUMIF(58:58,YEAR(G7)&amp;"-"&amp;MONTH(G7),59:59)</f>
        <v>100</v>
      </c>
      <c r="I7" s="411">
        <v>43647</v>
      </c>
      <c r="J7" s="410">
        <f>SUMIF(58:58,YEAR(I7)&amp;"-"&amp;MONTH(I7),59:59)</f>
        <v>100</v>
      </c>
      <c r="K7" s="610"/>
      <c r="L7" s="1130"/>
      <c r="M7" s="1131"/>
      <c r="N7" s="1131"/>
      <c r="O7" s="1131"/>
      <c r="P7" s="3246" t="s">
        <v>2546</v>
      </c>
      <c r="Q7" s="3248"/>
      <c r="R7" s="769" t="s">
        <v>17</v>
      </c>
      <c r="S7" s="770">
        <f t="shared" ref="S7:S15" si="0">F7</f>
        <v>100</v>
      </c>
      <c r="T7" s="769" t="s">
        <v>17</v>
      </c>
      <c r="U7" s="770">
        <f t="shared" ref="U7:U15" si="1">H7</f>
        <v>100</v>
      </c>
      <c r="V7" s="769" t="s">
        <v>17</v>
      </c>
      <c r="W7" s="770">
        <f t="shared" ref="W7:W15" si="2">J7</f>
        <v>100</v>
      </c>
      <c r="X7" s="771"/>
      <c r="Y7" s="3246" t="s">
        <v>2546</v>
      </c>
      <c r="Z7" s="3247"/>
      <c r="AA7" s="772">
        <f>D7/F7</f>
        <v>1</v>
      </c>
      <c r="AB7" s="772">
        <f>D7/H7</f>
        <v>1</v>
      </c>
      <c r="AC7" s="772">
        <f>D7/J7</f>
        <v>1</v>
      </c>
    </row>
    <row r="8" spans="1:29" s="117" customFormat="1" ht="15.75" thickBot="1">
      <c r="A8" s="407" t="s">
        <v>2547</v>
      </c>
      <c r="B8" s="408"/>
      <c r="C8" s="413" t="s">
        <v>2649</v>
      </c>
      <c r="D8" s="410">
        <v>100</v>
      </c>
      <c r="E8" s="413" t="s">
        <v>3184</v>
      </c>
      <c r="F8" s="412">
        <f>SUMIF(61:61,E8,62:62)-SUMIF(61:61,C8,62:62)+100</f>
        <v>100</v>
      </c>
      <c r="G8" s="413" t="s">
        <v>3184</v>
      </c>
      <c r="H8" s="410">
        <f>SUMIF(61:61,G8,62:62)-SUMIF(61:61,C8,62:62)+100</f>
        <v>100</v>
      </c>
      <c r="I8" s="413" t="s">
        <v>3184</v>
      </c>
      <c r="J8" s="410">
        <f>SUMIF(61:61,I8,62:62)-SUMIF(61:61,C8,62:62)+100</f>
        <v>100</v>
      </c>
      <c r="K8" s="610"/>
      <c r="L8" s="1130"/>
      <c r="M8" s="1131"/>
      <c r="N8" s="1131"/>
      <c r="O8" s="1131"/>
      <c r="P8" s="3246" t="s">
        <v>2549</v>
      </c>
      <c r="Q8" s="3247"/>
      <c r="R8" s="769" t="s">
        <v>17</v>
      </c>
      <c r="S8" s="770">
        <f t="shared" si="0"/>
        <v>100</v>
      </c>
      <c r="T8" s="769" t="s">
        <v>17</v>
      </c>
      <c r="U8" s="770">
        <f t="shared" si="1"/>
        <v>100</v>
      </c>
      <c r="V8" s="769" t="s">
        <v>17</v>
      </c>
      <c r="W8" s="770">
        <f t="shared" si="2"/>
        <v>100</v>
      </c>
      <c r="X8" s="771"/>
      <c r="Y8" s="3246" t="s">
        <v>2549</v>
      </c>
      <c r="Z8" s="3247"/>
      <c r="AA8" s="772">
        <f t="shared" ref="AA8:AA46" si="3">D8/F8</f>
        <v>1</v>
      </c>
      <c r="AB8" s="772">
        <f t="shared" ref="AB8:AB46" si="4">D8/H8</f>
        <v>1</v>
      </c>
      <c r="AC8" s="772">
        <f t="shared" ref="AC8:AC46" si="5">D8/J8</f>
        <v>1</v>
      </c>
    </row>
    <row r="9" spans="1:29" s="117" customFormat="1">
      <c r="A9" s="414" t="s">
        <v>2550</v>
      </c>
      <c r="B9" s="71" t="s">
        <v>2551</v>
      </c>
      <c r="C9" s="2968" t="s">
        <v>3211</v>
      </c>
      <c r="D9" s="134">
        <v>100</v>
      </c>
      <c r="E9" s="2969" t="s">
        <v>3211</v>
      </c>
      <c r="F9" s="417">
        <f>SUMIF(63:63,E9,64:64)-SUMIF(63:63,C9,64:64)+100</f>
        <v>100</v>
      </c>
      <c r="G9" s="2969" t="s">
        <v>3211</v>
      </c>
      <c r="H9" s="134">
        <f>SUMIF(63:63,G9,64:64)-SUMIF(63:63,C9,64:64)+100</f>
        <v>100</v>
      </c>
      <c r="I9" s="2969" t="s">
        <v>3211</v>
      </c>
      <c r="J9" s="134">
        <f>SUMIF(63:63,I9,64:64)-SUMIF(63:63,C9,64:64)+100</f>
        <v>100</v>
      </c>
      <c r="K9" s="610"/>
      <c r="L9" s="1130"/>
      <c r="M9" s="1131"/>
      <c r="N9" s="1131"/>
      <c r="O9" s="1131"/>
      <c r="P9" s="3216" t="s">
        <v>2552</v>
      </c>
      <c r="Q9" s="1792" t="str">
        <f t="shared" ref="Q9:Q15" si="6">B9</f>
        <v>用途</v>
      </c>
      <c r="R9" s="769" t="s">
        <v>17</v>
      </c>
      <c r="S9" s="770">
        <f t="shared" si="0"/>
        <v>100</v>
      </c>
      <c r="T9" s="769" t="s">
        <v>17</v>
      </c>
      <c r="U9" s="770">
        <f t="shared" si="1"/>
        <v>100</v>
      </c>
      <c r="V9" s="769" t="s">
        <v>17</v>
      </c>
      <c r="W9" s="770">
        <f t="shared" si="2"/>
        <v>100</v>
      </c>
      <c r="X9" s="771"/>
      <c r="Y9" s="3065" t="s">
        <v>2553</v>
      </c>
      <c r="Z9" s="55" t="str">
        <f t="shared" ref="Z9:Z15" si="7">Q9</f>
        <v>用途</v>
      </c>
      <c r="AA9" s="772">
        <f t="shared" si="3"/>
        <v>1</v>
      </c>
      <c r="AB9" s="772">
        <f t="shared" si="4"/>
        <v>1</v>
      </c>
      <c r="AC9" s="772">
        <f t="shared" si="5"/>
        <v>1</v>
      </c>
    </row>
    <row r="10" spans="1:29" s="426" customFormat="1" ht="27">
      <c r="A10" s="420"/>
      <c r="B10" s="421" t="s">
        <v>2554</v>
      </c>
      <c r="C10" s="422" t="s">
        <v>3212</v>
      </c>
      <c r="D10" s="135">
        <v>100</v>
      </c>
      <c r="E10" s="2995" t="s">
        <v>3212</v>
      </c>
      <c r="F10" s="424">
        <f>SUMIF(65:65,E10,66:66)-SUMIF(65:65,C10,66:66)+100</f>
        <v>100</v>
      </c>
      <c r="G10" s="2996" t="s">
        <v>3212</v>
      </c>
      <c r="H10" s="135">
        <f>SUMIF(65:65,G10,66:66)-SUMIF(65:65,C10,66:66)+100</f>
        <v>100</v>
      </c>
      <c r="I10" s="2996" t="s">
        <v>3212</v>
      </c>
      <c r="J10" s="135">
        <f>SUMIF(65:65,I10,66:66)-SUMIF(65:65,C10,66:66)+100</f>
        <v>100</v>
      </c>
      <c r="K10" s="611">
        <v>2</v>
      </c>
      <c r="L10" s="1133"/>
      <c r="M10" s="1134"/>
      <c r="N10" s="1134"/>
      <c r="O10" s="1134"/>
      <c r="P10" s="3216"/>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7"/>
      <c r="B11" s="421" t="s">
        <v>2555</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16"/>
      <c r="Q11" s="1792" t="str">
        <f t="shared" si="6"/>
        <v>容积率</v>
      </c>
      <c r="R11" s="769" t="s">
        <v>17</v>
      </c>
      <c r="S11" s="770">
        <f t="shared" si="0"/>
        <v>100</v>
      </c>
      <c r="T11" s="769" t="s">
        <v>17</v>
      </c>
      <c r="U11" s="770">
        <f t="shared" si="1"/>
        <v>100</v>
      </c>
      <c r="V11" s="769" t="s">
        <v>17</v>
      </c>
      <c r="W11" s="770">
        <f t="shared" si="2"/>
        <v>100</v>
      </c>
      <c r="X11" s="771"/>
      <c r="Y11" s="3065"/>
      <c r="Z11" s="55" t="str">
        <f t="shared" si="7"/>
        <v>容积率</v>
      </c>
      <c r="AA11" s="772">
        <f t="shared" si="3"/>
        <v>1</v>
      </c>
      <c r="AB11" s="772">
        <f t="shared" si="4"/>
        <v>1</v>
      </c>
      <c r="AC11" s="772">
        <f t="shared" si="5"/>
        <v>1</v>
      </c>
    </row>
    <row r="12" spans="1:29" s="117"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6"/>
      <c r="Q12" s="1792">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6"/>
      <c r="Q13" s="1792">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6"/>
      <c r="Q14" s="1792">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772">
        <f t="shared" si="5"/>
        <v>1</v>
      </c>
    </row>
    <row r="15" spans="1:29" ht="71.25">
      <c r="A15" s="439" t="s">
        <v>2556</v>
      </c>
      <c r="B15" s="69" t="s">
        <v>2650</v>
      </c>
      <c r="C15" s="2597" t="str">
        <f>估价对象房地状况!C4</f>
        <v>估价对象位于XX商圈，周边商业氛围成熟，人流量大，商业繁华度好</v>
      </c>
      <c r="D15" s="440">
        <v>100</v>
      </c>
      <c r="E15" s="441"/>
      <c r="F15" s="442">
        <f>SUMIF(76:76,E16,77:77)-SUMIF(76:76,C16,77:77)+100</f>
        <v>105</v>
      </c>
      <c r="G15" s="443"/>
      <c r="H15" s="440">
        <f>SUMIF(76:76,G16,77:77)-SUMIF(76:76,C16,77:77)+100</f>
        <v>105</v>
      </c>
      <c r="I15" s="441"/>
      <c r="J15" s="440">
        <f>SUMIF(76:76,I16,77:77)-SUMIF(76:76,C16,77:77)+100</f>
        <v>105</v>
      </c>
      <c r="K15" s="613">
        <v>5</v>
      </c>
      <c r="L15" s="1138"/>
      <c r="M15" s="1129"/>
      <c r="N15" s="1129"/>
      <c r="O15" s="1129"/>
      <c r="P15" s="3255" t="s">
        <v>2557</v>
      </c>
      <c r="Q15" s="1807" t="str">
        <f t="shared" si="6"/>
        <v>商业繁华度</v>
      </c>
      <c r="R15" s="773" t="s">
        <v>17</v>
      </c>
      <c r="S15" s="774">
        <f t="shared" si="0"/>
        <v>105</v>
      </c>
      <c r="T15" s="773" t="s">
        <v>17</v>
      </c>
      <c r="U15" s="774">
        <f t="shared" si="1"/>
        <v>105</v>
      </c>
      <c r="V15" s="773" t="s">
        <v>17</v>
      </c>
      <c r="W15" s="774">
        <f t="shared" si="2"/>
        <v>105</v>
      </c>
      <c r="X15" s="1810"/>
      <c r="Y15" s="3219" t="s">
        <v>2557</v>
      </c>
      <c r="Z15" s="1811" t="str">
        <f t="shared" si="7"/>
        <v>商业繁华度</v>
      </c>
      <c r="AA15" s="1808">
        <f t="shared" si="3"/>
        <v>0.95238095238095233</v>
      </c>
      <c r="AB15" s="1808">
        <f t="shared" si="4"/>
        <v>0.95238095238095233</v>
      </c>
      <c r="AC15" s="1808">
        <f t="shared" si="5"/>
        <v>0.95238095238095233</v>
      </c>
    </row>
    <row r="16" spans="1:29" ht="15">
      <c r="A16" s="427"/>
      <c r="B16" s="445"/>
      <c r="C16" s="2960" t="s">
        <v>3363</v>
      </c>
      <c r="D16" s="447"/>
      <c r="E16" s="2960" t="s">
        <v>3197</v>
      </c>
      <c r="F16" s="448"/>
      <c r="G16" s="2960" t="s">
        <v>3197</v>
      </c>
      <c r="H16" s="449"/>
      <c r="I16" s="2960" t="s">
        <v>3197</v>
      </c>
      <c r="J16" s="447"/>
      <c r="K16" s="614"/>
      <c r="L16" s="1138"/>
      <c r="M16" s="1129"/>
      <c r="N16" s="1129"/>
      <c r="O16" s="1129"/>
      <c r="P16" s="3256"/>
      <c r="Q16" s="1807"/>
      <c r="R16" s="773"/>
      <c r="S16" s="774"/>
      <c r="T16" s="773"/>
      <c r="U16" s="774"/>
      <c r="V16" s="773"/>
      <c r="W16" s="774"/>
      <c r="X16" s="1810"/>
      <c r="Y16" s="3220"/>
      <c r="Z16" s="1811"/>
      <c r="AA16" s="1808">
        <v>1</v>
      </c>
      <c r="AB16" s="1808">
        <v>1</v>
      </c>
      <c r="AC16" s="1808">
        <v>1</v>
      </c>
    </row>
    <row r="17" spans="1:29" ht="85.5">
      <c r="A17" s="427"/>
      <c r="B17" s="450" t="s">
        <v>2093</v>
      </c>
      <c r="C17" s="2601" t="str">
        <f>估价对象房地状况!C6</f>
        <v>估价对象周边道路状况、公共交通通达情况、停车便捷程度，综合评价交通便捷度较好</v>
      </c>
      <c r="D17" s="449">
        <v>100</v>
      </c>
      <c r="E17" s="451"/>
      <c r="F17" s="452">
        <f>SUMIF(78:78,E18,79:79)-SUMIF(78:78,C18,79:79)+100</f>
        <v>104</v>
      </c>
      <c r="G17" s="453"/>
      <c r="H17" s="454">
        <f>SUMIF(78:78,G18,79:79)-SUMIF(78:78,C18,79:79)+100</f>
        <v>104</v>
      </c>
      <c r="I17" s="451"/>
      <c r="J17" s="454">
        <f>SUMIF(78:78,I18,79:79)-SUMIF(78:78,C18,79:79)+100</f>
        <v>104</v>
      </c>
      <c r="K17" s="613">
        <v>4</v>
      </c>
      <c r="L17" s="1138"/>
      <c r="M17" s="1129"/>
      <c r="N17" s="1129"/>
      <c r="O17" s="1129"/>
      <c r="P17" s="3256"/>
      <c r="Q17" s="1807" t="str">
        <f>B17</f>
        <v>交通便捷度</v>
      </c>
      <c r="R17" s="773" t="s">
        <v>17</v>
      </c>
      <c r="S17" s="774">
        <f>F17</f>
        <v>104</v>
      </c>
      <c r="T17" s="773" t="s">
        <v>17</v>
      </c>
      <c r="U17" s="774">
        <f>H17</f>
        <v>104</v>
      </c>
      <c r="V17" s="773" t="s">
        <v>17</v>
      </c>
      <c r="W17" s="774">
        <f>J17</f>
        <v>104</v>
      </c>
      <c r="X17" s="1810"/>
      <c r="Y17" s="3220"/>
      <c r="Z17" s="1811" t="str">
        <f>Q17</f>
        <v>交通便捷度</v>
      </c>
      <c r="AA17" s="1808">
        <f t="shared" si="3"/>
        <v>0.96153846153846156</v>
      </c>
      <c r="AB17" s="1808">
        <f t="shared" si="4"/>
        <v>0.96153846153846156</v>
      </c>
      <c r="AC17" s="1808">
        <f t="shared" si="5"/>
        <v>0.96153846153846156</v>
      </c>
    </row>
    <row r="18" spans="1:29" ht="15">
      <c r="A18" s="427"/>
      <c r="B18" s="455"/>
      <c r="C18" s="2964" t="s">
        <v>3213</v>
      </c>
      <c r="D18" s="449"/>
      <c r="E18" s="2958" t="s">
        <v>3197</v>
      </c>
      <c r="F18" s="452"/>
      <c r="G18" s="2959" t="s">
        <v>3197</v>
      </c>
      <c r="H18" s="447"/>
      <c r="I18" s="2958" t="s">
        <v>3197</v>
      </c>
      <c r="J18" s="447"/>
      <c r="K18" s="614"/>
      <c r="L18" s="1138"/>
      <c r="M18" s="1129"/>
      <c r="N18" s="1129"/>
      <c r="O18" s="1129"/>
      <c r="P18" s="3256"/>
      <c r="Q18" s="1807"/>
      <c r="R18" s="773"/>
      <c r="S18" s="774"/>
      <c r="T18" s="773"/>
      <c r="U18" s="774"/>
      <c r="V18" s="773"/>
      <c r="W18" s="774"/>
      <c r="X18" s="1810"/>
      <c r="Y18" s="3220"/>
      <c r="Z18" s="1811"/>
      <c r="AA18" s="1808">
        <v>1</v>
      </c>
      <c r="AB18" s="1808">
        <v>1</v>
      </c>
      <c r="AC18" s="1808">
        <v>1</v>
      </c>
    </row>
    <row r="19" spans="1:29" ht="42.75">
      <c r="A19" s="427"/>
      <c r="B19" s="450" t="s">
        <v>2651</v>
      </c>
      <c r="C19" s="260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38"/>
      <c r="M19" s="1129"/>
      <c r="N19" s="1129"/>
      <c r="O19" s="1129"/>
      <c r="P19" s="3256"/>
      <c r="Q19" s="1807" t="str">
        <f>B19</f>
        <v>公共配套设施</v>
      </c>
      <c r="R19" s="773" t="s">
        <v>17</v>
      </c>
      <c r="S19" s="774">
        <f>F19</f>
        <v>100</v>
      </c>
      <c r="T19" s="773" t="s">
        <v>17</v>
      </c>
      <c r="U19" s="774">
        <f>H19</f>
        <v>100</v>
      </c>
      <c r="V19" s="773" t="s">
        <v>17</v>
      </c>
      <c r="W19" s="774">
        <f>J19</f>
        <v>100</v>
      </c>
      <c r="X19" s="1810"/>
      <c r="Y19" s="3220"/>
      <c r="Z19" s="1811" t="str">
        <f>Q19</f>
        <v>公共配套设施</v>
      </c>
      <c r="AA19" s="1808">
        <f t="shared" si="3"/>
        <v>1</v>
      </c>
      <c r="AB19" s="1808">
        <f t="shared" si="4"/>
        <v>1</v>
      </c>
      <c r="AC19" s="1808">
        <f t="shared" si="5"/>
        <v>1</v>
      </c>
    </row>
    <row r="20" spans="1:29" ht="15">
      <c r="A20" s="427"/>
      <c r="B20" s="455"/>
      <c r="C20" s="2960" t="s">
        <v>3214</v>
      </c>
      <c r="D20" s="447"/>
      <c r="E20" s="2961" t="s">
        <v>3214</v>
      </c>
      <c r="F20" s="448"/>
      <c r="G20" s="2962" t="s">
        <v>3216</v>
      </c>
      <c r="H20" s="447"/>
      <c r="I20" s="2961" t="s">
        <v>3214</v>
      </c>
      <c r="J20" s="447"/>
      <c r="K20" s="614"/>
      <c r="L20" s="1138"/>
      <c r="M20" s="1129"/>
      <c r="N20" s="1129"/>
      <c r="O20" s="1129"/>
      <c r="P20" s="3256"/>
      <c r="Q20" s="1807"/>
      <c r="R20" s="773"/>
      <c r="S20" s="774"/>
      <c r="T20" s="773"/>
      <c r="U20" s="774"/>
      <c r="V20" s="773"/>
      <c r="W20" s="774"/>
      <c r="X20" s="1810"/>
      <c r="Y20" s="3220"/>
      <c r="Z20" s="1811"/>
      <c r="AA20" s="1808">
        <v>1</v>
      </c>
      <c r="AB20" s="1808">
        <v>1</v>
      </c>
      <c r="AC20" s="1808">
        <v>1</v>
      </c>
    </row>
    <row r="21" spans="1:29" ht="28.5">
      <c r="A21" s="427"/>
      <c r="B21" s="1382" t="s">
        <v>2652</v>
      </c>
      <c r="C21" s="260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8"/>
      <c r="M21" s="1129"/>
      <c r="N21" s="1129"/>
      <c r="O21" s="1129"/>
      <c r="P21" s="3256"/>
      <c r="Q21" s="1807" t="str">
        <f>B21</f>
        <v>基础设施水平</v>
      </c>
      <c r="R21" s="773" t="s">
        <v>17</v>
      </c>
      <c r="S21" s="774">
        <f>F21</f>
        <v>100</v>
      </c>
      <c r="T21" s="773" t="s">
        <v>17</v>
      </c>
      <c r="U21" s="774">
        <f>H21</f>
        <v>100</v>
      </c>
      <c r="V21" s="773" t="s">
        <v>17</v>
      </c>
      <c r="W21" s="774">
        <f>J21</f>
        <v>100</v>
      </c>
      <c r="X21" s="1810"/>
      <c r="Y21" s="3220"/>
      <c r="Z21" s="1811" t="str">
        <f>Q21</f>
        <v>基础设施水平</v>
      </c>
      <c r="AA21" s="1808">
        <f t="shared" ref="AA21" si="8">D21/F21</f>
        <v>1</v>
      </c>
      <c r="AB21" s="1808">
        <f t="shared" ref="AB21" si="9">D21/H21</f>
        <v>1</v>
      </c>
      <c r="AC21" s="1808">
        <f t="shared" ref="AC21" si="10">D21/J21</f>
        <v>1</v>
      </c>
    </row>
    <row r="22" spans="1:29" ht="15">
      <c r="A22" s="427"/>
      <c r="B22" s="1382"/>
      <c r="C22" s="2964" t="s">
        <v>3215</v>
      </c>
      <c r="D22" s="447"/>
      <c r="E22" s="2960" t="s">
        <v>3215</v>
      </c>
      <c r="F22" s="448"/>
      <c r="G22" s="2960" t="s">
        <v>3215</v>
      </c>
      <c r="H22" s="447"/>
      <c r="I22" s="2960" t="s">
        <v>3215</v>
      </c>
      <c r="J22" s="447"/>
      <c r="K22" s="1381"/>
      <c r="L22" s="1138"/>
      <c r="M22" s="1129"/>
      <c r="N22" s="1129"/>
      <c r="O22" s="1129"/>
      <c r="P22" s="3256"/>
      <c r="Q22" s="1807"/>
      <c r="R22" s="773"/>
      <c r="S22" s="774"/>
      <c r="T22" s="773"/>
      <c r="U22" s="774"/>
      <c r="V22" s="773"/>
      <c r="W22" s="774"/>
      <c r="X22" s="1810"/>
      <c r="Y22" s="3220"/>
      <c r="Z22" s="1811"/>
      <c r="AA22" s="1808">
        <v>1</v>
      </c>
      <c r="AB22" s="1808">
        <v>1</v>
      </c>
      <c r="AC22" s="1808">
        <v>1</v>
      </c>
    </row>
    <row r="23" spans="1:29" ht="57">
      <c r="A23" s="427"/>
      <c r="B23" s="450" t="s">
        <v>2098</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8"/>
      <c r="M23" s="1129"/>
      <c r="N23" s="1129"/>
      <c r="O23" s="1129"/>
      <c r="P23" s="3256"/>
      <c r="Q23" s="1807" t="str">
        <f>B23</f>
        <v>自然及人文环境</v>
      </c>
      <c r="R23" s="773" t="s">
        <v>17</v>
      </c>
      <c r="S23" s="774">
        <f>F23</f>
        <v>100</v>
      </c>
      <c r="T23" s="773" t="s">
        <v>17</v>
      </c>
      <c r="U23" s="774">
        <f>H23</f>
        <v>100</v>
      </c>
      <c r="V23" s="773" t="s">
        <v>17</v>
      </c>
      <c r="W23" s="774">
        <f>J23</f>
        <v>100</v>
      </c>
      <c r="X23" s="1810"/>
      <c r="Y23" s="3220"/>
      <c r="Z23" s="1811" t="str">
        <f>Q23</f>
        <v>自然及人文环境</v>
      </c>
      <c r="AA23" s="1808">
        <f t="shared" si="3"/>
        <v>1</v>
      </c>
      <c r="AB23" s="1808">
        <f t="shared" si="4"/>
        <v>1</v>
      </c>
      <c r="AC23" s="1808">
        <f t="shared" si="5"/>
        <v>1</v>
      </c>
    </row>
    <row r="24" spans="1:29" ht="15">
      <c r="A24" s="427"/>
      <c r="B24" s="455"/>
      <c r="C24" s="2960" t="s">
        <v>3214</v>
      </c>
      <c r="D24" s="447"/>
      <c r="E24" s="2961" t="s">
        <v>3214</v>
      </c>
      <c r="F24" s="448"/>
      <c r="G24" s="2962" t="s">
        <v>3214</v>
      </c>
      <c r="H24" s="447"/>
      <c r="I24" s="2961" t="s">
        <v>3214</v>
      </c>
      <c r="J24" s="447"/>
      <c r="K24" s="614"/>
      <c r="L24" s="1138"/>
      <c r="M24" s="1129"/>
      <c r="N24" s="1129"/>
      <c r="O24" s="1129"/>
      <c r="P24" s="3256"/>
      <c r="Q24" s="1807"/>
      <c r="R24" s="773"/>
      <c r="S24" s="774"/>
      <c r="T24" s="773"/>
      <c r="U24" s="774"/>
      <c r="V24" s="773"/>
      <c r="W24" s="774"/>
      <c r="X24" s="1810"/>
      <c r="Y24" s="3220"/>
      <c r="Z24" s="1811"/>
      <c r="AA24" s="1808">
        <v>1</v>
      </c>
      <c r="AB24" s="1808">
        <v>1</v>
      </c>
      <c r="AC24" s="1808">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56"/>
      <c r="Q25" s="1807" t="str">
        <f t="shared" ref="Q25:Q46" si="11">B25</f>
        <v>临街状况</v>
      </c>
      <c r="R25" s="773" t="s">
        <v>17</v>
      </c>
      <c r="S25" s="774">
        <f>F25</f>
        <v>100</v>
      </c>
      <c r="T25" s="773" t="s">
        <v>17</v>
      </c>
      <c r="U25" s="774">
        <f>H25</f>
        <v>100</v>
      </c>
      <c r="V25" s="773" t="s">
        <v>17</v>
      </c>
      <c r="W25" s="774">
        <f>J25</f>
        <v>100</v>
      </c>
      <c r="X25" s="1810"/>
      <c r="Y25" s="3220"/>
      <c r="Z25" s="1811" t="str">
        <f>Q25</f>
        <v>临街状况</v>
      </c>
      <c r="AA25" s="1808">
        <f t="shared" si="3"/>
        <v>1</v>
      </c>
      <c r="AB25" s="1808">
        <f t="shared" si="4"/>
        <v>1</v>
      </c>
      <c r="AC25" s="1808">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56"/>
      <c r="Q26" s="1807" t="str">
        <f t="shared" si="11"/>
        <v>平面位置/可视性</v>
      </c>
      <c r="R26" s="773" t="s">
        <v>17</v>
      </c>
      <c r="S26" s="774">
        <f>F26</f>
        <v>100</v>
      </c>
      <c r="T26" s="773" t="s">
        <v>17</v>
      </c>
      <c r="U26" s="774">
        <f>H26</f>
        <v>100</v>
      </c>
      <c r="V26" s="773" t="s">
        <v>17</v>
      </c>
      <c r="W26" s="774">
        <f>J26</f>
        <v>100</v>
      </c>
      <c r="X26" s="1810"/>
      <c r="Y26" s="3220"/>
      <c r="Z26" s="1811" t="str">
        <f>Q26</f>
        <v>平面位置/可视性</v>
      </c>
      <c r="AA26" s="1808">
        <f t="shared" si="3"/>
        <v>1</v>
      </c>
      <c r="AB26" s="1808">
        <f t="shared" si="4"/>
        <v>1</v>
      </c>
      <c r="AC26" s="1808">
        <f t="shared" si="5"/>
        <v>1</v>
      </c>
    </row>
    <row r="27" spans="1:29" s="117" customFormat="1" ht="15">
      <c r="A27" s="430"/>
      <c r="B27" s="450" t="s">
        <v>2655</v>
      </c>
      <c r="C27" s="2659" t="s">
        <v>3369</v>
      </c>
      <c r="D27" s="461">
        <v>100</v>
      </c>
      <c r="E27" s="2659" t="s">
        <v>3213</v>
      </c>
      <c r="F27" s="463">
        <f>SUMIF(90:90,E27,91:91)-SUMIF(90:90,C27,91:91)+100</f>
        <v>90</v>
      </c>
      <c r="G27" s="2659" t="s">
        <v>3369</v>
      </c>
      <c r="H27" s="461">
        <f>SUMIF(90:90,G27,91:91)-SUMIF(90:90,C27,91:91)+100</f>
        <v>100</v>
      </c>
      <c r="I27" s="2659" t="s">
        <v>3369</v>
      </c>
      <c r="J27" s="461">
        <f>SUMIF(90:90,I27,91:91)-SUMIF(90:90,C27,91:91)+100</f>
        <v>100</v>
      </c>
      <c r="K27" s="611">
        <v>10</v>
      </c>
      <c r="L27" s="1130"/>
      <c r="M27" s="1131"/>
      <c r="N27" s="1131"/>
      <c r="O27" s="1131"/>
      <c r="P27" s="3256"/>
      <c r="Q27" s="1792" t="str">
        <f t="shared" si="11"/>
        <v>人流量</v>
      </c>
      <c r="R27" s="769" t="s">
        <v>17</v>
      </c>
      <c r="S27" s="770">
        <f>F27</f>
        <v>90</v>
      </c>
      <c r="T27" s="769" t="s">
        <v>17</v>
      </c>
      <c r="U27" s="770">
        <f>H27</f>
        <v>100</v>
      </c>
      <c r="V27" s="769" t="s">
        <v>17</v>
      </c>
      <c r="W27" s="770">
        <f>J27</f>
        <v>100</v>
      </c>
      <c r="X27" s="771"/>
      <c r="Y27" s="3220"/>
      <c r="Z27" s="55" t="str">
        <f>Q27</f>
        <v>人流量</v>
      </c>
      <c r="AA27" s="1808">
        <f>D27/F27</f>
        <v>1.1111111111111112</v>
      </c>
      <c r="AB27" s="1808">
        <f>D27/H27</f>
        <v>1</v>
      </c>
      <c r="AC27" s="1808">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56"/>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20"/>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56"/>
      <c r="Q29" s="1807">
        <f t="shared" si="11"/>
        <v>111</v>
      </c>
      <c r="R29" s="773" t="s">
        <v>17</v>
      </c>
      <c r="S29" s="774">
        <f t="shared" si="12"/>
        <v>100</v>
      </c>
      <c r="T29" s="773" t="s">
        <v>17</v>
      </c>
      <c r="U29" s="774">
        <f t="shared" si="13"/>
        <v>100</v>
      </c>
      <c r="V29" s="773" t="s">
        <v>17</v>
      </c>
      <c r="W29" s="774">
        <f t="shared" si="14"/>
        <v>100</v>
      </c>
      <c r="X29" s="1810"/>
      <c r="Y29" s="3220"/>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56"/>
      <c r="Q30" s="1807">
        <f t="shared" si="11"/>
        <v>111</v>
      </c>
      <c r="R30" s="773" t="s">
        <v>17</v>
      </c>
      <c r="S30" s="774">
        <f t="shared" si="12"/>
        <v>100</v>
      </c>
      <c r="T30" s="773" t="s">
        <v>17</v>
      </c>
      <c r="U30" s="774">
        <f t="shared" si="13"/>
        <v>100</v>
      </c>
      <c r="V30" s="773" t="s">
        <v>17</v>
      </c>
      <c r="W30" s="774">
        <f t="shared" si="14"/>
        <v>100</v>
      </c>
      <c r="X30" s="1810"/>
      <c r="Y30" s="3220"/>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56"/>
      <c r="Q31" s="1807">
        <f t="shared" si="11"/>
        <v>111</v>
      </c>
      <c r="R31" s="773" t="s">
        <v>17</v>
      </c>
      <c r="S31" s="774">
        <f t="shared" si="12"/>
        <v>100</v>
      </c>
      <c r="T31" s="773" t="s">
        <v>17</v>
      </c>
      <c r="U31" s="774">
        <f t="shared" si="13"/>
        <v>100</v>
      </c>
      <c r="V31" s="773" t="s">
        <v>17</v>
      </c>
      <c r="W31" s="774">
        <f t="shared" si="14"/>
        <v>100</v>
      </c>
      <c r="X31" s="1810"/>
      <c r="Y31" s="3220"/>
      <c r="Z31" s="1811">
        <f t="shared" si="15"/>
        <v>111</v>
      </c>
      <c r="AA31" s="1808">
        <f t="shared" si="3"/>
        <v>1</v>
      </c>
      <c r="AB31" s="1808">
        <f t="shared" si="4"/>
        <v>1</v>
      </c>
      <c r="AC31" s="1808">
        <f t="shared" si="5"/>
        <v>1</v>
      </c>
    </row>
    <row r="32" spans="1:29" ht="15">
      <c r="A32" s="439" t="s">
        <v>2560</v>
      </c>
      <c r="B32" s="71" t="s">
        <v>2657</v>
      </c>
      <c r="C32" s="2970" t="s">
        <v>3231</v>
      </c>
      <c r="D32" s="466">
        <v>100</v>
      </c>
      <c r="E32" s="2970" t="s">
        <v>3231</v>
      </c>
      <c r="F32" s="460">
        <f>SUMIF(100:100,E32,101:101)-SUMIF(100:100,C32,101:101)+100</f>
        <v>100</v>
      </c>
      <c r="G32" s="2970" t="s">
        <v>3231</v>
      </c>
      <c r="H32" s="434">
        <f>SUMIF(100:100,G32,101:101)-SUMIF(100:100,C32,101:101)+100</f>
        <v>100</v>
      </c>
      <c r="I32" s="2970" t="s">
        <v>3231</v>
      </c>
      <c r="J32" s="466">
        <f>SUMIF(100:100,I32,101:101)-SUMIF(100:100,C32,101:101)+100</f>
        <v>100</v>
      </c>
      <c r="K32" s="611"/>
      <c r="L32" s="1138"/>
      <c r="M32" s="1129"/>
      <c r="N32" s="1129"/>
      <c r="O32" s="1129"/>
      <c r="P32" s="3257" t="s">
        <v>2562</v>
      </c>
      <c r="Q32" s="1807" t="str">
        <f t="shared" si="11"/>
        <v>商业类型</v>
      </c>
      <c r="R32" s="773" t="s">
        <v>17</v>
      </c>
      <c r="S32" s="774">
        <f t="shared" si="12"/>
        <v>100</v>
      </c>
      <c r="T32" s="773" t="s">
        <v>17</v>
      </c>
      <c r="U32" s="774">
        <f t="shared" si="13"/>
        <v>100</v>
      </c>
      <c r="V32" s="773" t="s">
        <v>17</v>
      </c>
      <c r="W32" s="774">
        <f t="shared" si="14"/>
        <v>100</v>
      </c>
      <c r="X32" s="1810"/>
      <c r="Y32" s="3222" t="s">
        <v>2562</v>
      </c>
      <c r="Z32" s="1811" t="str">
        <f t="shared" si="15"/>
        <v>商业类型</v>
      </c>
      <c r="AA32" s="1808">
        <f t="shared" si="3"/>
        <v>1</v>
      </c>
      <c r="AB32" s="1808">
        <f t="shared" si="4"/>
        <v>1</v>
      </c>
      <c r="AC32" s="1808">
        <f t="shared" si="5"/>
        <v>1</v>
      </c>
    </row>
    <row r="33" spans="1:29" s="470" customFormat="1" ht="15">
      <c r="A33" s="467"/>
      <c r="B33" s="421" t="s">
        <v>2563</v>
      </c>
      <c r="C33" s="468">
        <f>D3</f>
        <v>424.2</v>
      </c>
      <c r="D33" s="135">
        <v>100</v>
      </c>
      <c r="E33" s="429">
        <v>63.18</v>
      </c>
      <c r="F33" s="424">
        <f>LOOKUP(E33,103:103,104:104)-LOOKUP(C33,103:103,104:104)+100</f>
        <v>102</v>
      </c>
      <c r="G33" s="428">
        <v>50</v>
      </c>
      <c r="H33" s="135">
        <f>LOOKUP(G33,103:103,104:104)-LOOKUP(C33,103:103,104:104)+100</f>
        <v>102</v>
      </c>
      <c r="I33" s="428">
        <v>40</v>
      </c>
      <c r="J33" s="135">
        <f>LOOKUP(I33,103:103,104:104)-LOOKUP(C33,103:103,104:104)+100</f>
        <v>102</v>
      </c>
      <c r="K33" s="612"/>
      <c r="L33" s="1136"/>
      <c r="M33" s="1139"/>
      <c r="N33" s="1139"/>
      <c r="O33" s="1139"/>
      <c r="P33" s="3258"/>
      <c r="Q33" s="775" t="str">
        <f t="shared" si="11"/>
        <v>项目建筑规模</v>
      </c>
      <c r="R33" s="776" t="s">
        <v>17</v>
      </c>
      <c r="S33" s="777">
        <f t="shared" si="12"/>
        <v>102</v>
      </c>
      <c r="T33" s="776" t="s">
        <v>17</v>
      </c>
      <c r="U33" s="777">
        <f t="shared" si="13"/>
        <v>102</v>
      </c>
      <c r="V33" s="776" t="s">
        <v>17</v>
      </c>
      <c r="W33" s="777">
        <f t="shared" si="14"/>
        <v>102</v>
      </c>
      <c r="X33" s="778"/>
      <c r="Y33" s="3222"/>
      <c r="Z33" s="779" t="str">
        <f t="shared" si="15"/>
        <v>项目建筑规模</v>
      </c>
      <c r="AA33" s="1808">
        <f t="shared" si="3"/>
        <v>0.98039215686274506</v>
      </c>
      <c r="AB33" s="1808">
        <f t="shared" si="4"/>
        <v>0.98039215686274506</v>
      </c>
      <c r="AC33" s="1808">
        <f t="shared" si="5"/>
        <v>0.98039215686274506</v>
      </c>
    </row>
    <row r="34" spans="1:29" ht="15">
      <c r="A34" s="471"/>
      <c r="B34" s="421" t="s">
        <v>2564</v>
      </c>
      <c r="C34" s="2967" t="s">
        <v>3200</v>
      </c>
      <c r="D34" s="434">
        <v>100</v>
      </c>
      <c r="E34" s="2967" t="s">
        <v>3201</v>
      </c>
      <c r="F34" s="460">
        <f>SUMIF(105:105,E34,106:106)-SUMIF(105:105,C34,106:106)+100</f>
        <v>102</v>
      </c>
      <c r="G34" s="2967" t="s">
        <v>3201</v>
      </c>
      <c r="H34" s="434">
        <f>SUMIF(105:105,G34,106:106)-SUMIF(105:105,C34,106:106)+100</f>
        <v>102</v>
      </c>
      <c r="I34" s="2967" t="s">
        <v>3201</v>
      </c>
      <c r="J34" s="434">
        <f>SUMIF(105:105,I34,106:106)-SUMIF(105:105,C34,106:106)+100</f>
        <v>102</v>
      </c>
      <c r="K34" s="611">
        <v>2</v>
      </c>
      <c r="L34" s="1138"/>
      <c r="M34" s="1129"/>
      <c r="N34" s="1129"/>
      <c r="O34" s="1129"/>
      <c r="P34" s="3258"/>
      <c r="Q34" s="1807" t="str">
        <f t="shared" si="11"/>
        <v>建筑结构</v>
      </c>
      <c r="R34" s="773" t="s">
        <v>17</v>
      </c>
      <c r="S34" s="774">
        <f t="shared" si="12"/>
        <v>102</v>
      </c>
      <c r="T34" s="773" t="s">
        <v>17</v>
      </c>
      <c r="U34" s="774">
        <f t="shared" si="13"/>
        <v>102</v>
      </c>
      <c r="V34" s="773" t="s">
        <v>17</v>
      </c>
      <c r="W34" s="774">
        <f t="shared" si="14"/>
        <v>102</v>
      </c>
      <c r="X34" s="1810"/>
      <c r="Y34" s="3222"/>
      <c r="Z34" s="1811" t="str">
        <f t="shared" si="15"/>
        <v>建筑结构</v>
      </c>
      <c r="AA34" s="1808">
        <f t="shared" si="3"/>
        <v>0.98039215686274506</v>
      </c>
      <c r="AB34" s="1808">
        <f t="shared" si="4"/>
        <v>0.98039215686274506</v>
      </c>
      <c r="AC34" s="1808">
        <f t="shared" si="5"/>
        <v>0.98039215686274506</v>
      </c>
    </row>
    <row r="35" spans="1:29" ht="15">
      <c r="A35" s="471"/>
      <c r="B35" s="421" t="s">
        <v>2658</v>
      </c>
      <c r="C35" s="2965" t="s">
        <v>3232</v>
      </c>
      <c r="D35" s="434">
        <v>100</v>
      </c>
      <c r="E35" s="2965" t="s">
        <v>3233</v>
      </c>
      <c r="F35" s="460">
        <f>SUMIF(107:107,E35,108:108)-SUMIF(107:107,C35,108:108)+100</f>
        <v>102</v>
      </c>
      <c r="G35" s="2965" t="s">
        <v>3233</v>
      </c>
      <c r="H35" s="434">
        <f>SUMIF(107:107,G35,108:108)-SUMIF(107:107,C35,108:108)+100</f>
        <v>102</v>
      </c>
      <c r="I35" s="2965" t="s">
        <v>3233</v>
      </c>
      <c r="J35" s="434">
        <f>SUMIF(107:107,I35,108:108)-SUMIF(107:107,C35,108:108)+100</f>
        <v>102</v>
      </c>
      <c r="K35" s="611">
        <v>2</v>
      </c>
      <c r="L35" s="1138"/>
      <c r="M35" s="1129"/>
      <c r="N35" s="1129"/>
      <c r="O35" s="1129"/>
      <c r="P35" s="3258"/>
      <c r="Q35" s="1807" t="str">
        <f t="shared" si="11"/>
        <v>公共部分装修</v>
      </c>
      <c r="R35" s="773" t="s">
        <v>17</v>
      </c>
      <c r="S35" s="774">
        <f t="shared" si="12"/>
        <v>102</v>
      </c>
      <c r="T35" s="773" t="s">
        <v>17</v>
      </c>
      <c r="U35" s="774">
        <f t="shared" si="13"/>
        <v>102</v>
      </c>
      <c r="V35" s="773" t="s">
        <v>17</v>
      </c>
      <c r="W35" s="774">
        <f t="shared" si="14"/>
        <v>102</v>
      </c>
      <c r="X35" s="1810"/>
      <c r="Y35" s="3222"/>
      <c r="Z35" s="1811" t="str">
        <f t="shared" si="15"/>
        <v>公共部分装修</v>
      </c>
      <c r="AA35" s="1808">
        <f t="shared" si="3"/>
        <v>0.98039215686274506</v>
      </c>
      <c r="AB35" s="1808">
        <f t="shared" si="4"/>
        <v>0.98039215686274506</v>
      </c>
      <c r="AC35" s="1808">
        <f t="shared" si="5"/>
        <v>0.98039215686274506</v>
      </c>
    </row>
    <row r="36" spans="1:29" ht="15">
      <c r="A36" s="471"/>
      <c r="B36" s="421" t="s">
        <v>2659</v>
      </c>
      <c r="C36" s="473">
        <v>0.6</v>
      </c>
      <c r="D36" s="434">
        <v>100</v>
      </c>
      <c r="E36" s="473">
        <v>0.8</v>
      </c>
      <c r="F36" s="460">
        <f>LOOKUP(E36,110:110,111:111)-LOOKUP(C36,110:110,111:111)+100</f>
        <v>104</v>
      </c>
      <c r="G36" s="473">
        <v>0.8</v>
      </c>
      <c r="H36" s="460">
        <f>LOOKUP(G36,110:110,111:111)-LOOKUP(C36,110:110,111:111)+100</f>
        <v>104</v>
      </c>
      <c r="I36" s="473">
        <v>0.8</v>
      </c>
      <c r="J36" s="434">
        <f>LOOKUP(I36,110:110,111:111)-LOOKUP(C36,110:110,111:111)+100</f>
        <v>104</v>
      </c>
      <c r="K36" s="611">
        <v>2</v>
      </c>
      <c r="L36" s="1138"/>
      <c r="M36" s="1129"/>
      <c r="N36" s="1129"/>
      <c r="O36" s="1129"/>
      <c r="P36" s="3258"/>
      <c r="Q36" s="1807" t="str">
        <f t="shared" si="11"/>
        <v>成新度</v>
      </c>
      <c r="R36" s="773" t="s">
        <v>17</v>
      </c>
      <c r="S36" s="774">
        <f t="shared" si="12"/>
        <v>104</v>
      </c>
      <c r="T36" s="773" t="s">
        <v>17</v>
      </c>
      <c r="U36" s="774">
        <f t="shared" si="13"/>
        <v>104</v>
      </c>
      <c r="V36" s="773" t="s">
        <v>17</v>
      </c>
      <c r="W36" s="774">
        <f t="shared" si="14"/>
        <v>104</v>
      </c>
      <c r="X36" s="1810"/>
      <c r="Y36" s="3222"/>
      <c r="Z36" s="1811" t="str">
        <f t="shared" si="15"/>
        <v>成新度</v>
      </c>
      <c r="AA36" s="1808">
        <f t="shared" si="3"/>
        <v>0.96153846153846156</v>
      </c>
      <c r="AB36" s="1808">
        <f t="shared" si="4"/>
        <v>0.96153846153846156</v>
      </c>
      <c r="AC36" s="1808">
        <f t="shared" si="5"/>
        <v>0.96153846153846156</v>
      </c>
    </row>
    <row r="37" spans="1:29" s="117" customFormat="1" ht="15">
      <c r="A37" s="472"/>
      <c r="B37" s="421" t="s">
        <v>2660</v>
      </c>
      <c r="C37" s="2965" t="s">
        <v>3215</v>
      </c>
      <c r="D37" s="135">
        <v>100</v>
      </c>
      <c r="E37" s="2965" t="s">
        <v>3215</v>
      </c>
      <c r="F37" s="460">
        <f>SUMIF(112:112,E37,113:113)-SUMIF(112:112,C37,113:113)+100</f>
        <v>100</v>
      </c>
      <c r="G37" s="2965" t="s">
        <v>3215</v>
      </c>
      <c r="H37" s="434">
        <f>SUMIF(112:112,G37,113:113)-SUMIF(112:112,C37,113:113)+100</f>
        <v>100</v>
      </c>
      <c r="I37" s="2965" t="s">
        <v>3215</v>
      </c>
      <c r="J37" s="434">
        <f>SUMIF(112:112,I37,113:113)-SUMIF(112:112,C37,113:113)+100</f>
        <v>100</v>
      </c>
      <c r="K37" s="611">
        <v>2</v>
      </c>
      <c r="L37" s="1130"/>
      <c r="M37" s="1131"/>
      <c r="N37" s="1131"/>
      <c r="O37" s="1131"/>
      <c r="P37" s="3258"/>
      <c r="Q37" s="1792" t="str">
        <f t="shared" si="11"/>
        <v>市政基础设施</v>
      </c>
      <c r="R37" s="769" t="s">
        <v>17</v>
      </c>
      <c r="S37" s="770">
        <f t="shared" si="12"/>
        <v>100</v>
      </c>
      <c r="T37" s="769" t="s">
        <v>17</v>
      </c>
      <c r="U37" s="770">
        <f t="shared" si="13"/>
        <v>100</v>
      </c>
      <c r="V37" s="769" t="s">
        <v>17</v>
      </c>
      <c r="W37" s="770">
        <f t="shared" si="14"/>
        <v>100</v>
      </c>
      <c r="X37" s="771"/>
      <c r="Y37" s="3222"/>
      <c r="Z37" s="55" t="str">
        <f t="shared" si="15"/>
        <v>市政基础设施</v>
      </c>
      <c r="AA37" s="772">
        <f t="shared" si="3"/>
        <v>1</v>
      </c>
      <c r="AB37" s="772">
        <f t="shared" si="4"/>
        <v>1</v>
      </c>
      <c r="AC37" s="772">
        <f t="shared" si="5"/>
        <v>1</v>
      </c>
    </row>
    <row r="38" spans="1:29" ht="15">
      <c r="A38" s="471"/>
      <c r="B38" s="2991" t="s">
        <v>2661</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v>2</v>
      </c>
      <c r="L38" s="1138"/>
      <c r="M38" s="1129"/>
      <c r="N38" s="1129"/>
      <c r="O38" s="1129"/>
      <c r="P38" s="3258" t="s">
        <v>2562</v>
      </c>
      <c r="Q38" s="1807" t="str">
        <f t="shared" si="11"/>
        <v>业态</v>
      </c>
      <c r="R38" s="773" t="s">
        <v>17</v>
      </c>
      <c r="S38" s="774">
        <f t="shared" si="12"/>
        <v>100</v>
      </c>
      <c r="T38" s="773" t="s">
        <v>17</v>
      </c>
      <c r="U38" s="774">
        <f t="shared" si="13"/>
        <v>100</v>
      </c>
      <c r="V38" s="773" t="s">
        <v>17</v>
      </c>
      <c r="W38" s="774">
        <f t="shared" si="14"/>
        <v>100</v>
      </c>
      <c r="X38" s="1810"/>
      <c r="Y38" s="3222" t="s">
        <v>2562</v>
      </c>
      <c r="Z38" s="1811" t="str">
        <f t="shared" si="15"/>
        <v>业态</v>
      </c>
      <c r="AA38" s="1808">
        <f t="shared" si="3"/>
        <v>1</v>
      </c>
      <c r="AB38" s="1808">
        <f t="shared" si="4"/>
        <v>1</v>
      </c>
      <c r="AC38" s="1808">
        <f t="shared" si="5"/>
        <v>1</v>
      </c>
    </row>
    <row r="39" spans="1:29" ht="15">
      <c r="A39" s="471"/>
      <c r="B39" s="421" t="s">
        <v>2662</v>
      </c>
      <c r="C39" s="2965" t="s">
        <v>3198</v>
      </c>
      <c r="D39" s="434">
        <v>100</v>
      </c>
      <c r="E39" s="2965" t="s">
        <v>3198</v>
      </c>
      <c r="F39" s="460">
        <f>SUMIF(116:116,E39,117:117)-SUMIF(116:116,C39,117:117)+100</f>
        <v>100</v>
      </c>
      <c r="G39" s="2965" t="s">
        <v>3198</v>
      </c>
      <c r="H39" s="434">
        <f>SUMIF(116:116,G39,117:117)-SUMIF(116:116,C39,117:117)+100</f>
        <v>100</v>
      </c>
      <c r="I39" s="2965" t="s">
        <v>3199</v>
      </c>
      <c r="J39" s="434">
        <f>SUMIF(116:116,I39,117:117)-SUMIF(116:116,C39,117:117)+100</f>
        <v>102</v>
      </c>
      <c r="K39" s="611">
        <v>2</v>
      </c>
      <c r="L39" s="1138"/>
      <c r="M39" s="1129"/>
      <c r="N39" s="1129"/>
      <c r="O39" s="1129"/>
      <c r="P39" s="3258"/>
      <c r="Q39" s="1807" t="str">
        <f t="shared" si="11"/>
        <v>层高</v>
      </c>
      <c r="R39" s="773" t="s">
        <v>17</v>
      </c>
      <c r="S39" s="774">
        <f t="shared" si="12"/>
        <v>100</v>
      </c>
      <c r="T39" s="773" t="s">
        <v>17</v>
      </c>
      <c r="U39" s="774">
        <f t="shared" si="13"/>
        <v>100</v>
      </c>
      <c r="V39" s="773" t="s">
        <v>17</v>
      </c>
      <c r="W39" s="774">
        <f t="shared" si="14"/>
        <v>102</v>
      </c>
      <c r="X39" s="1810"/>
      <c r="Y39" s="3222"/>
      <c r="Z39" s="1811" t="str">
        <f t="shared" si="15"/>
        <v>层高</v>
      </c>
      <c r="AA39" s="1808">
        <f t="shared" si="3"/>
        <v>1</v>
      </c>
      <c r="AB39" s="1808">
        <f t="shared" si="4"/>
        <v>1</v>
      </c>
      <c r="AC39" s="1808">
        <f t="shared" si="5"/>
        <v>0.98039215686274506</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8"/>
      <c r="Q40" s="1807" t="str">
        <f t="shared" si="11"/>
        <v>单套建筑面积</v>
      </c>
      <c r="R40" s="773" t="s">
        <v>17</v>
      </c>
      <c r="S40" s="774">
        <f t="shared" si="12"/>
        <v>100</v>
      </c>
      <c r="T40" s="773" t="s">
        <v>17</v>
      </c>
      <c r="U40" s="774">
        <f t="shared" si="13"/>
        <v>100</v>
      </c>
      <c r="V40" s="773" t="s">
        <v>17</v>
      </c>
      <c r="W40" s="774">
        <f t="shared" si="14"/>
        <v>100</v>
      </c>
      <c r="X40" s="1810"/>
      <c r="Y40" s="3222"/>
      <c r="Z40" s="1811" t="str">
        <f t="shared" si="15"/>
        <v>单套建筑面积</v>
      </c>
      <c r="AA40" s="1808">
        <f t="shared" si="3"/>
        <v>1</v>
      </c>
      <c r="AB40" s="1808">
        <f t="shared" si="4"/>
        <v>1</v>
      </c>
      <c r="AC40" s="1808">
        <f t="shared" si="5"/>
        <v>1</v>
      </c>
    </row>
    <row r="41" spans="1:29" s="470" customFormat="1" ht="15">
      <c r="A41" s="467"/>
      <c r="B41" s="1809"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2</v>
      </c>
      <c r="L41" s="1136"/>
      <c r="M41" s="1139"/>
      <c r="N41" s="1139"/>
      <c r="O41" s="1139"/>
      <c r="P41" s="3258"/>
      <c r="Q41" s="775" t="str">
        <f t="shared" si="11"/>
        <v>进深比</v>
      </c>
      <c r="R41" s="776" t="s">
        <v>17</v>
      </c>
      <c r="S41" s="777">
        <f t="shared" si="12"/>
        <v>100</v>
      </c>
      <c r="T41" s="776" t="s">
        <v>17</v>
      </c>
      <c r="U41" s="777">
        <f t="shared" si="13"/>
        <v>100</v>
      </c>
      <c r="V41" s="776" t="s">
        <v>17</v>
      </c>
      <c r="W41" s="777">
        <f t="shared" si="14"/>
        <v>100</v>
      </c>
      <c r="X41" s="778"/>
      <c r="Y41" s="3222"/>
      <c r="Z41" s="779" t="str">
        <f t="shared" si="15"/>
        <v>进深比</v>
      </c>
      <c r="AA41" s="1808">
        <f t="shared" si="3"/>
        <v>1</v>
      </c>
      <c r="AB41" s="1808">
        <f t="shared" si="4"/>
        <v>1</v>
      </c>
      <c r="AC41" s="1808">
        <f t="shared" si="5"/>
        <v>1</v>
      </c>
    </row>
    <row r="42" spans="1:29" ht="15">
      <c r="A42" s="471"/>
      <c r="B42" s="2991" t="s">
        <v>2665</v>
      </c>
      <c r="C42" s="2965" t="s">
        <v>3350</v>
      </c>
      <c r="D42" s="434">
        <v>100</v>
      </c>
      <c r="E42" s="2965" t="s">
        <v>3350</v>
      </c>
      <c r="F42" s="460">
        <f>SUMIF(122:122,E42,123:123)-SUMIF(122:122,C42,123:123)+100</f>
        <v>100</v>
      </c>
      <c r="G42" s="2965" t="s">
        <v>3350</v>
      </c>
      <c r="H42" s="434">
        <f>SUMIF(122:122,G42,123:123)-SUMIF(122:122,C42,123:123)+100</f>
        <v>100</v>
      </c>
      <c r="I42" s="2965" t="s">
        <v>3350</v>
      </c>
      <c r="J42" s="434">
        <f>SUMIF(122:122,I42,123:123)-SUMIF(122:122,C42,123:123)+100</f>
        <v>100</v>
      </c>
      <c r="K42" s="611">
        <v>2</v>
      </c>
      <c r="L42" s="1138"/>
      <c r="M42" s="1129"/>
      <c r="N42" s="1129"/>
      <c r="O42" s="1129"/>
      <c r="P42" s="3258"/>
      <c r="Q42" s="1807" t="str">
        <f t="shared" si="11"/>
        <v>内部装修</v>
      </c>
      <c r="R42" s="773" t="s">
        <v>17</v>
      </c>
      <c r="S42" s="774">
        <f t="shared" si="12"/>
        <v>100</v>
      </c>
      <c r="T42" s="773" t="s">
        <v>17</v>
      </c>
      <c r="U42" s="774">
        <f t="shared" si="13"/>
        <v>100</v>
      </c>
      <c r="V42" s="773" t="s">
        <v>17</v>
      </c>
      <c r="W42" s="774">
        <f t="shared" si="14"/>
        <v>100</v>
      </c>
      <c r="X42" s="1810"/>
      <c r="Y42" s="3222"/>
      <c r="Z42" s="1811" t="str">
        <f t="shared" si="15"/>
        <v>内部装修</v>
      </c>
      <c r="AA42" s="1808">
        <f t="shared" si="3"/>
        <v>1</v>
      </c>
      <c r="AB42" s="1808">
        <f t="shared" si="4"/>
        <v>1</v>
      </c>
      <c r="AC42" s="1808">
        <f t="shared" si="5"/>
        <v>1</v>
      </c>
    </row>
    <row r="43" spans="1:29" ht="15">
      <c r="A43" s="471"/>
      <c r="B43" s="421" t="s">
        <v>2573</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v>2</v>
      </c>
      <c r="L43" s="1138"/>
      <c r="M43" s="1129"/>
      <c r="N43" s="1129"/>
      <c r="O43" s="1129"/>
      <c r="P43" s="3258"/>
      <c r="Q43" s="1807" t="str">
        <f t="shared" si="11"/>
        <v>内部装修维护情况</v>
      </c>
      <c r="R43" s="773" t="s">
        <v>17</v>
      </c>
      <c r="S43" s="774">
        <f t="shared" si="12"/>
        <v>100</v>
      </c>
      <c r="T43" s="773" t="s">
        <v>17</v>
      </c>
      <c r="U43" s="774">
        <f t="shared" si="13"/>
        <v>100</v>
      </c>
      <c r="V43" s="773" t="s">
        <v>17</v>
      </c>
      <c r="W43" s="774">
        <f t="shared" si="14"/>
        <v>100</v>
      </c>
      <c r="X43" s="1810"/>
      <c r="Y43" s="3222"/>
      <c r="Z43" s="1811" t="str">
        <f t="shared" si="15"/>
        <v>内部装修维护情况</v>
      </c>
      <c r="AA43" s="1808">
        <f t="shared" si="3"/>
        <v>1</v>
      </c>
      <c r="AB43" s="1808">
        <f t="shared" si="4"/>
        <v>1</v>
      </c>
      <c r="AC43" s="1808">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8"/>
      <c r="Q44" s="1792">
        <f t="shared" si="11"/>
        <v>111</v>
      </c>
      <c r="R44" s="769" t="s">
        <v>17</v>
      </c>
      <c r="S44" s="770">
        <f t="shared" si="12"/>
        <v>100</v>
      </c>
      <c r="T44" s="769" t="s">
        <v>17</v>
      </c>
      <c r="U44" s="770">
        <f t="shared" si="13"/>
        <v>100</v>
      </c>
      <c r="V44" s="769" t="s">
        <v>17</v>
      </c>
      <c r="W44" s="770">
        <f t="shared" si="14"/>
        <v>100</v>
      </c>
      <c r="X44" s="771"/>
      <c r="Y44" s="3222"/>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8"/>
      <c r="Q45" s="1807">
        <f t="shared" si="11"/>
        <v>111</v>
      </c>
      <c r="R45" s="773" t="s">
        <v>17</v>
      </c>
      <c r="S45" s="774">
        <f t="shared" si="12"/>
        <v>100</v>
      </c>
      <c r="T45" s="773" t="s">
        <v>17</v>
      </c>
      <c r="U45" s="774">
        <f t="shared" si="13"/>
        <v>100</v>
      </c>
      <c r="V45" s="773" t="s">
        <v>17</v>
      </c>
      <c r="W45" s="774">
        <f t="shared" si="14"/>
        <v>100</v>
      </c>
      <c r="X45" s="1810"/>
      <c r="Y45" s="3222"/>
      <c r="Z45" s="1811">
        <f t="shared" si="15"/>
        <v>111</v>
      </c>
      <c r="AA45" s="1808">
        <f t="shared" si="3"/>
        <v>1</v>
      </c>
      <c r="AB45" s="1808">
        <f t="shared" si="4"/>
        <v>1</v>
      </c>
      <c r="AC45" s="1808">
        <f t="shared" si="5"/>
        <v>1</v>
      </c>
    </row>
    <row r="46" spans="1:29" ht="15.75" thickBot="1">
      <c r="A46" s="477"/>
      <c r="B46" s="2596">
        <v>0.95</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9"/>
      <c r="Q46" s="1807">
        <f t="shared" si="11"/>
        <v>0.95</v>
      </c>
      <c r="R46" s="773" t="s">
        <v>17</v>
      </c>
      <c r="S46" s="774">
        <f t="shared" si="12"/>
        <v>100</v>
      </c>
      <c r="T46" s="773" t="s">
        <v>17</v>
      </c>
      <c r="U46" s="774">
        <f t="shared" si="13"/>
        <v>100</v>
      </c>
      <c r="V46" s="773" t="s">
        <v>17</v>
      </c>
      <c r="W46" s="774">
        <f t="shared" si="14"/>
        <v>100</v>
      </c>
      <c r="X46" s="1810"/>
      <c r="Y46" s="3260"/>
      <c r="Z46" s="1811">
        <f t="shared" si="15"/>
        <v>0.95</v>
      </c>
      <c r="AA46" s="1808">
        <f t="shared" si="3"/>
        <v>1</v>
      </c>
      <c r="AB46" s="1808">
        <f t="shared" si="4"/>
        <v>1</v>
      </c>
      <c r="AC46" s="1808">
        <f t="shared" si="5"/>
        <v>1</v>
      </c>
    </row>
    <row r="47" spans="1:29" ht="15">
      <c r="A47" s="478" t="s">
        <v>2574</v>
      </c>
      <c r="B47" s="479"/>
      <c r="C47" s="1405" t="s">
        <v>1</v>
      </c>
      <c r="D47" s="1406"/>
      <c r="E47" s="1407">
        <f>ROUND(B46*21368,0)</f>
        <v>20300</v>
      </c>
      <c r="F47" s="1408"/>
      <c r="G47" s="1409">
        <f>ROUND(B46*26000,0)</f>
        <v>24700</v>
      </c>
      <c r="H47" s="1410"/>
      <c r="I47" s="1407">
        <f>ROUND(B46*22500,0)</f>
        <v>21375</v>
      </c>
      <c r="J47" s="1410"/>
      <c r="K47" s="782"/>
      <c r="L47" s="1141"/>
      <c r="M47" s="1142"/>
      <c r="N47" s="1129"/>
      <c r="O47" s="1142"/>
      <c r="P47" s="3217" t="str">
        <f>A47</f>
        <v>成交单价（元/平方米）</v>
      </c>
      <c r="Q47" s="3217"/>
      <c r="R47" s="3223">
        <f>E47</f>
        <v>20300</v>
      </c>
      <c r="S47" s="3223"/>
      <c r="T47" s="3223">
        <f>G47</f>
        <v>24700</v>
      </c>
      <c r="U47" s="3223"/>
      <c r="V47" s="3223">
        <f>I47</f>
        <v>21375</v>
      </c>
      <c r="W47" s="3223"/>
      <c r="X47" s="758"/>
      <c r="Y47" s="780"/>
      <c r="Z47" s="758"/>
      <c r="AA47" s="758"/>
      <c r="AB47" s="758"/>
      <c r="AC47" s="758"/>
    </row>
    <row r="48" spans="1:29" ht="15.75" thickBot="1">
      <c r="A48" s="485" t="s">
        <v>2666</v>
      </c>
      <c r="B48" s="486"/>
      <c r="C48" s="1411">
        <f>R49</f>
        <v>18866</v>
      </c>
      <c r="D48" s="1412"/>
      <c r="E48" s="1413">
        <f>R48</f>
        <v>18715</v>
      </c>
      <c r="F48" s="1413"/>
      <c r="G48" s="1411">
        <f>T48</f>
        <v>20495</v>
      </c>
      <c r="H48" s="1412"/>
      <c r="I48" s="1413">
        <f>V48</f>
        <v>17388</v>
      </c>
      <c r="J48" s="1412"/>
      <c r="K48" s="783"/>
      <c r="L48" s="1141"/>
      <c r="M48" s="1142"/>
      <c r="N48" s="1129"/>
      <c r="O48" s="1142"/>
      <c r="P48" s="3217" t="str">
        <f>A48</f>
        <v>比较价值（元/平方米）</v>
      </c>
      <c r="Q48" s="3217"/>
      <c r="R48" s="3253">
        <f>IF(F1="售价",ROUND(PRODUCT(R47,AA7:AA46),0),ROUND(PRODUCT(R47,AA7:AA46),1))</f>
        <v>18715</v>
      </c>
      <c r="S48" s="3253"/>
      <c r="T48" s="3253">
        <f>IF(F1="售价",ROUND(PRODUCT(T47,AB7:AB46),0),ROUND(PRODUCT(T47,AB7:AB46),1))</f>
        <v>20495</v>
      </c>
      <c r="U48" s="3253"/>
      <c r="V48" s="3253">
        <f>IF(F1="售价",ROUND(PRODUCT(V47,AC7:AC46),0),ROUND(PRODUCT(V47,AC7:AC46),1))</f>
        <v>17388</v>
      </c>
      <c r="W48" s="3253"/>
      <c r="X48" s="758"/>
      <c r="Y48" s="758"/>
      <c r="Z48" s="758"/>
      <c r="AA48" s="758"/>
      <c r="AB48" s="758"/>
      <c r="AC48" s="758"/>
    </row>
    <row r="49" spans="1:29" ht="15.75" thickBot="1">
      <c r="A49" s="491" t="s">
        <v>2667</v>
      </c>
      <c r="B49" s="492"/>
      <c r="C49" s="1415">
        <f>R49</f>
        <v>18866</v>
      </c>
      <c r="D49" s="1415"/>
      <c r="E49" s="1415"/>
      <c r="F49" s="1415"/>
      <c r="G49" s="1415"/>
      <c r="H49" s="1415"/>
      <c r="I49" s="1415"/>
      <c r="J49" s="1415"/>
      <c r="K49" s="784"/>
      <c r="L49" s="1141"/>
      <c r="M49" s="1142"/>
      <c r="N49" s="1129"/>
      <c r="O49" s="1142"/>
      <c r="P49" s="3211" t="str">
        <f>A49</f>
        <v>估价对象XX用房的比较价值（楼面单价，元/平方米）</v>
      </c>
      <c r="Q49" s="3212"/>
      <c r="R49" s="3254">
        <f>IF(F1="售价",ROUND(AVERAGE(R48:V48),0),ROUND(AVERAGE(R48:V48),1))</f>
        <v>18866</v>
      </c>
      <c r="S49" s="3254"/>
      <c r="T49" s="3254"/>
      <c r="U49" s="3254"/>
      <c r="V49" s="3254"/>
      <c r="W49" s="3254"/>
      <c r="X49" s="758"/>
      <c r="Y49" s="758"/>
      <c r="Z49" s="758"/>
      <c r="AA49" s="758"/>
      <c r="AB49" s="758"/>
      <c r="AC49" s="758"/>
    </row>
    <row r="50" spans="1:29">
      <c r="A50" s="1142"/>
      <c r="B50" s="1142"/>
      <c r="C50" s="1142"/>
      <c r="D50" s="1142"/>
      <c r="E50" s="1142"/>
      <c r="F50" s="1142"/>
      <c r="G50" s="1145"/>
      <c r="H50" s="1142"/>
      <c r="I50" s="1142"/>
      <c r="J50" s="1142"/>
      <c r="K50" s="1104"/>
      <c r="L50" s="1105"/>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4"/>
      <c r="L51" s="1105"/>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2668</v>
      </c>
      <c r="D52" s="497"/>
      <c r="E52" s="498">
        <f>IF(E47&lt;E48,E48/E47-1,E47/E48-1)</f>
        <v>8.4691423991450687E-2</v>
      </c>
      <c r="F52" s="499" t="str">
        <f>IF(OR(E52&gt;=0.3,E52&lt;=-0.3),"超过30%","")</f>
        <v/>
      </c>
      <c r="G52" s="498">
        <f>IF(G47&lt;G48,G48/G47-1,G47/G48-1)</f>
        <v>0.20517199316906565</v>
      </c>
      <c r="H52" s="499" t="str">
        <f>IF(OR(G52&gt;=0.3,G52&lt;=-0.3),"超过30%","")</f>
        <v/>
      </c>
      <c r="I52" s="498">
        <f>IF(I47&lt;I48,I48/I47-1,I47/I48-1)</f>
        <v>0.22929606625258803</v>
      </c>
      <c r="J52" s="499" t="str">
        <f>IF(OR(I52&gt;=0.3,I52&lt;=-0.3),"超过30%","")</f>
        <v/>
      </c>
      <c r="K52" s="1104"/>
      <c r="L52" s="1105"/>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2669</v>
      </c>
      <c r="D53" s="500"/>
      <c r="E53" s="498">
        <f>IF(E48&lt;G48,G48/E48-1,E48/G48-1)</f>
        <v>9.5110873630777526E-2</v>
      </c>
      <c r="F53" s="499" t="str">
        <f>IF(OR(E53&gt;=0.2,E53&lt;=-0.2),"超过20%","")</f>
        <v/>
      </c>
      <c r="G53" s="498">
        <f>IF(G48&lt;I48,I48/G48-1,G48/I48-1)</f>
        <v>0.17868645042558096</v>
      </c>
      <c r="H53" s="499" t="str">
        <f>IF(OR(G53&gt;=0.2,G53&lt;=-0.2),"超过20%","")</f>
        <v/>
      </c>
      <c r="I53" s="498">
        <f>IF(I48&lt;E48,E48/I48-1,I48/E48-1)</f>
        <v>7.631700023004373E-2</v>
      </c>
      <c r="J53" s="499" t="str">
        <f>IF(OR(I53&gt;=0.2,I53&lt;=-0.2),"超过20%","")</f>
        <v/>
      </c>
      <c r="K53" s="1104"/>
      <c r="L53" s="1105"/>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2670</v>
      </c>
      <c r="D54" s="500"/>
      <c r="E54" s="498">
        <f>IF(E47&lt;G47,G47/E47-1,E47/G47-1)</f>
        <v>0.21674876847290636</v>
      </c>
      <c r="F54" s="499" t="str">
        <f>IF(OR(E54&gt;=0.3,E54&lt;=-0.3),"超过30%","")</f>
        <v/>
      </c>
      <c r="G54" s="498">
        <f>IF(G47&lt;I47,I47/G47-1,G47/I47-1)</f>
        <v>0.15555555555555545</v>
      </c>
      <c r="H54" s="499" t="str">
        <f>IF(OR(G54&gt;=0.3,G54&lt;=-0.3),"超过30%","")</f>
        <v/>
      </c>
      <c r="I54" s="498">
        <f>IF(I47&lt;E47,E47/I47-1,I47/E47-1)</f>
        <v>5.295566502463056E-2</v>
      </c>
      <c r="J54" s="499" t="str">
        <f>IF(OR(I54&gt;=0.3,I54&lt;=-0.3),"超过30%","")</f>
        <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4"/>
      <c r="L56" s="1105"/>
      <c r="M56" s="1142"/>
      <c r="N56" s="1142"/>
      <c r="O56" s="1142"/>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2545</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8"/>
      <c r="B59" s="509"/>
      <c r="C59" s="1571">
        <v>100</v>
      </c>
      <c r="D59" s="511"/>
      <c r="E59" s="511"/>
      <c r="F59" s="511"/>
      <c r="G59" s="511"/>
      <c r="H59" s="511"/>
      <c r="I59" s="511"/>
      <c r="J59" s="511"/>
      <c r="K59" s="511"/>
      <c r="L59" s="511"/>
      <c r="M59" s="512"/>
      <c r="N59" s="511"/>
      <c r="O59" s="512"/>
      <c r="P59" s="2622"/>
    </row>
    <row r="60" spans="1:29" s="117" customFormat="1" ht="15.75" thickBot="1">
      <c r="A60" s="514" t="s">
        <v>2582</v>
      </c>
      <c r="B60" s="515"/>
      <c r="C60" s="516"/>
      <c r="D60" s="517"/>
      <c r="E60" s="517"/>
      <c r="F60" s="517"/>
      <c r="G60" s="517"/>
      <c r="H60" s="517"/>
      <c r="I60" s="517"/>
      <c r="J60" s="517"/>
      <c r="K60" s="517"/>
      <c r="L60" s="517"/>
      <c r="M60" s="518"/>
      <c r="N60" s="517"/>
      <c r="O60" s="518"/>
      <c r="P60" s="2622"/>
      <c r="Q60" s="503"/>
    </row>
    <row r="61" spans="1:29" s="117" customFormat="1" ht="15">
      <c r="A61" s="520" t="s">
        <v>2547</v>
      </c>
      <c r="B61" s="509"/>
      <c r="C61" s="521" t="s">
        <v>2649</v>
      </c>
      <c r="D61" s="522"/>
      <c r="E61" s="522"/>
      <c r="F61" s="522"/>
      <c r="G61" s="522"/>
      <c r="H61" s="522"/>
      <c r="I61" s="522"/>
      <c r="J61" s="522"/>
      <c r="K61" s="522"/>
      <c r="L61" s="523"/>
      <c r="M61" s="524"/>
      <c r="N61" s="1149"/>
      <c r="O61" s="1149"/>
      <c r="P61" s="2623"/>
      <c r="Q61" s="503"/>
    </row>
    <row r="62" spans="1:29" s="117"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2585</v>
      </c>
      <c r="B63" s="527" t="s">
        <v>2551</v>
      </c>
      <c r="C63" s="528" t="str">
        <f>C9</f>
        <v>商业</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1"/>
      <c r="O66" s="1151"/>
      <c r="P66" s="2624"/>
      <c r="Q66" s="503"/>
    </row>
    <row r="67" spans="1:17" ht="15.75" thickTop="1">
      <c r="A67" s="533"/>
      <c r="B67" s="545" t="s">
        <v>2555</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v>0</v>
      </c>
      <c r="D68" s="548">
        <v>1</v>
      </c>
      <c r="E68" s="548">
        <v>2</v>
      </c>
      <c r="F68" s="548">
        <v>3</v>
      </c>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8"/>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4"/>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4"/>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1"/>
      <c r="O79" s="1151"/>
      <c r="P79" s="2624"/>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4"/>
      <c r="Q81" s="503"/>
    </row>
    <row r="82" spans="1:17" ht="15.75" thickTop="1">
      <c r="A82" s="533"/>
      <c r="B82" s="545" t="s">
        <v>2652</v>
      </c>
      <c r="C82" s="659" t="s">
        <v>2672</v>
      </c>
      <c r="D82" s="659" t="s">
        <v>2673</v>
      </c>
      <c r="E82" s="659" t="s">
        <v>2674</v>
      </c>
      <c r="F82" s="659" t="s">
        <v>2675</v>
      </c>
      <c r="G82" s="659" t="s">
        <v>2676</v>
      </c>
      <c r="H82" s="538"/>
      <c r="I82" s="538"/>
      <c r="J82" s="538"/>
      <c r="K82" s="538"/>
      <c r="L82" s="538"/>
      <c r="M82" s="1380"/>
      <c r="N82" s="1151"/>
      <c r="O82" s="1151"/>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1"/>
      <c r="O83" s="1151"/>
      <c r="P83" s="2624"/>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7" customFormat="1" ht="15.75" thickTop="1">
      <c r="A86" s="578"/>
      <c r="B86" s="537" t="s">
        <v>2677</v>
      </c>
      <c r="C86" s="553"/>
      <c r="D86" s="553"/>
      <c r="E86" s="553"/>
      <c r="F86" s="553"/>
      <c r="G86" s="553"/>
      <c r="H86" s="553"/>
      <c r="I86" s="553"/>
      <c r="J86" s="553"/>
      <c r="K86" s="553"/>
      <c r="L86" s="579"/>
      <c r="M86" s="580"/>
      <c r="N86" s="1149"/>
      <c r="O86" s="1149"/>
      <c r="P86" s="262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7"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7"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2966" t="s">
        <v>3371</v>
      </c>
      <c r="D90" s="2966" t="s">
        <v>3372</v>
      </c>
      <c r="E90" s="2966" t="s">
        <v>3373</v>
      </c>
      <c r="F90" s="2966" t="s">
        <v>3374</v>
      </c>
      <c r="G90" s="2966" t="s">
        <v>3375</v>
      </c>
      <c r="H90" s="554"/>
      <c r="I90" s="554"/>
      <c r="J90" s="554"/>
      <c r="K90" s="554"/>
      <c r="L90" s="555"/>
      <c r="M90" s="556"/>
      <c r="N90" s="1152"/>
      <c r="O90" s="1152"/>
      <c r="P90" s="2625"/>
      <c r="Q90" s="558"/>
    </row>
    <row r="91" spans="1:17" s="470" customFormat="1" ht="15.75" thickBot="1">
      <c r="A91" s="552"/>
      <c r="B91" s="542"/>
      <c r="C91" s="581">
        <v>100</v>
      </c>
      <c r="D91" s="543">
        <f>C91-$K27</f>
        <v>90</v>
      </c>
      <c r="E91" s="543">
        <f t="shared" ref="E91:M91" si="21">D91-$K27</f>
        <v>80</v>
      </c>
      <c r="F91" s="543">
        <f t="shared" si="21"/>
        <v>70</v>
      </c>
      <c r="G91" s="543">
        <f t="shared" si="21"/>
        <v>60</v>
      </c>
      <c r="H91" s="543">
        <f t="shared" si="21"/>
        <v>50</v>
      </c>
      <c r="I91" s="543">
        <f t="shared" si="21"/>
        <v>40</v>
      </c>
      <c r="J91" s="543">
        <f t="shared" si="21"/>
        <v>30</v>
      </c>
      <c r="K91" s="543">
        <f t="shared" si="21"/>
        <v>20</v>
      </c>
      <c r="L91" s="543">
        <f t="shared" si="21"/>
        <v>10</v>
      </c>
      <c r="M91" s="543">
        <f t="shared" si="21"/>
        <v>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2560</v>
      </c>
      <c r="B100" s="527" t="s">
        <v>2678</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29.25" thickTop="1">
      <c r="A102" s="533"/>
      <c r="B102" s="537" t="s">
        <v>2610</v>
      </c>
      <c r="C102" s="577" t="str">
        <f>C103&amp;"(含)"&amp;"-"&amp;D103</f>
        <v>0(含)-100</v>
      </c>
      <c r="D102" s="577" t="str">
        <f t="shared" ref="D102:L102" si="23">D103&amp;"(含)"&amp;"-"&amp;E103</f>
        <v>100(含)-200</v>
      </c>
      <c r="E102" s="577" t="str">
        <f t="shared" si="23"/>
        <v>200(含)-500</v>
      </c>
      <c r="F102" s="577" t="str">
        <f t="shared" si="23"/>
        <v>500(含)-1000</v>
      </c>
      <c r="G102" s="577" t="str">
        <f t="shared" si="23"/>
        <v>1000(含)-1500</v>
      </c>
      <c r="H102" s="577" t="str">
        <f t="shared" si="23"/>
        <v>1500(含)-2000</v>
      </c>
      <c r="I102" s="577" t="str">
        <f t="shared" si="23"/>
        <v>2000(含)-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v>0</v>
      </c>
      <c r="D103" s="594">
        <v>100</v>
      </c>
      <c r="E103" s="594">
        <v>200</v>
      </c>
      <c r="F103" s="594">
        <v>500</v>
      </c>
      <c r="G103" s="594">
        <v>1000</v>
      </c>
      <c r="H103" s="594">
        <v>1500</v>
      </c>
      <c r="I103" s="594">
        <v>2000</v>
      </c>
      <c r="J103" s="595"/>
      <c r="K103" s="595"/>
      <c r="L103" s="596"/>
      <c r="M103" s="597"/>
      <c r="N103" s="1152"/>
      <c r="O103" s="1152"/>
      <c r="P103" s="2625"/>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5"/>
      <c r="Q104" s="558"/>
    </row>
    <row r="105" spans="1:17" ht="15" thickTop="1">
      <c r="A105" s="598"/>
      <c r="B105" s="537" t="s">
        <v>2611</v>
      </c>
      <c r="C105" s="2966" t="s">
        <v>3201</v>
      </c>
      <c r="D105" s="2966" t="s">
        <v>3200</v>
      </c>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1"/>
      <c r="O106" s="1151"/>
      <c r="P106" s="2624"/>
      <c r="Q106" s="503"/>
    </row>
    <row r="107" spans="1:17" ht="15" thickTop="1">
      <c r="A107" s="598"/>
      <c r="B107" s="537" t="s">
        <v>2613</v>
      </c>
      <c r="C107" s="2966" t="s">
        <v>3233</v>
      </c>
      <c r="D107" s="2966" t="s">
        <v>3232</v>
      </c>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1"/>
      <c r="O108" s="1151"/>
      <c r="P108" s="262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1"/>
      <c r="O111" s="1151"/>
      <c r="P111" s="2624"/>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2"/>
      <c r="O113" s="1152"/>
      <c r="P113" s="2625"/>
      <c r="Q113" s="558"/>
    </row>
    <row r="114" spans="1:17" ht="15" thickTop="1">
      <c r="A114" s="598"/>
      <c r="B114" s="537" t="s">
        <v>2679</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1"/>
      <c r="O115" s="1151"/>
      <c r="P115" s="2624"/>
      <c r="Q115" s="503"/>
    </row>
    <row r="116" spans="1:17" ht="15" thickTop="1">
      <c r="A116" s="598"/>
      <c r="B116" s="537" t="s">
        <v>2680</v>
      </c>
      <c r="C116" s="2966" t="s">
        <v>3199</v>
      </c>
      <c r="D116" s="2966" t="s">
        <v>3198</v>
      </c>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2681</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2"/>
      <c r="O121" s="1152"/>
      <c r="P121" s="2625"/>
      <c r="Q121" s="558"/>
    </row>
    <row r="122" spans="1:17" ht="15" thickTop="1">
      <c r="A122" s="598"/>
      <c r="B122" s="537" t="s">
        <v>2617</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24"/>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0.95</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A41" sqref="A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1583</v>
      </c>
      <c r="B1" s="781"/>
      <c r="C1" s="1834" t="s">
        <v>1373</v>
      </c>
      <c r="D1" s="1817" t="s">
        <v>70</v>
      </c>
      <c r="E1" s="1818" t="s">
        <v>1382</v>
      </c>
      <c r="F1" s="1281">
        <f ca="1">J53</f>
        <v>40</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f ca="1">C40+J29+L46</f>
        <v>569</v>
      </c>
      <c r="C2" s="1842" t="s">
        <v>1511</v>
      </c>
      <c r="D2" s="1842"/>
      <c r="E2" s="1843"/>
      <c r="F2" s="1844"/>
      <c r="G2" s="1845"/>
      <c r="H2" s="1837"/>
      <c r="I2" s="1837"/>
      <c r="J2" s="1837"/>
      <c r="K2" s="1838"/>
      <c r="L2" s="1837"/>
      <c r="M2" s="1837"/>
    </row>
    <row r="3" spans="1:37" ht="18" customHeight="1" thickBot="1">
      <c r="A3" s="1846" t="s">
        <v>1512</v>
      </c>
      <c r="B3" s="1847">
        <f ca="1">IF(ISERROR(B2*10000/F43),0,ROUND(B2*10000/F43,0))</f>
        <v>13413</v>
      </c>
      <c r="C3" s="1842" t="s">
        <v>1513</v>
      </c>
      <c r="D3" s="1842"/>
      <c r="E3" s="1843"/>
      <c r="F3" s="1844"/>
      <c r="G3" s="1845"/>
      <c r="H3" s="743" t="s">
        <v>1582</v>
      </c>
      <c r="I3" s="1837"/>
      <c r="J3" s="1837"/>
      <c r="K3" s="1838"/>
      <c r="L3" s="1837"/>
      <c r="M3" s="1837"/>
    </row>
    <row r="4" spans="1:37" ht="18" customHeight="1">
      <c r="A4" s="339" t="s">
        <v>1391</v>
      </c>
      <c r="B4" s="340" t="s">
        <v>1392</v>
      </c>
      <c r="C4" s="340" t="s">
        <v>1393</v>
      </c>
      <c r="D4" s="340" t="s">
        <v>1394</v>
      </c>
      <c r="E4" s="341" t="s">
        <v>1395</v>
      </c>
      <c r="F4" s="342"/>
      <c r="G4" s="1848"/>
      <c r="H4" s="339" t="s">
        <v>1391</v>
      </c>
      <c r="I4" s="340" t="s">
        <v>1392</v>
      </c>
      <c r="J4" s="340" t="s">
        <v>1393</v>
      </c>
      <c r="K4" s="340" t="s">
        <v>1394</v>
      </c>
      <c r="L4" s="341" t="s">
        <v>1395</v>
      </c>
      <c r="M4" s="342"/>
    </row>
    <row r="5" spans="1:37" ht="18" customHeight="1">
      <c r="A5" s="343">
        <v>1</v>
      </c>
      <c r="B5" s="344" t="s">
        <v>1396</v>
      </c>
      <c r="C5" s="1290">
        <f ca="1">C6+C10+C12</f>
        <v>35</v>
      </c>
      <c r="D5" s="1819" t="s">
        <v>1397</v>
      </c>
      <c r="E5" s="1291"/>
      <c r="F5" s="1292"/>
      <c r="G5" s="1848"/>
      <c r="H5" s="343">
        <v>1</v>
      </c>
      <c r="I5" s="344" t="s">
        <v>1396</v>
      </c>
      <c r="J5" s="1290">
        <f ca="1">J6+J10+J12</f>
        <v>0</v>
      </c>
      <c r="K5" s="1819" t="s">
        <v>1397</v>
      </c>
      <c r="L5" s="1291"/>
      <c r="M5" s="1292"/>
    </row>
    <row r="6" spans="1:37" ht="18" customHeight="1">
      <c r="A6" s="1289" t="s">
        <v>1032</v>
      </c>
      <c r="B6" s="3263" t="s">
        <v>1398</v>
      </c>
      <c r="C6" s="1294">
        <f ca="1">ROUND(F6*F8*F7*(1-F9)/10000,0)</f>
        <v>35</v>
      </c>
      <c r="D6" s="163" t="s">
        <v>3021</v>
      </c>
      <c r="E6" s="346" t="s">
        <v>1400</v>
      </c>
      <c r="F6" s="347">
        <f ca="1">INDIRECT("'数据-取费表'!u"&amp;$G$1)</f>
        <v>2.5</v>
      </c>
      <c r="G6" s="1848"/>
      <c r="H6" s="1289" t="s">
        <v>1032</v>
      </c>
      <c r="I6" s="3263" t="s">
        <v>1398</v>
      </c>
      <c r="J6" s="345">
        <f ca="1">ROUND(M6*M8*M7*(1-M9)/10000,0)</f>
        <v>0</v>
      </c>
      <c r="K6" s="163" t="s">
        <v>3020</v>
      </c>
      <c r="L6" s="346" t="s">
        <v>1400</v>
      </c>
      <c r="M6" s="347">
        <f ca="1">INDIRECT("'数据-取费表'!z"&amp;$G$1)</f>
        <v>0</v>
      </c>
    </row>
    <row r="7" spans="1:37" ht="18" customHeight="1">
      <c r="A7" s="1293"/>
      <c r="B7" s="3264"/>
      <c r="C7" s="1295"/>
      <c r="D7" s="351"/>
      <c r="E7" s="1296" t="s">
        <v>1401</v>
      </c>
      <c r="F7" s="347">
        <f ca="1">IF(INDIRECT("'数据-取费表'!ah"&amp;$G$1)="",INDIRECT("'数据-取费表'!k"&amp;$G$1),INDIRECT("'数据-取费表'!ah"&amp;$G$1))</f>
        <v>424.2</v>
      </c>
      <c r="G7" s="1848"/>
      <c r="H7" s="348"/>
      <c r="I7" s="3264"/>
      <c r="J7" s="350"/>
      <c r="K7" s="351"/>
      <c r="L7" s="346" t="s">
        <v>1401</v>
      </c>
      <c r="M7" s="347">
        <f ca="1">F7</f>
        <v>424.2</v>
      </c>
    </row>
    <row r="8" spans="1:37" ht="18" customHeight="1">
      <c r="A8" s="348"/>
      <c r="B8" s="3264"/>
      <c r="C8" s="350"/>
      <c r="D8" s="351"/>
      <c r="E8" s="346" t="s">
        <v>1402</v>
      </c>
      <c r="F8" s="347">
        <f ca="1">INDIRECT("'数据-取费表'!ai"&amp;$G$1)</f>
        <v>365</v>
      </c>
      <c r="G8" s="1848"/>
      <c r="H8" s="348"/>
      <c r="I8" s="3264"/>
      <c r="J8" s="350"/>
      <c r="K8" s="351"/>
      <c r="L8" s="346" t="s">
        <v>1402</v>
      </c>
      <c r="M8" s="347">
        <f ca="1">INDIRECT("'数据-取费表'!ai"&amp;$G$1)</f>
        <v>365</v>
      </c>
    </row>
    <row r="9" spans="1:37" ht="18" customHeight="1">
      <c r="A9" s="348"/>
      <c r="B9" s="3265"/>
      <c r="C9" s="350"/>
      <c r="D9" s="351"/>
      <c r="E9" s="346" t="s">
        <v>1403</v>
      </c>
      <c r="F9" s="356">
        <f ca="1">INDIRECT("'数据-取费表'!w"&amp;$G$1)</f>
        <v>0.1</v>
      </c>
      <c r="G9" s="1848"/>
      <c r="H9" s="348"/>
      <c r="I9" s="3265"/>
      <c r="J9" s="350"/>
      <c r="K9" s="351"/>
      <c r="L9" s="357" t="s">
        <v>1403</v>
      </c>
      <c r="M9" s="358">
        <f ca="1">INDIRECT("'数据-取费表'!ab"&amp;$G$1)</f>
        <v>0</v>
      </c>
    </row>
    <row r="10" spans="1:37" ht="18" customHeight="1">
      <c r="A10" s="1289" t="s">
        <v>1036</v>
      </c>
      <c r="B10" s="1820" t="s">
        <v>1404</v>
      </c>
      <c r="C10" s="360">
        <f ca="1">ROUND(IF(F10="押一",C6/12*F11,IF(F10="押二",C6/12*2*F11,IF(F10="押三",C6/12*3*F11,C11*F11))),0)</f>
        <v>0</v>
      </c>
      <c r="D10" s="1821" t="s">
        <v>3030</v>
      </c>
      <c r="E10" s="357" t="s">
        <v>1405</v>
      </c>
      <c r="F10" s="1364" t="s">
        <v>3074</v>
      </c>
      <c r="G10" s="1848"/>
      <c r="H10" s="1289" t="s">
        <v>1036</v>
      </c>
      <c r="I10" s="1820" t="s">
        <v>1404</v>
      </c>
      <c r="J10" s="345">
        <f ca="1">ROUND(IF(M10="押一",J6/12*M11,IF(M10="押二",J6/12*2*M11,IF(M10="押三",J6/12*3*M11,J11*M11))),0)</f>
        <v>0</v>
      </c>
      <c r="K10" s="1821" t="s">
        <v>3029</v>
      </c>
      <c r="L10" s="357" t="s">
        <v>1405</v>
      </c>
      <c r="M10" s="1364" t="s">
        <v>1406</v>
      </c>
    </row>
    <row r="11" spans="1:37" ht="18" customHeight="1">
      <c r="A11" s="352"/>
      <c r="B11" s="1822" t="s">
        <v>1383</v>
      </c>
      <c r="C11" s="1176"/>
      <c r="D11" s="1823"/>
      <c r="E11" s="357" t="s">
        <v>1407</v>
      </c>
      <c r="F11" s="358">
        <f ca="1">'数据-取费表'!B39</f>
        <v>1.4999999999999999E-2</v>
      </c>
      <c r="G11" s="1848"/>
      <c r="H11" s="1297"/>
      <c r="I11" s="1822" t="s">
        <v>1383</v>
      </c>
      <c r="J11" s="1176"/>
      <c r="K11" s="747"/>
      <c r="L11" s="357" t="s">
        <v>1407</v>
      </c>
      <c r="M11" s="1055">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f ca="1">ROUND(C29*F13,0)</f>
        <v>96</v>
      </c>
      <c r="D13" s="1329" t="s">
        <v>1410</v>
      </c>
      <c r="E13" s="1329" t="s">
        <v>1411</v>
      </c>
      <c r="F13" s="1330">
        <f ca="1">INDIRECT("'数据-取费表'!y"&amp;$G$1)</f>
        <v>0.75</v>
      </c>
      <c r="G13" s="1848"/>
      <c r="H13" s="1327">
        <v>2</v>
      </c>
      <c r="I13" s="1328" t="s">
        <v>1409</v>
      </c>
      <c r="J13" s="1288">
        <f ca="1">ROUND(J14*J15,0)</f>
        <v>0</v>
      </c>
      <c r="K13" s="1335" t="s">
        <v>1410</v>
      </c>
      <c r="L13" s="1849"/>
      <c r="M13" s="1850"/>
    </row>
    <row r="14" spans="1:37" ht="18" customHeight="1">
      <c r="A14" s="1199" t="s">
        <v>1031</v>
      </c>
      <c r="B14" s="346" t="s">
        <v>1412</v>
      </c>
      <c r="C14" s="362">
        <f ca="1">INDIRECT("'数据-取费表'!m"&amp;$G$1)+INDIRECT("'数据-取费表'!t"&amp;$G$1)</f>
        <v>93</v>
      </c>
      <c r="D14" s="1797" t="s">
        <v>1413</v>
      </c>
      <c r="E14" s="1791"/>
      <c r="F14" s="363"/>
      <c r="G14" s="1848"/>
      <c r="H14" s="1199" t="s">
        <v>1032</v>
      </c>
      <c r="I14" s="346" t="s">
        <v>1414</v>
      </c>
      <c r="J14" s="24">
        <f ca="1">C29</f>
        <v>128</v>
      </c>
      <c r="K14" s="15"/>
      <c r="L14" s="978"/>
      <c r="M14" s="979"/>
    </row>
    <row r="15" spans="1:37" s="1855" customFormat="1" ht="18" customHeight="1" thickBot="1">
      <c r="A15" s="1199" t="s">
        <v>1033</v>
      </c>
      <c r="B15" s="346" t="s">
        <v>1415</v>
      </c>
      <c r="C15" s="24">
        <f ca="1">ROUND(C14*F15,0)</f>
        <v>3</v>
      </c>
      <c r="D15" s="364" t="s">
        <v>1416</v>
      </c>
      <c r="E15" s="364" t="s">
        <v>1417</v>
      </c>
      <c r="F15" s="365">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f ca="1">ROUND(INDIRECT("'数据-取费表'!m"&amp;$G$1)*F16,0)</f>
        <v>0</v>
      </c>
      <c r="D16" s="346" t="s">
        <v>1416</v>
      </c>
      <c r="E16" s="346" t="s">
        <v>1417</v>
      </c>
      <c r="F16" s="366">
        <f ca="1">IF(INDIRECT("'数据-取费表'!c"&amp;$G$1)="住宅",'数据-取费表'!B34,0)</f>
        <v>0</v>
      </c>
      <c r="G16" s="1848"/>
      <c r="H16" s="1327" t="s">
        <v>1027</v>
      </c>
      <c r="I16" s="1328" t="s">
        <v>1419</v>
      </c>
      <c r="J16" s="354">
        <f ca="1">ROUND(J17+J22+J23+J24,0)</f>
        <v>5</v>
      </c>
      <c r="K16" s="1335" t="s">
        <v>1420</v>
      </c>
      <c r="L16" s="1336"/>
      <c r="M16" s="1292"/>
    </row>
    <row r="17" spans="1:37" s="1855" customFormat="1" ht="18" customHeight="1">
      <c r="A17" s="1199" t="s">
        <v>1385</v>
      </c>
      <c r="B17" s="346" t="s">
        <v>1421</v>
      </c>
      <c r="C17" s="24">
        <f ca="1">ROUND(F17*(F43+INDIRECT("'数据-取费表'!S"&amp;$G$1))/10000,0)</f>
        <v>6</v>
      </c>
      <c r="D17" s="346" t="s">
        <v>1422</v>
      </c>
      <c r="E17" s="346" t="s">
        <v>1423</v>
      </c>
      <c r="F17" s="26">
        <f>'数据-取费表'!B35</f>
        <v>150</v>
      </c>
      <c r="G17" s="1851"/>
      <c r="H17" s="1199" t="s">
        <v>1032</v>
      </c>
      <c r="I17" s="346" t="s">
        <v>1424</v>
      </c>
      <c r="J17" s="24">
        <f ca="1">ROUND(IF(项目基本情况!B11="自然人",J6*M17/(1+'数据-取费表'!C42),J18+J19+J20),1)</f>
        <v>1.1000000000000001</v>
      </c>
      <c r="K17" s="1797" t="s">
        <v>1425</v>
      </c>
      <c r="L17" s="1795"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f ca="1">ROUND(C14*F18,0)</f>
        <v>1</v>
      </c>
      <c r="D18" s="346" t="s">
        <v>1416</v>
      </c>
      <c r="E18" s="346" t="s">
        <v>1417</v>
      </c>
      <c r="F18" s="366">
        <f>'数据-取费表'!B36</f>
        <v>1.4999999999999999E-2</v>
      </c>
      <c r="G18" s="1851"/>
      <c r="H18" s="1199" t="s">
        <v>1031</v>
      </c>
      <c r="I18" s="346" t="s">
        <v>1428</v>
      </c>
      <c r="J18" s="24">
        <f ca="1">ROUND(J6*M18/(1+'数据-取费表'!C42),2)</f>
        <v>0</v>
      </c>
      <c r="K18" s="1795" t="s">
        <v>1429</v>
      </c>
      <c r="L18" s="346" t="s">
        <v>1417</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f ca="1">SUM(C14:C18)</f>
        <v>103</v>
      </c>
      <c r="D19" s="139" t="s">
        <v>1431</v>
      </c>
      <c r="E19" s="1815"/>
      <c r="F19" s="26"/>
      <c r="G19" s="1848"/>
      <c r="H19" s="1199" t="s">
        <v>1033</v>
      </c>
      <c r="I19" s="346" t="s">
        <v>1432</v>
      </c>
      <c r="J19" s="24">
        <f ca="1">IF(K19="按租金收入计税",ROUND(J6*M19/(1+'数据-取费表'!C42),2),ROUND(C29*M19*0.7,2))</f>
        <v>1.08</v>
      </c>
      <c r="K19" s="1825" t="s">
        <v>1433</v>
      </c>
      <c r="L19" s="346" t="s">
        <v>1417</v>
      </c>
      <c r="M19" s="366">
        <f>IF(K19="按租金收入计税",'数据-取费表'!B51,'数据-取费表'!B50)</f>
        <v>1.2E-2</v>
      </c>
    </row>
    <row r="20" spans="1:37" s="1855" customFormat="1" ht="18" customHeight="1">
      <c r="A20" s="1199" t="s">
        <v>1036</v>
      </c>
      <c r="B20" s="346" t="s">
        <v>1434</v>
      </c>
      <c r="C20" s="24">
        <f ca="1">ROUND(C19*F20,0)</f>
        <v>2</v>
      </c>
      <c r="D20" s="368" t="s">
        <v>1435</v>
      </c>
      <c r="E20" s="346" t="s">
        <v>1417</v>
      </c>
      <c r="F20" s="366">
        <f>'数据-取费表'!B37</f>
        <v>0.02</v>
      </c>
      <c r="G20" s="1851"/>
      <c r="H20" s="1199" t="s">
        <v>1384</v>
      </c>
      <c r="I20" s="163" t="s">
        <v>1436</v>
      </c>
      <c r="J20" s="25">
        <f ca="1">ROUND(M20*M21/10000,2)</f>
        <v>0</v>
      </c>
      <c r="K20" s="369" t="s">
        <v>1437</v>
      </c>
      <c r="L20" s="346" t="s">
        <v>1438</v>
      </c>
      <c r="M20" s="370">
        <f>'数据-取费表'!B52</f>
        <v>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18</v>
      </c>
      <c r="D21" s="368" t="s">
        <v>1440</v>
      </c>
      <c r="E21" s="346" t="s">
        <v>1441</v>
      </c>
      <c r="F21" s="366">
        <f>'数据-取费表'!B38</f>
        <v>0.02</v>
      </c>
      <c r="G21" s="1851"/>
      <c r="H21" s="371"/>
      <c r="I21" s="355"/>
      <c r="J21" s="29"/>
      <c r="K21" s="372"/>
      <c r="L21" s="346" t="s">
        <v>1442</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单利计息。建造成本、管理费用、销售费用产生的利息。</v>
      </c>
      <c r="E22" s="1815"/>
      <c r="F22" s="26"/>
      <c r="G22" s="1848"/>
      <c r="H22" s="1199" t="s">
        <v>1036</v>
      </c>
      <c r="I22" s="346" t="s">
        <v>1444</v>
      </c>
      <c r="J22" s="24">
        <f ca="1">ROUND(J14*M22,1)</f>
        <v>3.8</v>
      </c>
      <c r="K22" s="1795" t="s">
        <v>1445</v>
      </c>
      <c r="L22" s="346" t="s">
        <v>1417</v>
      </c>
      <c r="M22" s="373">
        <f ca="1">INDIRECT("'数据-取费表'!Ak"&amp;$G$1)</f>
        <v>0.03</v>
      </c>
    </row>
    <row r="23" spans="1:37" s="1855" customFormat="1" ht="18" customHeight="1">
      <c r="A23" s="1199" t="s">
        <v>1031</v>
      </c>
      <c r="B23" s="346" t="s">
        <v>1446</v>
      </c>
      <c r="C23" s="24">
        <f ca="1">IF('数据-取费表'!B22&lt;=1,ROUND(C19*F24*F23/2,0)+ROUND(C20*F24*F23/2,0),ROUND(C19*(POWER((1+F24),F23/2)-1),0)+ROUND(C20*(POWER((1+F24),F23/2)-1),0))</f>
        <v>2</v>
      </c>
      <c r="D23" s="374" t="str">
        <f>IF(F23&lt;=1,"(建造成本+管理费用)×利率×(建设周期÷2)","(建造成本+管理费用)×((1+利率)^(建设周期÷2)-1)")</f>
        <v>(建造成本+管理费用)×利率×(建设周期÷2)</v>
      </c>
      <c r="E23" s="346" t="s">
        <v>1447</v>
      </c>
      <c r="F23" s="370">
        <f>'数据-取费表'!B20</f>
        <v>1</v>
      </c>
      <c r="G23" s="1851"/>
      <c r="H23" s="1199" t="s">
        <v>1072</v>
      </c>
      <c r="I23" s="346" t="s">
        <v>1448</v>
      </c>
      <c r="J23" s="24">
        <f ca="1">ROUND(J13*M23,1)</f>
        <v>0</v>
      </c>
      <c r="K23" s="1795" t="s">
        <v>1449</v>
      </c>
      <c r="L23" s="346" t="s">
        <v>1450</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6" t="s">
        <v>1452</v>
      </c>
      <c r="C24" s="24">
        <f ca="1">ROUND(IF('数据-取费表'!B22&lt;=1,F21*F24*F23/2,F21*(POWER((1+F24),F23/2)-1)),4)</f>
        <v>4.0000000000000002E-4</v>
      </c>
      <c r="D24" s="374" t="str">
        <f>IF(F23&lt;=1,"销售费用×利率×(建设周期÷2)","销售费用×((1+利率)^(建设周期÷2)-1)")</f>
        <v>销售费用×利率×(建设周期÷2)</v>
      </c>
      <c r="E24" s="346" t="s">
        <v>1453</v>
      </c>
      <c r="F24" s="376">
        <f ca="1">'数据-取费表'!B40</f>
        <v>4.3499999999999997E-2</v>
      </c>
      <c r="G24" s="1851"/>
      <c r="H24" s="1337" t="s">
        <v>1388</v>
      </c>
      <c r="I24" s="1338" t="s">
        <v>1434</v>
      </c>
      <c r="J24" s="1339">
        <f ca="1">ROUND(J5*M24,1)</f>
        <v>0</v>
      </c>
      <c r="K24" s="1340" t="s">
        <v>1454</v>
      </c>
      <c r="L24" s="1338" t="s">
        <v>1450</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6" t="s">
        <v>1456</v>
      </c>
      <c r="C25" s="24"/>
      <c r="D25" s="139" t="s">
        <v>1457</v>
      </c>
      <c r="E25" s="1815"/>
      <c r="F25" s="26"/>
      <c r="G25" s="1848"/>
      <c r="H25" s="1327" t="s">
        <v>1028</v>
      </c>
      <c r="I25" s="1342" t="s">
        <v>1458</v>
      </c>
      <c r="J25" s="354">
        <f ca="1">J5-J16</f>
        <v>-5</v>
      </c>
      <c r="K25" s="1343" t="s">
        <v>1459</v>
      </c>
      <c r="L25" s="1344"/>
      <c r="M25" s="1345"/>
    </row>
    <row r="26" spans="1:37">
      <c r="A26" s="1199" t="s">
        <v>1031</v>
      </c>
      <c r="B26" s="346" t="s">
        <v>1460</v>
      </c>
      <c r="C26" s="24">
        <f ca="1">ROUND((C19+C20)*F26,0)</f>
        <v>11</v>
      </c>
      <c r="D26" s="368" t="s">
        <v>1461</v>
      </c>
      <c r="E26" s="357" t="s">
        <v>1462</v>
      </c>
      <c r="F26" s="356">
        <f ca="1">INDIRECT("'数据-取费表'!q"&amp;$G$1)</f>
        <v>0.1</v>
      </c>
      <c r="G26" s="1848"/>
      <c r="H26" s="343" t="s">
        <v>1029</v>
      </c>
      <c r="I26" s="344" t="s">
        <v>1463</v>
      </c>
      <c r="J26" s="345">
        <f ca="1">IF(J5&lt;&gt;0,ROUND(J25*(1-((1+M28)/(1+M26))^M27)/(M26-M28),0),0)</f>
        <v>0</v>
      </c>
      <c r="K26" s="369" t="s">
        <v>1464</v>
      </c>
      <c r="L26" s="346" t="s">
        <v>1465</v>
      </c>
      <c r="M26" s="356">
        <f ca="1">INDIRECT("'数据-取费表'!I"&amp;$G$1)</f>
        <v>0.06</v>
      </c>
    </row>
    <row r="27" spans="1:37" ht="18" customHeight="1">
      <c r="A27" s="1199" t="s">
        <v>1033</v>
      </c>
      <c r="B27" s="346" t="s">
        <v>1466</v>
      </c>
      <c r="C27" s="24">
        <f ca="1">ROUND(F21*F26,4)</f>
        <v>2E-3</v>
      </c>
      <c r="D27" s="368" t="s">
        <v>1467</v>
      </c>
      <c r="E27" s="364"/>
      <c r="F27" s="365"/>
      <c r="G27" s="1848"/>
      <c r="H27" s="348"/>
      <c r="I27" s="349"/>
      <c r="J27" s="350"/>
      <c r="K27" s="377" t="s">
        <v>1468</v>
      </c>
      <c r="L27" s="346" t="s">
        <v>1469</v>
      </c>
      <c r="M27" s="378">
        <f ca="1">INDIRECT("'数据-取费表'!ag"&amp;$G$1)</f>
        <v>0</v>
      </c>
    </row>
    <row r="28" spans="1:37" s="1855" customFormat="1" ht="18" customHeight="1">
      <c r="A28" s="1199" t="s">
        <v>1034</v>
      </c>
      <c r="B28" s="346" t="s">
        <v>1470</v>
      </c>
      <c r="C28" s="24">
        <f>ROUND(F28/(1+'数据-取费表'!C42),4)</f>
        <v>5.2400000000000002E-2</v>
      </c>
      <c r="D28" s="368" t="s">
        <v>1471</v>
      </c>
      <c r="E28" s="346" t="s">
        <v>1417</v>
      </c>
      <c r="F28" s="366">
        <f>'数据-取费表'!B41</f>
        <v>5.5000000000000007E-2</v>
      </c>
      <c r="G28" s="1851"/>
      <c r="H28" s="352"/>
      <c r="I28" s="353"/>
      <c r="J28" s="354"/>
      <c r="K28" s="372"/>
      <c r="L28" s="346" t="s">
        <v>1472</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128</v>
      </c>
      <c r="D29" s="1340"/>
      <c r="E29" s="1338"/>
      <c r="F29" s="1341"/>
      <c r="G29" s="1851"/>
      <c r="H29" s="379" t="s">
        <v>1030</v>
      </c>
      <c r="I29" s="380" t="s">
        <v>1474</v>
      </c>
      <c r="J29" s="381">
        <f ca="1">ROUND(J26/(1+F40)^F41,0)</f>
        <v>0</v>
      </c>
      <c r="K29" s="382" t="s">
        <v>1475</v>
      </c>
      <c r="L29" s="383"/>
      <c r="M29" s="384">
        <f ca="1">INDIRECT("'数据-取费表'!k"&amp;$G$1)</f>
        <v>424.2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f ca="1">ROUND(C31+C36+C37+C38,0)</f>
        <v>10</v>
      </c>
      <c r="D30" s="1335" t="s">
        <v>1420</v>
      </c>
      <c r="E30" s="1336"/>
      <c r="F30" s="1292"/>
      <c r="G30" s="1848"/>
      <c r="H30" s="744"/>
      <c r="I30" s="745"/>
      <c r="J30" s="746"/>
      <c r="K30" s="747"/>
      <c r="L30" s="748"/>
      <c r="M30" s="749"/>
    </row>
    <row r="31" spans="1:37" ht="18" customHeight="1">
      <c r="A31" s="1199" t="s">
        <v>1032</v>
      </c>
      <c r="B31" s="346" t="s">
        <v>1424</v>
      </c>
      <c r="C31" s="24">
        <f ca="1">ROUND(IF(项目基本情况!B11="自然人",C6*F31/(1+'数据-取费表'!C42),C32+C33+C34),1)</f>
        <v>5.8</v>
      </c>
      <c r="D31" s="1797" t="s">
        <v>1425</v>
      </c>
      <c r="E31" s="1795"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f ca="1">IF(项目基本情况!B11="自然人","——",ROUND(C6*F32/(1+'数据-取费表'!C42),2))</f>
        <v>1.83</v>
      </c>
      <c r="D32" s="1795" t="s">
        <v>1429</v>
      </c>
      <c r="E32" s="346" t="s">
        <v>1417</v>
      </c>
      <c r="F32" s="376">
        <f>'数据-取费表'!B41</f>
        <v>5.5000000000000007E-2</v>
      </c>
      <c r="G32" s="1848"/>
      <c r="H32" s="744"/>
      <c r="I32" s="745"/>
      <c r="J32" s="746"/>
      <c r="K32" s="747"/>
      <c r="L32" s="748"/>
      <c r="M32" s="749"/>
    </row>
    <row r="33" spans="1:18" ht="18" customHeight="1">
      <c r="A33" s="1199" t="s">
        <v>1033</v>
      </c>
      <c r="B33" s="346" t="s">
        <v>1432</v>
      </c>
      <c r="C33" s="24">
        <f ca="1">IF(项目基本情况!B11="自然人","——",IF(D33="按租金收入计税",ROUND(C6*F33/(1+'数据-取费表'!C42),2),IF(D33="按房产原值计税",ROUND(C29*F33*0.7,2),INDIRECT("'数据-取费表'!Aj"&amp;$G$1))))</f>
        <v>4</v>
      </c>
      <c r="D33" s="1825" t="s">
        <v>3075</v>
      </c>
      <c r="E33" s="346" t="s">
        <v>1417</v>
      </c>
      <c r="F33" s="366">
        <f>IF(D33="按票据","——",IF(D33="按租金收入计税",'数据-取费表'!B51,'数据-取费表'!B50))</f>
        <v>0.12</v>
      </c>
      <c r="G33" s="1848"/>
      <c r="H33" s="1856"/>
      <c r="I33" s="1857"/>
      <c r="J33" s="1858"/>
      <c r="K33" s="1859"/>
      <c r="L33" s="1856"/>
      <c r="M33" s="1856"/>
    </row>
    <row r="34" spans="1:18" ht="18" customHeight="1">
      <c r="A34" s="1289" t="s">
        <v>1384</v>
      </c>
      <c r="B34" s="163" t="s">
        <v>1436</v>
      </c>
      <c r="C34" s="25">
        <f ca="1">IF(项目基本情况!B11="自然人","——",ROUND(F34*F35/10000,2))</f>
        <v>0</v>
      </c>
      <c r="D34" s="369" t="s">
        <v>1437</v>
      </c>
      <c r="E34" s="346" t="s">
        <v>1438</v>
      </c>
      <c r="F34" s="370">
        <f>'数据-取费表'!B52</f>
        <v>6</v>
      </c>
      <c r="G34" s="1848"/>
      <c r="H34" s="744"/>
      <c r="I34" s="1857"/>
      <c r="J34" s="1858"/>
      <c r="K34" s="1860"/>
      <c r="L34" s="1861"/>
      <c r="M34" s="1861"/>
    </row>
    <row r="35" spans="1:18" ht="18" customHeight="1">
      <c r="A35" s="1351"/>
      <c r="B35" s="1349"/>
      <c r="C35" s="29"/>
      <c r="D35" s="372"/>
      <c r="E35" s="346" t="s">
        <v>1442</v>
      </c>
      <c r="F35" s="347">
        <f ca="1">INDIRECT("'数据-取费表'!r"&amp;$G$1)</f>
        <v>0</v>
      </c>
      <c r="G35" s="1848"/>
      <c r="H35" s="744"/>
      <c r="I35" s="1857"/>
      <c r="J35" s="1858"/>
      <c r="K35" s="1859"/>
      <c r="L35" s="1856"/>
      <c r="M35" s="1856"/>
    </row>
    <row r="36" spans="1:18" ht="18" customHeight="1">
      <c r="A36" s="1350" t="s">
        <v>1036</v>
      </c>
      <c r="B36" s="346" t="s">
        <v>1444</v>
      </c>
      <c r="C36" s="24">
        <f ca="1">ROUND(C29*F36,1)</f>
        <v>3.8</v>
      </c>
      <c r="D36" s="1795" t="s">
        <v>1477</v>
      </c>
      <c r="E36" s="346" t="s">
        <v>1417</v>
      </c>
      <c r="F36" s="373">
        <f ca="1">INDIRECT("'数据-取费表'!Ak"&amp;$G$1)</f>
        <v>0.03</v>
      </c>
      <c r="G36" s="1848"/>
      <c r="H36" s="1856"/>
      <c r="I36" s="1857"/>
      <c r="J36" s="1858"/>
      <c r="K36" s="750"/>
      <c r="L36" s="1856"/>
      <c r="M36" s="1856"/>
    </row>
    <row r="37" spans="1:18" ht="18" customHeight="1">
      <c r="A37" s="1199" t="s">
        <v>1072</v>
      </c>
      <c r="B37" s="346" t="s">
        <v>1448</v>
      </c>
      <c r="C37" s="24">
        <f ca="1">ROUND(C13*F37,1)</f>
        <v>0.1</v>
      </c>
      <c r="D37" s="1795" t="s">
        <v>1449</v>
      </c>
      <c r="E37" s="346" t="s">
        <v>1450</v>
      </c>
      <c r="F37" s="375">
        <f ca="1">INDIRECT("'数据-取费表'!Al"&amp;$G$1)</f>
        <v>1.5E-3</v>
      </c>
      <c r="G37" s="1848"/>
      <c r="H37" s="1856"/>
      <c r="I37" s="1857"/>
      <c r="J37" s="1858"/>
      <c r="K37" s="750"/>
      <c r="L37" s="1856"/>
      <c r="M37" s="1856"/>
    </row>
    <row r="38" spans="1:18" ht="18" customHeight="1" thickBot="1">
      <c r="A38" s="1337" t="s">
        <v>1388</v>
      </c>
      <c r="B38" s="1338" t="s">
        <v>1434</v>
      </c>
      <c r="C38" s="1339">
        <f ca="1">ROUND(C5*F38,1)</f>
        <v>0.4</v>
      </c>
      <c r="D38" s="1340" t="s">
        <v>1454</v>
      </c>
      <c r="E38" s="1338" t="s">
        <v>1450</v>
      </c>
      <c r="F38" s="1334">
        <f ca="1">INDIRECT("'数据-取费表'!Am"&amp;$G$1)</f>
        <v>0.01</v>
      </c>
      <c r="G38" s="1848"/>
      <c r="H38" s="1856"/>
      <c r="I38" s="1857"/>
      <c r="J38" s="1858"/>
      <c r="K38" s="1862"/>
      <c r="L38" s="1856"/>
      <c r="M38" s="1856"/>
    </row>
    <row r="39" spans="1:18" ht="24.6" customHeight="1" thickTop="1">
      <c r="A39" s="1327" t="s">
        <v>1028</v>
      </c>
      <c r="B39" s="1342" t="s">
        <v>1478</v>
      </c>
      <c r="C39" s="354">
        <f ca="1">C5-C30</f>
        <v>25</v>
      </c>
      <c r="D39" s="1343" t="s">
        <v>1479</v>
      </c>
      <c r="E39" s="1344"/>
      <c r="F39" s="1345"/>
      <c r="G39" s="1848"/>
      <c r="H39" s="1856"/>
      <c r="I39" s="1857"/>
      <c r="J39" s="1858"/>
      <c r="K39" s="1862"/>
      <c r="L39" s="1856"/>
      <c r="M39" s="1856"/>
    </row>
    <row r="40" spans="1:18" ht="18" customHeight="1">
      <c r="A40" s="343" t="s">
        <v>1029</v>
      </c>
      <c r="B40" s="344" t="s">
        <v>1480</v>
      </c>
      <c r="C40" s="345">
        <f ca="1">ROUND(C39*(1-((1+F42)/(1+F40))^F41)/(F40-F42),0)</f>
        <v>569</v>
      </c>
      <c r="D40" s="369" t="s">
        <v>1464</v>
      </c>
      <c r="E40" s="346" t="s">
        <v>1465</v>
      </c>
      <c r="F40" s="356">
        <f ca="1">INDIRECT("'数据-取费表'!I"&amp;$G$1)</f>
        <v>0.06</v>
      </c>
      <c r="G40" s="1848"/>
      <c r="H40" s="1836"/>
      <c r="I40" s="1857"/>
      <c r="J40" s="1858"/>
      <c r="K40" s="1862"/>
      <c r="L40" s="1836"/>
      <c r="M40" s="1836"/>
    </row>
    <row r="41" spans="1:18" ht="18" customHeight="1">
      <c r="A41" s="348"/>
      <c r="B41" s="349"/>
      <c r="C41" s="350"/>
      <c r="D41" s="377" t="s">
        <v>1481</v>
      </c>
      <c r="E41" s="346" t="s">
        <v>1469</v>
      </c>
      <c r="F41" s="378">
        <f ca="1">IF(INDIRECT("'数据-取费表'!af"&amp;$G$1)=0,INDIRECT("'数据-取费表'!ae"&amp;$G$1),INDIRECT("'数据-取费表'!af"&amp;$G$1))</f>
        <v>40</v>
      </c>
      <c r="G41" s="1848"/>
      <c r="H41" s="731"/>
      <c r="I41" s="1857"/>
      <c r="J41" s="1858"/>
      <c r="K41" s="750"/>
      <c r="L41" s="731"/>
      <c r="M41" s="731"/>
    </row>
    <row r="42" spans="1:18" ht="18" customHeight="1">
      <c r="A42" s="352"/>
      <c r="B42" s="353"/>
      <c r="C42" s="354"/>
      <c r="D42" s="372"/>
      <c r="E42" s="346" t="s">
        <v>1472</v>
      </c>
      <c r="F42" s="356">
        <f ca="1">INDIRECT("'数据-取费表'!v"&amp;$G$1)</f>
        <v>0.03</v>
      </c>
      <c r="G42" s="1848"/>
      <c r="H42" s="731"/>
      <c r="I42" s="1857"/>
      <c r="J42" s="1858"/>
      <c r="K42" s="750"/>
      <c r="L42" s="731"/>
      <c r="M42" s="731"/>
    </row>
    <row r="43" spans="1:18" ht="18" customHeight="1" thickBot="1">
      <c r="A43" s="379" t="s">
        <v>1030</v>
      </c>
      <c r="B43" s="380" t="s">
        <v>1482</v>
      </c>
      <c r="C43" s="381">
        <f ca="1">ROUND(C40*10000/F43,0)</f>
        <v>13413</v>
      </c>
      <c r="D43" s="382" t="s">
        <v>1483</v>
      </c>
      <c r="E43" s="383" t="s">
        <v>1484</v>
      </c>
      <c r="F43" s="384">
        <f ca="1">INDIRECT("'数据-取费表'!k"&amp;$G$1)</f>
        <v>424.2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f ca="1">C68-C40</f>
        <v>-795</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1"/>
      <c r="I47" s="1877" t="s">
        <v>1521</v>
      </c>
      <c r="J47" s="1878" t="s">
        <v>3076</v>
      </c>
      <c r="K47" s="1879" t="s">
        <v>1522</v>
      </c>
      <c r="L47" s="1880">
        <f ca="1">INDIRECT("'数据-取费表'!d"&amp;$G$1)</f>
        <v>40</v>
      </c>
      <c r="M47" s="1835" t="str">
        <f>IF(ISNUMBER(FIND("住宅",C1)),"住宅","非住宅")</f>
        <v>非住宅</v>
      </c>
      <c r="O47" s="1881" t="s">
        <v>1037</v>
      </c>
      <c r="P47" s="1882" t="s">
        <v>1523</v>
      </c>
      <c r="Q47" s="1883">
        <f ca="1">C40+J29</f>
        <v>569</v>
      </c>
      <c r="R47" s="1883" t="s">
        <v>1524</v>
      </c>
    </row>
    <row r="48" spans="1:18" s="1839" customFormat="1" ht="28.5" thickBot="1">
      <c r="A48" s="1358" t="s">
        <v>1132</v>
      </c>
      <c r="B48" s="344" t="s">
        <v>1396</v>
      </c>
      <c r="C48" s="1814">
        <f ca="1">C49+C53+C55</f>
        <v>0</v>
      </c>
      <c r="D48" s="1360"/>
      <c r="E48" s="1361"/>
      <c r="F48" s="1179"/>
      <c r="G48" s="791"/>
      <c r="H48" s="792"/>
      <c r="I48" s="1884" t="s">
        <v>1525</v>
      </c>
      <c r="J48" s="1885" t="s">
        <v>3077</v>
      </c>
      <c r="K48" s="1886" t="s">
        <v>1526</v>
      </c>
      <c r="L48" s="1887">
        <f ca="1">INDIRECT("'数据-取费表'!f"&amp;$G$1)</f>
        <v>40</v>
      </c>
      <c r="O48" s="1881" t="s">
        <v>1038</v>
      </c>
      <c r="P48" s="1882" t="s">
        <v>1527</v>
      </c>
      <c r="Q48" s="1883" t="str">
        <f ca="1">J60</f>
        <v>0</v>
      </c>
      <c r="R48" s="1883" t="s">
        <v>1528</v>
      </c>
    </row>
    <row r="49" spans="1:18" s="1839" customFormat="1" ht="13.5" thickBot="1">
      <c r="A49" s="1192" t="s">
        <v>1133</v>
      </c>
      <c r="B49" s="1826" t="s">
        <v>1485</v>
      </c>
      <c r="C49" s="1362">
        <f ca="1">ROUND(F49*F51*F50*(1-F52)/10000,0)</f>
        <v>0</v>
      </c>
      <c r="D49" s="1274" t="s">
        <v>3022</v>
      </c>
      <c r="E49" s="1827" t="s">
        <v>1486</v>
      </c>
      <c r="F49" s="1279"/>
      <c r="G49" s="1888"/>
      <c r="H49" s="792"/>
      <c r="I49" s="1884" t="s">
        <v>1529</v>
      </c>
      <c r="J49" s="1889">
        <v>2009</v>
      </c>
      <c r="K49" s="1886" t="s">
        <v>1530</v>
      </c>
      <c r="L49" s="1890">
        <f>'土地比较法-住宅、综合'!B2</f>
        <v>73</v>
      </c>
      <c r="O49" s="1891" t="s">
        <v>1039</v>
      </c>
      <c r="P49" s="1882" t="s">
        <v>1531</v>
      </c>
      <c r="Q49" s="1883">
        <f ca="1">C29</f>
        <v>128</v>
      </c>
      <c r="R49" s="1883" t="s">
        <v>1524</v>
      </c>
    </row>
    <row r="50" spans="1:18" s="1839" customFormat="1" ht="13.5" thickBot="1">
      <c r="A50" s="1193"/>
      <c r="B50" s="1196"/>
      <c r="C50" s="1366"/>
      <c r="D50" s="1170"/>
      <c r="E50" s="1275" t="s">
        <v>1401</v>
      </c>
      <c r="F50" s="1276">
        <f ca="1">F7</f>
        <v>424.2</v>
      </c>
      <c r="H50" s="792"/>
      <c r="I50" s="1884" t="s">
        <v>1532</v>
      </c>
      <c r="J50" s="1892">
        <f>SUMPRODUCT((I63:I65=J47)*(J62:L62=J48)*(J63:L65))</f>
        <v>50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7">
        <f ca="1">F8</f>
        <v>365</v>
      </c>
      <c r="I51" s="1895" t="s">
        <v>1535</v>
      </c>
      <c r="J51" s="1896">
        <f>IF(J49="",J50,J49+J50-YEAR('数据-取费表'!B2))</f>
        <v>40</v>
      </c>
      <c r="K51" s="1897" t="s">
        <v>1536</v>
      </c>
      <c r="L51" s="1898">
        <f ca="1">ROUND(-PV(INDIRECT("'数据-取费表'!h"&amp;$G$1),L48,(C39-C13*C76),0),0)</f>
        <v>278</v>
      </c>
      <c r="M51" s="1899"/>
      <c r="O51" s="1891" t="s">
        <v>1041</v>
      </c>
      <c r="P51" s="1882" t="s">
        <v>1537</v>
      </c>
      <c r="Q51" s="1894">
        <f>J52</f>
        <v>8.5000000000000006E-2</v>
      </c>
      <c r="R51" s="1883"/>
    </row>
    <row r="52" spans="1:18" s="1839" customFormat="1" ht="13.5" thickBot="1">
      <c r="A52" s="1194"/>
      <c r="B52" s="1196"/>
      <c r="C52" s="1197"/>
      <c r="D52" s="1170"/>
      <c r="E52" s="1198" t="s">
        <v>1403</v>
      </c>
      <c r="F52" s="1273"/>
      <c r="I52" s="1900" t="s">
        <v>1538</v>
      </c>
      <c r="J52" s="1901">
        <v>8.5000000000000006E-2</v>
      </c>
      <c r="K52" s="1900" t="s">
        <v>1539</v>
      </c>
      <c r="L52" s="1901">
        <v>0.05</v>
      </c>
      <c r="O52" s="1891" t="s">
        <v>1042</v>
      </c>
      <c r="P52" s="1882" t="s">
        <v>1540</v>
      </c>
      <c r="Q52" s="1883">
        <f ca="1">J53</f>
        <v>40</v>
      </c>
      <c r="R52" s="1883" t="s">
        <v>1541</v>
      </c>
    </row>
    <row r="53" spans="1:18" s="1839" customFormat="1" ht="24.75" thickBot="1">
      <c r="A53" s="1403" t="s">
        <v>1134</v>
      </c>
      <c r="B53" s="1828" t="s">
        <v>1404</v>
      </c>
      <c r="C53" s="360">
        <f ca="1">ROUND(IF(F53="押一",C49/12*F11,IF(F53="押二",C49/12*2*F11,IF(F53="押三",C49/12*3*F11,C54*F11))),0)</f>
        <v>0</v>
      </c>
      <c r="D53" s="1821" t="s">
        <v>3029</v>
      </c>
      <c r="E53" s="357" t="s">
        <v>1405</v>
      </c>
      <c r="F53" s="1364"/>
      <c r="I53" s="1902" t="s">
        <v>1542</v>
      </c>
      <c r="J53" s="2944">
        <f ca="1">IF(M47="住宅",IF(D1="——",MAX(J51,L48),MAX(J51,L48-'数据-取费表'!B24)),IF(D1="——",MIN(J51,L48),MIN(J51,L48-'数据-取费表'!B24)))</f>
        <v>40</v>
      </c>
      <c r="K53" s="3261" t="s">
        <v>1543</v>
      </c>
      <c r="L53" s="3262"/>
      <c r="O53" s="1881" t="s">
        <v>1043</v>
      </c>
      <c r="P53" s="1882" t="s">
        <v>1544</v>
      </c>
      <c r="Q53" s="1883">
        <f ca="1">Q47+Q48</f>
        <v>569</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t="s">
        <v>3082</v>
      </c>
      <c r="O55" s="1874" t="s">
        <v>1517</v>
      </c>
      <c r="P55" s="1875" t="s">
        <v>1518</v>
      </c>
      <c r="Q55" s="1876" t="s">
        <v>1519</v>
      </c>
      <c r="R55" s="1876" t="s">
        <v>1520</v>
      </c>
    </row>
    <row r="56" spans="1:18" s="1839" customFormat="1" ht="25.5" thickTop="1" thickBot="1">
      <c r="A56" s="1174">
        <v>2</v>
      </c>
      <c r="B56" s="1175" t="s">
        <v>1409</v>
      </c>
      <c r="C56" s="275">
        <f ca="1">C13</f>
        <v>96</v>
      </c>
      <c r="D56" s="1910"/>
      <c r="E56" s="1911"/>
      <c r="F56" s="1903"/>
      <c r="I56" s="1912" t="s">
        <v>1548</v>
      </c>
      <c r="J56" s="1913" t="s">
        <v>3066</v>
      </c>
      <c r="K56" s="1884" t="s">
        <v>1549</v>
      </c>
      <c r="L56" s="1887">
        <f ca="1">IF(L48&lt;J51,"——",L48-J53)</f>
        <v>0</v>
      </c>
      <c r="O56" s="1881" t="s">
        <v>1037</v>
      </c>
      <c r="P56" s="1882" t="s">
        <v>1523</v>
      </c>
      <c r="Q56" s="1883">
        <f ca="1">C40+J29</f>
        <v>569</v>
      </c>
      <c r="R56" s="1883" t="s">
        <v>1524</v>
      </c>
    </row>
    <row r="57" spans="1:18" s="1839" customFormat="1" ht="24.75" thickBot="1">
      <c r="A57" s="1914"/>
      <c r="B57" s="1167" t="s">
        <v>1473</v>
      </c>
      <c r="C57" s="281">
        <f ca="1">C29</f>
        <v>128</v>
      </c>
      <c r="D57" s="1915"/>
      <c r="E57" s="1916"/>
      <c r="F57" s="1917"/>
      <c r="I57" s="1918" t="s">
        <v>1550</v>
      </c>
      <c r="J57" s="1919" t="str">
        <f ca="1">IF(OR(M47="住宅",J51&lt;L48,J56="是"),"——",J51-L48)</f>
        <v>——</v>
      </c>
      <c r="K57" s="1884" t="s">
        <v>1551</v>
      </c>
      <c r="L57" s="1887">
        <f ca="1">IF(L48&lt;J51,"——",IF(L55="比较法",L49,IF(L55="基准地价",L50,L51)))</f>
        <v>73</v>
      </c>
      <c r="O57" s="1881" t="s">
        <v>1038</v>
      </c>
      <c r="P57" s="1882" t="s">
        <v>1552</v>
      </c>
      <c r="Q57" s="1883">
        <f ca="1">L60</f>
        <v>0</v>
      </c>
      <c r="R57" s="1883" t="s">
        <v>1553</v>
      </c>
    </row>
    <row r="58" spans="1:18" s="1839" customFormat="1" ht="24.75" thickBot="1">
      <c r="A58" s="359" t="s">
        <v>1027</v>
      </c>
      <c r="B58" s="1175" t="s">
        <v>1419</v>
      </c>
      <c r="C58" s="360">
        <f ca="1">ROUND(C59+C64+C65+C66,0)</f>
        <v>15</v>
      </c>
      <c r="D58" s="1177" t="s">
        <v>1420</v>
      </c>
      <c r="E58" s="1178"/>
      <c r="F58" s="1179"/>
      <c r="I58" s="1918" t="s">
        <v>1554</v>
      </c>
      <c r="J58" s="1920" t="e">
        <f ca="1">IF(J55&lt;0.4,0.4,J55)</f>
        <v>#VALUE!</v>
      </c>
      <c r="K58" s="1897" t="s">
        <v>1555</v>
      </c>
      <c r="L58" s="1887">
        <f ca="1">ROUND(POWER(1+L52,L47-L48)*(POWER(1+L52,L48)-1)/(POWER(1+L52,L47)-1),4)</f>
        <v>1</v>
      </c>
      <c r="O58" s="1891" t="s">
        <v>1039</v>
      </c>
      <c r="P58" s="1882" t="s">
        <v>1556</v>
      </c>
      <c r="Q58" s="1883">
        <f>IF(L55="比较法",L49,IF(L55="基准地价",L50,0))</f>
        <v>73</v>
      </c>
      <c r="R58" s="1883" t="s">
        <v>1524</v>
      </c>
    </row>
    <row r="59" spans="1:18" s="1839" customFormat="1" ht="24.75" thickBot="1">
      <c r="A59" s="1199" t="s">
        <v>1032</v>
      </c>
      <c r="B59" s="1167" t="s">
        <v>1424</v>
      </c>
      <c r="C59" s="24">
        <f ca="1">ROUND(IF(项目基本情况!B11="自然人",C48*F59,C60+C61+C62),1)</f>
        <v>10.8</v>
      </c>
      <c r="D59" s="1180" t="s">
        <v>1425</v>
      </c>
      <c r="E59" s="1181" t="s">
        <v>1426</v>
      </c>
      <c r="F59" s="367"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v>
      </c>
      <c r="M59" s="1835">
        <f ca="1">ROUND(POWER(1+L52,L47-(J51+'数据-取费表'!B24))*(POWER(1+L52,(J51+'数据-取费表'!B24))-1)/(POWER(1+L52,L47)-1),4)</f>
        <v>1</v>
      </c>
      <c r="N59" s="1835">
        <f ca="1">ROUND(POWER(1+L52,L47-(J51+'数据-取费表'!B20))*(POWER(1+L52,(J51+'数据-取费表'!B20))-1)/(POWER(1+L52,L47)-1),4)</f>
        <v>1.0079</v>
      </c>
      <c r="O59" s="1891" t="s">
        <v>1040</v>
      </c>
      <c r="P59" s="1882" t="s">
        <v>1558</v>
      </c>
      <c r="Q59" s="1894">
        <f>L52</f>
        <v>0.05</v>
      </c>
      <c r="R59" s="1883"/>
    </row>
    <row r="60" spans="1:18" s="1839" customFormat="1" ht="16.5" thickBot="1">
      <c r="A60" s="1199" t="s">
        <v>1031</v>
      </c>
      <c r="B60" s="1167" t="s">
        <v>1428</v>
      </c>
      <c r="C60" s="24">
        <f ca="1">IF(项目基本情况!B11="自然人","——",ROUND(C48*F60/(1+'数据-取费表'!C42),2))</f>
        <v>0</v>
      </c>
      <c r="D60" s="1181" t="s">
        <v>1429</v>
      </c>
      <c r="E60" s="1167" t="s">
        <v>1417</v>
      </c>
      <c r="F60" s="376">
        <f t="shared" ref="F60:F66" si="0">F32</f>
        <v>5.5000000000000007E-2</v>
      </c>
      <c r="I60" s="1921" t="s">
        <v>1559</v>
      </c>
      <c r="J60" s="1922" t="str">
        <f ca="1">IF(OR(M47="住宅",J51&lt;L48,J56="是"),"0",ROUND(J59/(1+J52)^J53,0))</f>
        <v>0</v>
      </c>
      <c r="K60" s="1923" t="s">
        <v>1560</v>
      </c>
      <c r="L60" s="1922">
        <f ca="1">IF(OR(M47="住宅",L48&lt;J51),0,ROUND(L57*(L58/L59-1),0))</f>
        <v>0</v>
      </c>
      <c r="O60" s="1891" t="s">
        <v>1041</v>
      </c>
      <c r="P60" s="1882" t="s">
        <v>1561</v>
      </c>
      <c r="Q60" s="1883">
        <f ca="1">L58</f>
        <v>1</v>
      </c>
      <c r="R60" s="1883" t="s">
        <v>1562</v>
      </c>
    </row>
    <row r="61" spans="1:18" s="1839" customFormat="1" ht="13.5" thickBot="1">
      <c r="A61" s="1199" t="s">
        <v>1487</v>
      </c>
      <c r="B61" s="1167" t="s">
        <v>1488</v>
      </c>
      <c r="C61" s="24">
        <f ca="1">IF(项目基本情况!B11="自然人","——",IF(D61="按租金收入计税",ROUND(C48*F61,2),IF(D61="按房产原值计税",ROUND(C57*F61*0.7,2),INDIRECT("'数据-取费表'!Aj"&amp;$G$1))))</f>
        <v>10.75</v>
      </c>
      <c r="D61" s="1825" t="s">
        <v>1433</v>
      </c>
      <c r="E61" s="1167" t="s">
        <v>1489</v>
      </c>
      <c r="F61" s="366">
        <f t="shared" si="0"/>
        <v>0.12</v>
      </c>
      <c r="I61" s="1924"/>
      <c r="J61" s="1924"/>
      <c r="K61" s="1924"/>
      <c r="L61" s="1924"/>
      <c r="O61" s="1891" t="s">
        <v>1042</v>
      </c>
      <c r="P61" s="1882" t="str">
        <f>K59</f>
        <v>建筑物剩余耐用年限下的土地年期修正系数Kn</v>
      </c>
      <c r="Q61" s="1883">
        <f ca="1">L59</f>
        <v>1</v>
      </c>
      <c r="R61" s="1883" t="s">
        <v>1563</v>
      </c>
    </row>
    <row r="62" spans="1:18" s="1839" customFormat="1" ht="13.5" thickBot="1">
      <c r="A62" s="1199" t="s">
        <v>1490</v>
      </c>
      <c r="B62" s="1166" t="s">
        <v>1491</v>
      </c>
      <c r="C62" s="25">
        <f ca="1">IF(项目基本情况!B11="自然人","——",ROUND(F62*F63/10000,2))</f>
        <v>0</v>
      </c>
      <c r="D62" s="1182" t="s">
        <v>1492</v>
      </c>
      <c r="E62" s="1167" t="s">
        <v>1493</v>
      </c>
      <c r="F62" s="370">
        <f t="shared" si="0"/>
        <v>6</v>
      </c>
      <c r="I62" s="1925" t="s">
        <v>1564</v>
      </c>
      <c r="J62" s="1926" t="s">
        <v>1565</v>
      </c>
      <c r="K62" s="1926" t="s">
        <v>1566</v>
      </c>
      <c r="L62" s="1926" t="s">
        <v>1567</v>
      </c>
      <c r="M62" s="1927" t="s">
        <v>1568</v>
      </c>
      <c r="O62" s="1881" t="s">
        <v>1043</v>
      </c>
      <c r="P62" s="1882" t="s">
        <v>1569</v>
      </c>
      <c r="Q62" s="1883">
        <f ca="1">Q56+Q57</f>
        <v>569</v>
      </c>
      <c r="R62" s="1883" t="s">
        <v>1044</v>
      </c>
    </row>
    <row r="63" spans="1:18" s="1839" customFormat="1" ht="13.5" thickBot="1">
      <c r="A63" s="371"/>
      <c r="B63" s="1173"/>
      <c r="C63" s="29"/>
      <c r="D63" s="1183"/>
      <c r="E63" s="1167" t="s">
        <v>1494</v>
      </c>
      <c r="F63" s="347">
        <f t="shared" ca="1" si="0"/>
        <v>0</v>
      </c>
      <c r="I63" s="1925" t="s">
        <v>1570</v>
      </c>
      <c r="J63" s="1926">
        <v>70</v>
      </c>
      <c r="K63" s="1926">
        <v>50</v>
      </c>
      <c r="L63" s="1926">
        <v>80</v>
      </c>
      <c r="M63" s="1928">
        <v>0.02</v>
      </c>
      <c r="O63" s="1866" t="s">
        <v>1571</v>
      </c>
      <c r="P63" s="1836"/>
      <c r="Q63" s="1836"/>
      <c r="R63" s="1836"/>
    </row>
    <row r="64" spans="1:18" s="1839" customFormat="1" ht="13.5" thickBot="1">
      <c r="A64" s="1199" t="s">
        <v>1495</v>
      </c>
      <c r="B64" s="1167" t="s">
        <v>1496</v>
      </c>
      <c r="C64" s="24">
        <f ca="1">ROUND(C57*F64,1)</f>
        <v>3.8</v>
      </c>
      <c r="D64" s="1181" t="s">
        <v>1497</v>
      </c>
      <c r="E64" s="1167" t="s">
        <v>1489</v>
      </c>
      <c r="F64" s="373">
        <f t="shared" ca="1" si="0"/>
        <v>0.03</v>
      </c>
      <c r="I64" s="1925" t="s">
        <v>1572</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0.1</v>
      </c>
      <c r="D65" s="1181" t="s">
        <v>1449</v>
      </c>
      <c r="E65" s="1167" t="s">
        <v>1450</v>
      </c>
      <c r="F65" s="375">
        <f t="shared" ca="1" si="0"/>
        <v>1.5E-3</v>
      </c>
      <c r="I65" s="1925" t="s">
        <v>1573</v>
      </c>
      <c r="J65" s="1926">
        <v>40</v>
      </c>
      <c r="K65" s="1926">
        <v>30</v>
      </c>
      <c r="L65" s="1926">
        <v>50</v>
      </c>
      <c r="M65" s="1928">
        <v>0.02</v>
      </c>
      <c r="O65" s="1881" t="s">
        <v>1037</v>
      </c>
      <c r="P65" s="1882" t="s">
        <v>1574</v>
      </c>
      <c r="Q65" s="1883">
        <f ca="1">C40+J29</f>
        <v>569</v>
      </c>
      <c r="R65" s="1883" t="s">
        <v>1524</v>
      </c>
    </row>
    <row r="66" spans="1:18" s="1839" customFormat="1" ht="16.5" thickBot="1">
      <c r="A66" s="1199" t="s">
        <v>1499</v>
      </c>
      <c r="B66" s="1167" t="s">
        <v>1434</v>
      </c>
      <c r="C66" s="24">
        <f ca="1">ROUND(C48*F66,1)</f>
        <v>0</v>
      </c>
      <c r="D66" s="1181" t="s">
        <v>1500</v>
      </c>
      <c r="E66" s="1167" t="s">
        <v>1417</v>
      </c>
      <c r="F66" s="356">
        <f t="shared" ca="1" si="0"/>
        <v>0.01</v>
      </c>
      <c r="O66" s="1881" t="s">
        <v>1038</v>
      </c>
      <c r="P66" s="1882" t="s">
        <v>1552</v>
      </c>
      <c r="Q66" s="1883">
        <f ca="1">L60</f>
        <v>0</v>
      </c>
      <c r="R66" s="1883" t="s">
        <v>1575</v>
      </c>
    </row>
    <row r="67" spans="1:18" s="1839" customFormat="1" ht="16.5" thickBot="1">
      <c r="A67" s="1174" t="s">
        <v>1028</v>
      </c>
      <c r="B67" s="1184" t="s">
        <v>1458</v>
      </c>
      <c r="C67" s="360">
        <f ca="1">C48-C58</f>
        <v>-15</v>
      </c>
      <c r="D67" s="1180" t="s">
        <v>1459</v>
      </c>
      <c r="E67" s="1185"/>
      <c r="F67" s="1186"/>
      <c r="O67" s="1891" t="s">
        <v>1039</v>
      </c>
      <c r="P67" s="1882" t="s">
        <v>1556</v>
      </c>
      <c r="Q67" s="1929">
        <f ca="1">L51</f>
        <v>278</v>
      </c>
      <c r="R67" s="1883" t="s">
        <v>1576</v>
      </c>
    </row>
    <row r="68" spans="1:18" s="1839" customFormat="1" ht="16.5" thickBot="1">
      <c r="A68" s="1164" t="s">
        <v>1029</v>
      </c>
      <c r="B68" s="1165" t="s">
        <v>1480</v>
      </c>
      <c r="C68" s="345">
        <f ca="1">ROUND(C67*(1-((1+F70)/(1+F68))^F69)/(F68-F70),0)</f>
        <v>-226</v>
      </c>
      <c r="D68" s="1182" t="s">
        <v>1464</v>
      </c>
      <c r="E68" s="1167" t="s">
        <v>1465</v>
      </c>
      <c r="F68" s="356">
        <f ca="1">F40</f>
        <v>0.06</v>
      </c>
      <c r="O68" s="1891" t="s">
        <v>1040</v>
      </c>
      <c r="P68" s="1930" t="s">
        <v>1577</v>
      </c>
      <c r="Q68" s="1883">
        <f ca="1">ROUND(Q69-Q70*Q71,0)</f>
        <v>17</v>
      </c>
      <c r="R68" s="1883" t="s">
        <v>1048</v>
      </c>
    </row>
    <row r="69" spans="1:18" s="1839" customFormat="1" ht="13.5" thickBot="1">
      <c r="A69" s="1168"/>
      <c r="B69" s="1169"/>
      <c r="C69" s="350"/>
      <c r="D69" s="1187" t="s">
        <v>1468</v>
      </c>
      <c r="E69" s="1167" t="s">
        <v>1469</v>
      </c>
      <c r="F69" s="378">
        <f ca="1">F41</f>
        <v>40</v>
      </c>
      <c r="O69" s="1891" t="s">
        <v>1045</v>
      </c>
      <c r="P69" s="1930" t="s">
        <v>1578</v>
      </c>
      <c r="Q69" s="1883">
        <f ca="1">C39</f>
        <v>25</v>
      </c>
      <c r="R69" s="1883" t="s">
        <v>1524</v>
      </c>
    </row>
    <row r="70" spans="1:18" s="1839" customFormat="1" ht="13.5" thickBot="1">
      <c r="A70" s="1171"/>
      <c r="B70" s="1172"/>
      <c r="C70" s="354"/>
      <c r="D70" s="1183"/>
      <c r="E70" s="1167" t="s">
        <v>1472</v>
      </c>
      <c r="F70" s="1273"/>
      <c r="O70" s="1891" t="s">
        <v>1046</v>
      </c>
      <c r="P70" s="1930" t="s">
        <v>1579</v>
      </c>
      <c r="Q70" s="1883">
        <f ca="1">C13</f>
        <v>96</v>
      </c>
      <c r="R70" s="1883" t="s">
        <v>1524</v>
      </c>
    </row>
    <row r="71" spans="1:18" s="1839" customFormat="1" ht="13.5" thickBot="1">
      <c r="A71" s="1188" t="s">
        <v>1030</v>
      </c>
      <c r="B71" s="1189" t="s">
        <v>1482</v>
      </c>
      <c r="C71" s="381">
        <f ca="1">ROUND(C68*10000/F71,0)</f>
        <v>-5328</v>
      </c>
      <c r="D71" s="1190" t="s">
        <v>1483</v>
      </c>
      <c r="E71" s="1191" t="s">
        <v>1484</v>
      </c>
      <c r="F71" s="384">
        <f ca="1">F43</f>
        <v>424.2</v>
      </c>
      <c r="O71" s="1891" t="s">
        <v>1047</v>
      </c>
      <c r="P71" s="1930" t="s">
        <v>1580</v>
      </c>
      <c r="Q71" s="1894">
        <f ca="1">C76</f>
        <v>0.08</v>
      </c>
      <c r="R71" s="1883"/>
    </row>
    <row r="72" spans="1:18" s="1839" customFormat="1" ht="13.5" thickBot="1">
      <c r="B72" s="795"/>
      <c r="C72" s="795"/>
      <c r="O72" s="1891" t="s">
        <v>1041</v>
      </c>
      <c r="P72" s="1882" t="s">
        <v>1558</v>
      </c>
      <c r="Q72" s="1894">
        <f>L52</f>
        <v>0.05</v>
      </c>
      <c r="R72" s="1883"/>
    </row>
    <row r="73" spans="1:18" ht="16.5" thickBot="1">
      <c r="A73" s="1839"/>
      <c r="B73" s="795"/>
      <c r="C73" s="795"/>
      <c r="D73" s="1839"/>
      <c r="E73" s="1839"/>
      <c r="F73" s="1839"/>
      <c r="O73" s="1891" t="s">
        <v>1042</v>
      </c>
      <c r="P73" s="1882" t="s">
        <v>1561</v>
      </c>
      <c r="Q73" s="1883">
        <f ca="1">L58</f>
        <v>1</v>
      </c>
      <c r="R73" s="1883" t="s">
        <v>1562</v>
      </c>
    </row>
    <row r="74" spans="1:18" ht="13.5" thickBot="1">
      <c r="A74" s="1839"/>
      <c r="B74" s="316" t="s">
        <v>1581</v>
      </c>
      <c r="C74" s="1932"/>
      <c r="D74" s="1839"/>
      <c r="E74" s="1839"/>
      <c r="F74" s="1839"/>
      <c r="O74" s="1891" t="s">
        <v>1049</v>
      </c>
      <c r="P74" s="1882" t="str">
        <f>K59</f>
        <v>建筑物剩余耐用年限下的土地年期修正系数Kn</v>
      </c>
      <c r="Q74" s="1883">
        <f ca="1">L59</f>
        <v>1</v>
      </c>
      <c r="R74" s="1883" t="s">
        <v>1563</v>
      </c>
    </row>
    <row r="75" spans="1:18" ht="13.5" thickBot="1">
      <c r="A75" s="1839"/>
      <c r="B75" s="385" t="s">
        <v>1501</v>
      </c>
      <c r="C75" s="386">
        <f ca="1">ROUND(C13*C76,0)</f>
        <v>8</v>
      </c>
      <c r="D75" s="1839"/>
      <c r="E75" s="1839"/>
      <c r="F75" s="1839"/>
      <c r="K75" s="1865"/>
      <c r="L75" s="1839"/>
      <c r="O75" s="1881" t="s">
        <v>1043</v>
      </c>
      <c r="P75" s="1882" t="s">
        <v>1544</v>
      </c>
      <c r="Q75" s="1883">
        <f ca="1">Q65+Q66</f>
        <v>569</v>
      </c>
      <c r="R75" s="1883" t="s">
        <v>1044</v>
      </c>
    </row>
    <row r="76" spans="1:18">
      <c r="B76" s="387" t="s">
        <v>1502</v>
      </c>
      <c r="C76" s="388">
        <f ca="1">INDIRECT("'数据-取费表'!j"&amp;$G$1)</f>
        <v>0.08</v>
      </c>
      <c r="I76" s="1839"/>
      <c r="J76" s="1839"/>
      <c r="K76" s="1865"/>
      <c r="L76" s="1839"/>
    </row>
    <row r="77" spans="1:18">
      <c r="B77" s="389" t="s">
        <v>1503</v>
      </c>
      <c r="C77" s="390"/>
      <c r="I77" s="1839"/>
      <c r="J77" s="1839"/>
      <c r="K77" s="1865"/>
      <c r="L77" s="1839"/>
    </row>
    <row r="78" spans="1:18">
      <c r="B78" s="313" t="s">
        <v>1504</v>
      </c>
      <c r="C78" s="391"/>
    </row>
    <row r="79" spans="1:18">
      <c r="B79" s="385" t="s">
        <v>1505</v>
      </c>
      <c r="C79" s="317">
        <f ca="1">1-C80</f>
        <v>0.67999999999999994</v>
      </c>
    </row>
    <row r="80" spans="1:18">
      <c r="B80" s="385" t="s">
        <v>1506</v>
      </c>
      <c r="C80" s="317">
        <f ca="1">ROUND(C75/C39,3)</f>
        <v>0.32</v>
      </c>
    </row>
    <row r="81" spans="2:3">
      <c r="B81" s="313" t="s">
        <v>1507</v>
      </c>
      <c r="C81" s="281"/>
    </row>
    <row r="82" spans="2:3">
      <c r="B82" s="316" t="s">
        <v>1508</v>
      </c>
      <c r="C82" s="318">
        <f ca="1">1-C83</f>
        <v>0.83099999999999996</v>
      </c>
    </row>
    <row r="83" spans="2:3">
      <c r="B83" s="316" t="s">
        <v>1509</v>
      </c>
      <c r="C83" s="317">
        <f ca="1">ROUND(C13/C40,3)</f>
        <v>0.16900000000000001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1583</v>
      </c>
      <c r="B1" s="781"/>
      <c r="C1" s="1834" t="s">
        <v>1373</v>
      </c>
      <c r="D1" s="1817" t="s">
        <v>70</v>
      </c>
      <c r="E1" s="1818" t="s">
        <v>1382</v>
      </c>
      <c r="F1" s="1281">
        <f ca="1">J53</f>
        <v>40</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1584</v>
      </c>
      <c r="B2" s="1841">
        <f ca="1">ROUND(D2/10000,0)</f>
        <v>563</v>
      </c>
      <c r="C2" s="1842" t="s">
        <v>1585</v>
      </c>
      <c r="D2" s="1934">
        <f ca="1">C40+J29+L46</f>
        <v>5628362</v>
      </c>
      <c r="E2" s="1843" t="s">
        <v>1586</v>
      </c>
      <c r="F2" s="1844"/>
      <c r="G2" s="1845"/>
      <c r="H2" s="1837"/>
      <c r="I2" s="1837"/>
      <c r="J2" s="1837"/>
      <c r="K2" s="1838"/>
      <c r="L2" s="1837"/>
      <c r="M2" s="1837"/>
    </row>
    <row r="3" spans="1:37" ht="18" customHeight="1" thickBot="1">
      <c r="A3" s="1846" t="s">
        <v>1587</v>
      </c>
      <c r="B3" s="1847">
        <f ca="1">IF(ISERROR(D2/F43),0,ROUND(D2/F43,0))</f>
        <v>13268</v>
      </c>
      <c r="C3" s="1842" t="s">
        <v>1588</v>
      </c>
      <c r="D3" s="1842"/>
      <c r="E3" s="1843"/>
      <c r="F3" s="1844"/>
      <c r="G3" s="1845"/>
      <c r="H3" s="743" t="s">
        <v>1582</v>
      </c>
      <c r="I3" s="1837"/>
      <c r="J3" s="1837"/>
      <c r="K3" s="1838"/>
      <c r="L3" s="1837"/>
      <c r="M3" s="1837"/>
    </row>
    <row r="4" spans="1:37" ht="18" customHeight="1">
      <c r="A4" s="339" t="s">
        <v>1589</v>
      </c>
      <c r="B4" s="340" t="s">
        <v>1590</v>
      </c>
      <c r="C4" s="340" t="s">
        <v>1591</v>
      </c>
      <c r="D4" s="340" t="s">
        <v>1592</v>
      </c>
      <c r="E4" s="341" t="s">
        <v>1593</v>
      </c>
      <c r="F4" s="342"/>
      <c r="G4" s="1848"/>
      <c r="H4" s="339" t="s">
        <v>1589</v>
      </c>
      <c r="I4" s="340" t="s">
        <v>1590</v>
      </c>
      <c r="J4" s="340" t="s">
        <v>1591</v>
      </c>
      <c r="K4" s="340" t="s">
        <v>1592</v>
      </c>
      <c r="L4" s="341" t="s">
        <v>1593</v>
      </c>
      <c r="M4" s="342"/>
    </row>
    <row r="5" spans="1:37" ht="18" customHeight="1">
      <c r="A5" s="343">
        <v>1</v>
      </c>
      <c r="B5" s="344" t="s">
        <v>1594</v>
      </c>
      <c r="C5" s="1290">
        <f ca="1">C6+C10+C12</f>
        <v>348809</v>
      </c>
      <c r="D5" s="1819" t="s">
        <v>1595</v>
      </c>
      <c r="E5" s="1291"/>
      <c r="F5" s="1292"/>
      <c r="G5" s="1848"/>
      <c r="H5" s="343">
        <v>1</v>
      </c>
      <c r="I5" s="344" t="s">
        <v>1594</v>
      </c>
      <c r="J5" s="1290">
        <f ca="1">J6+J10+J12</f>
        <v>0</v>
      </c>
      <c r="K5" s="1819" t="s">
        <v>1595</v>
      </c>
      <c r="L5" s="1291"/>
      <c r="M5" s="1292"/>
    </row>
    <row r="6" spans="1:37" ht="18" customHeight="1">
      <c r="A6" s="1289" t="s">
        <v>1032</v>
      </c>
      <c r="B6" s="3263" t="s">
        <v>1398</v>
      </c>
      <c r="C6" s="1294">
        <f ca="1">ROUND(F6*F8*F7*(1-F9),0)</f>
        <v>348374</v>
      </c>
      <c r="D6" s="163" t="s">
        <v>3018</v>
      </c>
      <c r="E6" s="346" t="s">
        <v>1400</v>
      </c>
      <c r="F6" s="347">
        <f ca="1">INDIRECT("'数据-取费表'!u"&amp;$G$1)</f>
        <v>2.5</v>
      </c>
      <c r="G6" s="1848"/>
      <c r="H6" s="1289" t="s">
        <v>1032</v>
      </c>
      <c r="I6" s="3263" t="s">
        <v>1398</v>
      </c>
      <c r="J6" s="345">
        <f ca="1">ROUND(M6*M8*M7*(1-M9),0)</f>
        <v>0</v>
      </c>
      <c r="K6" s="1831" t="s">
        <v>3019</v>
      </c>
      <c r="L6" s="346" t="s">
        <v>1400</v>
      </c>
      <c r="M6" s="347">
        <f ca="1">INDIRECT("'数据-取费表'!z"&amp;$G$1)</f>
        <v>0</v>
      </c>
    </row>
    <row r="7" spans="1:37" ht="18" customHeight="1">
      <c r="A7" s="1293"/>
      <c r="B7" s="3264"/>
      <c r="C7" s="1295"/>
      <c r="D7" s="351"/>
      <c r="E7" s="1296" t="s">
        <v>1401</v>
      </c>
      <c r="F7" s="347">
        <f ca="1">IF(INDIRECT("'数据-取费表'!ah"&amp;$G$1)="",INDIRECT("'数据-取费表'!k"&amp;$G$1),INDIRECT("'数据-取费表'!ah"&amp;$G$1))</f>
        <v>424.2</v>
      </c>
      <c r="G7" s="1848"/>
      <c r="H7" s="348"/>
      <c r="I7" s="3264"/>
      <c r="J7" s="350"/>
      <c r="K7" s="351"/>
      <c r="L7" s="346" t="s">
        <v>1401</v>
      </c>
      <c r="M7" s="347">
        <f ca="1">F7</f>
        <v>424.2</v>
      </c>
    </row>
    <row r="8" spans="1:37" ht="18" customHeight="1">
      <c r="A8" s="348"/>
      <c r="B8" s="3264"/>
      <c r="C8" s="350"/>
      <c r="D8" s="351"/>
      <c r="E8" s="346" t="s">
        <v>1402</v>
      </c>
      <c r="F8" s="347">
        <f ca="1">INDIRECT("'数据-取费表'!ai"&amp;$G$1)</f>
        <v>365</v>
      </c>
      <c r="G8" s="1848"/>
      <c r="H8" s="348"/>
      <c r="I8" s="3264"/>
      <c r="J8" s="350"/>
      <c r="K8" s="351"/>
      <c r="L8" s="346" t="s">
        <v>1402</v>
      </c>
      <c r="M8" s="347">
        <f ca="1">INDIRECT("'数据-取费表'!ai"&amp;$G$1)</f>
        <v>365</v>
      </c>
    </row>
    <row r="9" spans="1:37" ht="18" customHeight="1">
      <c r="A9" s="348"/>
      <c r="B9" s="3265"/>
      <c r="C9" s="350"/>
      <c r="D9" s="351"/>
      <c r="E9" s="346" t="s">
        <v>1403</v>
      </c>
      <c r="F9" s="356">
        <f ca="1">INDIRECT("'数据-取费表'!w"&amp;$G$1)</f>
        <v>0.1</v>
      </c>
      <c r="G9" s="1848"/>
      <c r="H9" s="348"/>
      <c r="I9" s="3265"/>
      <c r="J9" s="350"/>
      <c r="K9" s="351"/>
      <c r="L9" s="357" t="s">
        <v>1403</v>
      </c>
      <c r="M9" s="358">
        <f ca="1">INDIRECT("'数据-取费表'!ab"&amp;$G$1)</f>
        <v>0</v>
      </c>
    </row>
    <row r="10" spans="1:37" ht="18" customHeight="1">
      <c r="A10" s="1289" t="s">
        <v>1036</v>
      </c>
      <c r="B10" s="1820" t="s">
        <v>1404</v>
      </c>
      <c r="C10" s="360">
        <f ca="1">ROUND(IF(F10="押一",C6/12*F11,IF(F10="押二",C6/12*2*F11,IF(F10="押三",C6/12*3*F11,C11*F11))),0)</f>
        <v>435</v>
      </c>
      <c r="D10" s="1821" t="s">
        <v>3029</v>
      </c>
      <c r="E10" s="357" t="s">
        <v>1405</v>
      </c>
      <c r="F10" s="1364" t="s">
        <v>3074</v>
      </c>
      <c r="G10" s="1848"/>
      <c r="H10" s="1289" t="s">
        <v>1036</v>
      </c>
      <c r="I10" s="1820" t="s">
        <v>1404</v>
      </c>
      <c r="J10" s="345">
        <f ca="1">ROUND(IF(M10="押一",J6/12*M11,IF(M10="押二",J6/12*2*M11,IF(M10="押三",J6/12*3*M11,J11*M11))),0)</f>
        <v>0</v>
      </c>
      <c r="K10" s="1832" t="s">
        <v>3031</v>
      </c>
      <c r="L10" s="357" t="s">
        <v>1405</v>
      </c>
      <c r="M10" s="1364"/>
    </row>
    <row r="11" spans="1:37" ht="18" customHeight="1">
      <c r="A11" s="352"/>
      <c r="B11" s="1822" t="s">
        <v>1596</v>
      </c>
      <c r="C11" s="1176"/>
      <c r="D11" s="351"/>
      <c r="E11" s="357" t="s">
        <v>1407</v>
      </c>
      <c r="F11" s="358">
        <f ca="1">'数据-取费表'!B39</f>
        <v>1.4999999999999999E-2</v>
      </c>
      <c r="G11" s="1848"/>
      <c r="H11" s="1297"/>
      <c r="I11" s="1822" t="s">
        <v>1597</v>
      </c>
      <c r="J11" s="1176"/>
      <c r="K11" s="747"/>
      <c r="L11" s="357" t="s">
        <v>1407</v>
      </c>
      <c r="M11" s="1055">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f ca="1">ROUND(C29*F13,0)</f>
        <v>963566</v>
      </c>
      <c r="D13" s="1329" t="s">
        <v>1410</v>
      </c>
      <c r="E13" s="1329" t="s">
        <v>1411</v>
      </c>
      <c r="F13" s="1330">
        <f ca="1">INDIRECT("'数据-取费表'!y"&amp;$G$1)</f>
        <v>0.75</v>
      </c>
      <c r="G13" s="1848"/>
      <c r="H13" s="1327">
        <v>2</v>
      </c>
      <c r="I13" s="1328" t="s">
        <v>1409</v>
      </c>
      <c r="J13" s="1288">
        <f ca="1">ROUND(J14*J15,0)</f>
        <v>0</v>
      </c>
      <c r="K13" s="1335" t="s">
        <v>1410</v>
      </c>
      <c r="L13" s="1849"/>
      <c r="M13" s="1850"/>
    </row>
    <row r="14" spans="1:37" ht="18" customHeight="1">
      <c r="A14" s="1199" t="s">
        <v>1031</v>
      </c>
      <c r="B14" s="346" t="s">
        <v>1412</v>
      </c>
      <c r="C14" s="362">
        <f ca="1">ROUND(INDIRECT("'数据-取费表'!l"&amp;$G$1)*F43+'数据-取费表'!L14*INDIRECT("'数据-取费表'!S"&amp;$G$1),0)</f>
        <v>933240</v>
      </c>
      <c r="D14" s="1797" t="s">
        <v>1413</v>
      </c>
      <c r="E14" s="1791"/>
      <c r="F14" s="363"/>
      <c r="G14" s="1848"/>
      <c r="H14" s="1199" t="s">
        <v>1032</v>
      </c>
      <c r="I14" s="346" t="s">
        <v>1414</v>
      </c>
      <c r="J14" s="24">
        <f ca="1">C29</f>
        <v>1284754</v>
      </c>
      <c r="K14" s="15"/>
      <c r="L14" s="978"/>
      <c r="M14" s="979"/>
    </row>
    <row r="15" spans="1:37" s="1855" customFormat="1" ht="18" customHeight="1" thickBot="1">
      <c r="A15" s="1199" t="s">
        <v>1033</v>
      </c>
      <c r="B15" s="346" t="s">
        <v>1415</v>
      </c>
      <c r="C15" s="24">
        <f ca="1">ROUND(C14*F15,0)</f>
        <v>27997</v>
      </c>
      <c r="D15" s="364" t="s">
        <v>1416</v>
      </c>
      <c r="E15" s="364" t="s">
        <v>1417</v>
      </c>
      <c r="F15" s="365">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f ca="1">ROUND(INDIRECT("'数据-取费表'!l"&amp;$G$1)*F43*F16,0)</f>
        <v>0</v>
      </c>
      <c r="D16" s="346" t="s">
        <v>1416</v>
      </c>
      <c r="E16" s="346" t="s">
        <v>1417</v>
      </c>
      <c r="F16" s="366">
        <f ca="1">IF(INDIRECT("'数据-取费表'!c"&amp;$G$1)="住宅",'数据-取费表'!B34,0)</f>
        <v>0</v>
      </c>
      <c r="G16" s="1848"/>
      <c r="H16" s="1327" t="s">
        <v>1027</v>
      </c>
      <c r="I16" s="1328" t="s">
        <v>1419</v>
      </c>
      <c r="J16" s="354">
        <f ca="1">ROUND(J17+J22+J23+J24,0)</f>
        <v>49335</v>
      </c>
      <c r="K16" s="1335" t="s">
        <v>1420</v>
      </c>
      <c r="L16" s="1336"/>
      <c r="M16" s="1292"/>
    </row>
    <row r="17" spans="1:37" s="1855" customFormat="1" ht="18" customHeight="1">
      <c r="A17" s="1199" t="s">
        <v>1385</v>
      </c>
      <c r="B17" s="346" t="s">
        <v>1421</v>
      </c>
      <c r="C17" s="24">
        <f ca="1">ROUND(F17*(F43+INDIRECT("'数据-取费表'!S"&amp;$G$1)),0)</f>
        <v>63630</v>
      </c>
      <c r="D17" s="346" t="s">
        <v>1422</v>
      </c>
      <c r="E17" s="346" t="s">
        <v>1423</v>
      </c>
      <c r="F17" s="26">
        <f>'数据-取费表'!B35</f>
        <v>150</v>
      </c>
      <c r="G17" s="1851"/>
      <c r="H17" s="1199" t="s">
        <v>1032</v>
      </c>
      <c r="I17" s="346" t="s">
        <v>1424</v>
      </c>
      <c r="J17" s="24">
        <f ca="1">ROUND(IF(项目基本情况!B11="自然人",J6*M17/(1+'数据-取费表'!C42),J18+J19+J20),0)</f>
        <v>10792</v>
      </c>
      <c r="K17" s="1797" t="s">
        <v>1425</v>
      </c>
      <c r="L17" s="1795"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f ca="1">ROUND(C14*F18,0)</f>
        <v>13999</v>
      </c>
      <c r="D18" s="346" t="s">
        <v>1416</v>
      </c>
      <c r="E18" s="346" t="s">
        <v>1417</v>
      </c>
      <c r="F18" s="366">
        <f>'数据-取费表'!B36</f>
        <v>1.4999999999999999E-2</v>
      </c>
      <c r="G18" s="1851"/>
      <c r="H18" s="1199" t="s">
        <v>1031</v>
      </c>
      <c r="I18" s="346" t="s">
        <v>1428</v>
      </c>
      <c r="J18" s="24">
        <f ca="1">ROUND(J6*M18/(1+'数据-取费表'!C42),0)</f>
        <v>0</v>
      </c>
      <c r="K18" s="1795" t="s">
        <v>1429</v>
      </c>
      <c r="L18" s="346" t="s">
        <v>1417</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f ca="1">SUM(C14:C18)</f>
        <v>1038866</v>
      </c>
      <c r="D19" s="139" t="s">
        <v>1431</v>
      </c>
      <c r="E19" s="1815"/>
      <c r="F19" s="26"/>
      <c r="G19" s="1848"/>
      <c r="H19" s="1199" t="s">
        <v>1033</v>
      </c>
      <c r="I19" s="346" t="s">
        <v>1432</v>
      </c>
      <c r="J19" s="24">
        <f ca="1">IF(K19="按租金收入计税",ROUND(J6*M19/(1+'数据-取费表'!C42),0),ROUND(C29*M19*0.7,0))</f>
        <v>10792</v>
      </c>
      <c r="K19" s="1825" t="s">
        <v>1433</v>
      </c>
      <c r="L19" s="346" t="s">
        <v>1417</v>
      </c>
      <c r="M19" s="366">
        <f>IF(K19="按租金收入计税",'数据-取费表'!B51,'数据-取费表'!B50)</f>
        <v>1.2E-2</v>
      </c>
    </row>
    <row r="20" spans="1:37" s="1855" customFormat="1" ht="18" customHeight="1">
      <c r="A20" s="1199" t="s">
        <v>1036</v>
      </c>
      <c r="B20" s="346" t="s">
        <v>1434</v>
      </c>
      <c r="C20" s="24">
        <f ca="1">ROUND(C19*F20,0)</f>
        <v>20777</v>
      </c>
      <c r="D20" s="368" t="s">
        <v>1435</v>
      </c>
      <c r="E20" s="346" t="s">
        <v>1417</v>
      </c>
      <c r="F20" s="366">
        <f>'数据-取费表'!B37</f>
        <v>0.02</v>
      </c>
      <c r="G20" s="1851"/>
      <c r="H20" s="1199" t="s">
        <v>1384</v>
      </c>
      <c r="I20" s="163" t="s">
        <v>1436</v>
      </c>
      <c r="J20" s="25">
        <f ca="1">ROUND(M20*M21,0)</f>
        <v>0</v>
      </c>
      <c r="K20" s="369" t="s">
        <v>1437</v>
      </c>
      <c r="L20" s="346" t="s">
        <v>1438</v>
      </c>
      <c r="M20" s="370">
        <f>'数据-取费表'!B52</f>
        <v>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v>
      </c>
      <c r="D21" s="368" t="s">
        <v>1440</v>
      </c>
      <c r="E21" s="346" t="s">
        <v>1441</v>
      </c>
      <c r="F21" s="366">
        <f>'数据-取费表'!B38</f>
        <v>0.02</v>
      </c>
      <c r="G21" s="1851"/>
      <c r="H21" s="371"/>
      <c r="I21" s="355"/>
      <c r="J21" s="29"/>
      <c r="K21" s="372"/>
      <c r="L21" s="346" t="s">
        <v>1442</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单利计息。建造成本、管理费用、销售费用产生的利息。</v>
      </c>
      <c r="E22" s="1815"/>
      <c r="F22" s="26"/>
      <c r="G22" s="1848"/>
      <c r="H22" s="1199" t="s">
        <v>1036</v>
      </c>
      <c r="I22" s="346" t="s">
        <v>1444</v>
      </c>
      <c r="J22" s="24">
        <f ca="1">ROUND(J14*M22,0)</f>
        <v>38543</v>
      </c>
      <c r="K22" s="1795" t="s">
        <v>1445</v>
      </c>
      <c r="L22" s="346" t="s">
        <v>1417</v>
      </c>
      <c r="M22" s="373">
        <f ca="1">INDIRECT("'数据-取费表'!Ak"&amp;$G$1)</f>
        <v>0.03</v>
      </c>
    </row>
    <row r="23" spans="1:37" s="1855" customFormat="1" ht="18" customHeight="1">
      <c r="A23" s="1199" t="s">
        <v>1031</v>
      </c>
      <c r="B23" s="346" t="s">
        <v>1446</v>
      </c>
      <c r="C23" s="24">
        <f ca="1">IF('数据-取费表'!B22&lt;=1,ROUND(C19*F24*F23/2,0)+ROUND(C20*F24*F23/2,0),ROUND(C19*(POWER((1+F24),F23/2)-1),0)+ROUND(C20*(POWER((1+F24),F23/2)-1),0))</f>
        <v>23047</v>
      </c>
      <c r="D23" s="374" t="str">
        <f>IF(F23&lt;=1,"(建造成本+管理费用)×利率×(建设周期÷2)","(建造成本+管理费用)×((1+利率)^(建设周期÷2)-1)")</f>
        <v>(建造成本+管理费用)×利率×(建设周期÷2)</v>
      </c>
      <c r="E23" s="346" t="s">
        <v>1447</v>
      </c>
      <c r="F23" s="370">
        <f>'数据-取费表'!B20</f>
        <v>1</v>
      </c>
      <c r="G23" s="1851"/>
      <c r="H23" s="1199" t="s">
        <v>1072</v>
      </c>
      <c r="I23" s="346" t="s">
        <v>1448</v>
      </c>
      <c r="J23" s="24">
        <f ca="1">ROUND(J13*M23,0)</f>
        <v>0</v>
      </c>
      <c r="K23" s="1795" t="s">
        <v>1449</v>
      </c>
      <c r="L23" s="346" t="s">
        <v>1450</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6" t="s">
        <v>1452</v>
      </c>
      <c r="C24" s="24">
        <f ca="1">ROUND(IF('数据-取费表'!B22&lt;=1,F21*F24*F23/2,F21*(POWER((1+F24),F23/2)-1)),4)</f>
        <v>4.0000000000000002E-4</v>
      </c>
      <c r="D24" s="374" t="str">
        <f>IF(F23&lt;=1,"销售费用×利率×(建设周期÷2)","销售费用×((1+利率)^(建设周期÷2)-1)")</f>
        <v>销售费用×利率×(建设周期÷2)</v>
      </c>
      <c r="E24" s="346" t="s">
        <v>1453</v>
      </c>
      <c r="F24" s="376">
        <f ca="1">'数据-取费表'!B40</f>
        <v>4.3499999999999997E-2</v>
      </c>
      <c r="G24" s="1851"/>
      <c r="H24" s="1337" t="s">
        <v>1388</v>
      </c>
      <c r="I24" s="1338" t="s">
        <v>1434</v>
      </c>
      <c r="J24" s="1339">
        <f ca="1">ROUND(J5*M24,0)</f>
        <v>0</v>
      </c>
      <c r="K24" s="1340" t="s">
        <v>1454</v>
      </c>
      <c r="L24" s="1338" t="s">
        <v>1450</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6" t="s">
        <v>1456</v>
      </c>
      <c r="C25" s="24"/>
      <c r="D25" s="139" t="s">
        <v>1457</v>
      </c>
      <c r="E25" s="1815"/>
      <c r="F25" s="26"/>
      <c r="G25" s="1848"/>
      <c r="H25" s="1327" t="s">
        <v>1028</v>
      </c>
      <c r="I25" s="1342" t="s">
        <v>1458</v>
      </c>
      <c r="J25" s="354">
        <f ca="1">J5-J16</f>
        <v>-49335</v>
      </c>
      <c r="K25" s="1343" t="s">
        <v>1459</v>
      </c>
      <c r="L25" s="1344"/>
      <c r="M25" s="1345"/>
    </row>
    <row r="26" spans="1:37" ht="18" customHeight="1">
      <c r="A26" s="1199" t="s">
        <v>1031</v>
      </c>
      <c r="B26" s="346" t="s">
        <v>1460</v>
      </c>
      <c r="C26" s="24">
        <f ca="1">ROUND((C19+C20)*F26,0)</f>
        <v>105964</v>
      </c>
      <c r="D26" s="368" t="s">
        <v>1461</v>
      </c>
      <c r="E26" s="357" t="s">
        <v>1462</v>
      </c>
      <c r="F26" s="356">
        <f ca="1">INDIRECT("'数据-取费表'!q"&amp;$G$1)</f>
        <v>0.1</v>
      </c>
      <c r="G26" s="1848"/>
      <c r="H26" s="343" t="s">
        <v>1029</v>
      </c>
      <c r="I26" s="344" t="s">
        <v>1463</v>
      </c>
      <c r="J26" s="345">
        <f ca="1">IF(J5&lt;&gt;0,ROUND(J25*(1-((1+M28)/(1+M26))^M27)/(M26-M28),0),0)</f>
        <v>0</v>
      </c>
      <c r="K26" s="369" t="s">
        <v>1464</v>
      </c>
      <c r="L26" s="346" t="s">
        <v>1465</v>
      </c>
      <c r="M26" s="356">
        <f ca="1">INDIRECT("'数据-取费表'!I"&amp;$G$1)</f>
        <v>0.06</v>
      </c>
    </row>
    <row r="27" spans="1:37" ht="18" customHeight="1">
      <c r="A27" s="1199" t="s">
        <v>1033</v>
      </c>
      <c r="B27" s="346" t="s">
        <v>1466</v>
      </c>
      <c r="C27" s="24">
        <f ca="1">ROUND(F21*F26,4)</f>
        <v>2E-3</v>
      </c>
      <c r="D27" s="368" t="s">
        <v>1467</v>
      </c>
      <c r="E27" s="364"/>
      <c r="F27" s="365"/>
      <c r="G27" s="1848"/>
      <c r="H27" s="348"/>
      <c r="I27" s="349"/>
      <c r="J27" s="350"/>
      <c r="K27" s="377" t="s">
        <v>1468</v>
      </c>
      <c r="L27" s="346" t="s">
        <v>1469</v>
      </c>
      <c r="M27" s="378">
        <f ca="1">INDIRECT("'数据-取费表'!ag"&amp;$G$1)</f>
        <v>0</v>
      </c>
    </row>
    <row r="28" spans="1:37" s="1855" customFormat="1" ht="18" customHeight="1">
      <c r="A28" s="1199" t="s">
        <v>1034</v>
      </c>
      <c r="B28" s="346" t="s">
        <v>1470</v>
      </c>
      <c r="C28" s="24">
        <f>ROUND(F28/(1+'数据-取费表'!C42),4)</f>
        <v>5.2400000000000002E-2</v>
      </c>
      <c r="D28" s="368" t="s">
        <v>1471</v>
      </c>
      <c r="E28" s="346" t="s">
        <v>1417</v>
      </c>
      <c r="F28" s="366">
        <f>'数据-取费表'!B41</f>
        <v>5.5000000000000007E-2</v>
      </c>
      <c r="G28" s="1851"/>
      <c r="H28" s="352"/>
      <c r="I28" s="353"/>
      <c r="J28" s="354"/>
      <c r="K28" s="372"/>
      <c r="L28" s="346" t="s">
        <v>1472</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1284754</v>
      </c>
      <c r="D29" s="1340"/>
      <c r="E29" s="1338"/>
      <c r="F29" s="1341"/>
      <c r="G29" s="1851"/>
      <c r="H29" s="379" t="s">
        <v>1030</v>
      </c>
      <c r="I29" s="380" t="s">
        <v>1474</v>
      </c>
      <c r="J29" s="381">
        <f ca="1">ROUND(J26/(1+F40)^F41,0)</f>
        <v>0</v>
      </c>
      <c r="K29" s="382" t="s">
        <v>1475</v>
      </c>
      <c r="L29" s="383"/>
      <c r="M29" s="384">
        <f ca="1">INDIRECT("'数据-取费表'!k"&amp;$G$1)</f>
        <v>424.2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f ca="1">ROUND(C31+C36+C37+C38,0)</f>
        <v>101538</v>
      </c>
      <c r="D30" s="1335" t="s">
        <v>1420</v>
      </c>
      <c r="E30" s="1336"/>
      <c r="F30" s="1292"/>
      <c r="G30" s="1848"/>
      <c r="H30" s="744"/>
      <c r="I30" s="745"/>
      <c r="J30" s="746"/>
      <c r="K30" s="747"/>
      <c r="L30" s="748"/>
      <c r="M30" s="749"/>
    </row>
    <row r="31" spans="1:37" ht="18" customHeight="1">
      <c r="A31" s="1199" t="s">
        <v>1032</v>
      </c>
      <c r="B31" s="346" t="s">
        <v>1424</v>
      </c>
      <c r="C31" s="24">
        <f ca="1">ROUND(IF(项目基本情况!B11="自然人",C6*F31/(1+'数据-取费表'!C42),C32+C33+C34),0)</f>
        <v>58062</v>
      </c>
      <c r="D31" s="1797" t="s">
        <v>1425</v>
      </c>
      <c r="E31" s="1795"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f ca="1">IF(项目基本情况!B11="自然人","——",ROUND(C6*F32/(1+'数据-取费表'!C42),0))</f>
        <v>18248</v>
      </c>
      <c r="D32" s="1795" t="s">
        <v>1429</v>
      </c>
      <c r="E32" s="346" t="s">
        <v>1417</v>
      </c>
      <c r="F32" s="376">
        <f>'数据-取费表'!B41</f>
        <v>5.5000000000000007E-2</v>
      </c>
      <c r="G32" s="1848"/>
      <c r="H32" s="744"/>
      <c r="I32" s="745"/>
      <c r="J32" s="746"/>
      <c r="K32" s="747"/>
      <c r="L32" s="748"/>
      <c r="M32" s="749"/>
    </row>
    <row r="33" spans="1:18" ht="18" customHeight="1">
      <c r="A33" s="1199" t="s">
        <v>1033</v>
      </c>
      <c r="B33" s="346" t="s">
        <v>1432</v>
      </c>
      <c r="C33" s="24">
        <f ca="1">IF(项目基本情况!B11="自然人","——",IF(D33="按租金收入计税",ROUND(C6*F33/(1+'数据-取费表'!C42),0),IF(D33="按房产原值计税",ROUND(C29*F33*0.7,0),INDIRECT("'数据-取费表'!Aj"&amp;$G$1))))</f>
        <v>39814</v>
      </c>
      <c r="D33" s="1825" t="s">
        <v>3075</v>
      </c>
      <c r="E33" s="346" t="s">
        <v>1417</v>
      </c>
      <c r="F33" s="366">
        <f>IF(D33="按票据","——",IF(D33="按租金收入计税",'数据-取费表'!B51,'数据-取费表'!B50))</f>
        <v>0.12</v>
      </c>
      <c r="G33" s="1848"/>
      <c r="H33" s="1856"/>
      <c r="I33" s="1857"/>
      <c r="J33" s="1858"/>
      <c r="K33" s="1859"/>
      <c r="L33" s="1856"/>
      <c r="M33" s="1856"/>
    </row>
    <row r="34" spans="1:18" ht="18" customHeight="1">
      <c r="A34" s="1289" t="s">
        <v>1384</v>
      </c>
      <c r="B34" s="163" t="s">
        <v>1436</v>
      </c>
      <c r="C34" s="25">
        <f ca="1">IF(项目基本情况!B11="自然人","——",ROUND(F34*F35,))</f>
        <v>0</v>
      </c>
      <c r="D34" s="369" t="s">
        <v>1437</v>
      </c>
      <c r="E34" s="346" t="s">
        <v>1438</v>
      </c>
      <c r="F34" s="370">
        <f>'数据-取费表'!B52</f>
        <v>6</v>
      </c>
      <c r="G34" s="1848"/>
      <c r="H34" s="744"/>
      <c r="I34" s="1857"/>
      <c r="J34" s="1858"/>
      <c r="K34" s="1860"/>
      <c r="L34" s="1861"/>
      <c r="M34" s="1861"/>
    </row>
    <row r="35" spans="1:18" ht="18" customHeight="1">
      <c r="A35" s="1351"/>
      <c r="B35" s="1349"/>
      <c r="C35" s="29"/>
      <c r="D35" s="372"/>
      <c r="E35" s="346" t="s">
        <v>1442</v>
      </c>
      <c r="F35" s="347">
        <f ca="1">INDIRECT("'数据-取费表'!r"&amp;$G$1)</f>
        <v>0</v>
      </c>
      <c r="G35" s="1848"/>
      <c r="H35" s="744"/>
      <c r="I35" s="1857"/>
      <c r="J35" s="1858"/>
      <c r="K35" s="1859"/>
      <c r="L35" s="1856"/>
      <c r="M35" s="1856"/>
    </row>
    <row r="36" spans="1:18" ht="18" customHeight="1">
      <c r="A36" s="1350" t="s">
        <v>1036</v>
      </c>
      <c r="B36" s="346" t="s">
        <v>1444</v>
      </c>
      <c r="C36" s="24">
        <f ca="1">ROUND(C29*F36,0)</f>
        <v>38543</v>
      </c>
      <c r="D36" s="1795" t="s">
        <v>1477</v>
      </c>
      <c r="E36" s="346" t="s">
        <v>1417</v>
      </c>
      <c r="F36" s="373">
        <f ca="1">INDIRECT("'数据-取费表'!Ak"&amp;$G$1)</f>
        <v>0.03</v>
      </c>
      <c r="G36" s="1848"/>
      <c r="H36" s="1856"/>
      <c r="I36" s="1857"/>
      <c r="J36" s="1858"/>
      <c r="K36" s="750"/>
      <c r="L36" s="1856"/>
      <c r="M36" s="1856"/>
    </row>
    <row r="37" spans="1:18" ht="18" customHeight="1">
      <c r="A37" s="1199" t="s">
        <v>1072</v>
      </c>
      <c r="B37" s="346" t="s">
        <v>1448</v>
      </c>
      <c r="C37" s="24">
        <f ca="1">ROUND(C13*F37,0)</f>
        <v>1445</v>
      </c>
      <c r="D37" s="1795" t="s">
        <v>1449</v>
      </c>
      <c r="E37" s="346" t="s">
        <v>1450</v>
      </c>
      <c r="F37" s="375">
        <f ca="1">INDIRECT("'数据-取费表'!Al"&amp;$G$1)</f>
        <v>1.5E-3</v>
      </c>
      <c r="G37" s="1848"/>
      <c r="H37" s="1856"/>
      <c r="I37" s="1857"/>
      <c r="J37" s="1858"/>
      <c r="K37" s="750"/>
      <c r="L37" s="1856"/>
      <c r="M37" s="1856"/>
    </row>
    <row r="38" spans="1:18" ht="18" customHeight="1" thickBot="1">
      <c r="A38" s="1337" t="s">
        <v>1388</v>
      </c>
      <c r="B38" s="1338" t="s">
        <v>1434</v>
      </c>
      <c r="C38" s="1339">
        <f ca="1">ROUND(C5*F38,1)</f>
        <v>3488.1</v>
      </c>
      <c r="D38" s="1340" t="s">
        <v>1454</v>
      </c>
      <c r="E38" s="1338" t="s">
        <v>1450</v>
      </c>
      <c r="F38" s="1334">
        <f ca="1">INDIRECT("'数据-取费表'!Am"&amp;$G$1)</f>
        <v>0.01</v>
      </c>
      <c r="G38" s="1848"/>
      <c r="H38" s="1856"/>
      <c r="I38" s="1857"/>
      <c r="J38" s="1858"/>
      <c r="K38" s="1862"/>
      <c r="L38" s="1856"/>
      <c r="M38" s="1856"/>
    </row>
    <row r="39" spans="1:18" ht="24.6" customHeight="1" thickTop="1">
      <c r="A39" s="1327" t="s">
        <v>1028</v>
      </c>
      <c r="B39" s="1342" t="s">
        <v>1478</v>
      </c>
      <c r="C39" s="354">
        <f ca="1">C5-C30</f>
        <v>247271</v>
      </c>
      <c r="D39" s="1343" t="s">
        <v>1479</v>
      </c>
      <c r="E39" s="1344"/>
      <c r="F39" s="1345"/>
      <c r="G39" s="1848"/>
      <c r="H39" s="1856"/>
      <c r="I39" s="1857"/>
      <c r="J39" s="1858"/>
      <c r="K39" s="1862"/>
      <c r="L39" s="1856"/>
      <c r="M39" s="1856"/>
    </row>
    <row r="40" spans="1:18" ht="18" customHeight="1">
      <c r="A40" s="343" t="s">
        <v>1029</v>
      </c>
      <c r="B40" s="344" t="s">
        <v>1480</v>
      </c>
      <c r="C40" s="345">
        <f ca="1">ROUND(C39*(1-((1+F42)/(1+F40))^F41)/(F40-F42),0)</f>
        <v>5628362</v>
      </c>
      <c r="D40" s="369" t="s">
        <v>1464</v>
      </c>
      <c r="E40" s="346" t="s">
        <v>1465</v>
      </c>
      <c r="F40" s="356">
        <f ca="1">INDIRECT("'数据-取费表'!I"&amp;$G$1)</f>
        <v>0.06</v>
      </c>
      <c r="G40" s="1848"/>
      <c r="H40" s="1836"/>
      <c r="I40" s="1857"/>
      <c r="J40" s="1858"/>
      <c r="K40" s="1862"/>
      <c r="L40" s="1836"/>
      <c r="M40" s="1836"/>
    </row>
    <row r="41" spans="1:18" ht="18" customHeight="1">
      <c r="A41" s="348"/>
      <c r="B41" s="349"/>
      <c r="C41" s="350"/>
      <c r="D41" s="377" t="s">
        <v>1481</v>
      </c>
      <c r="E41" s="346" t="s">
        <v>1469</v>
      </c>
      <c r="F41" s="378">
        <f ca="1">IF(INDIRECT("'数据-取费表'!af"&amp;$G$1)=0,INDIRECT("'数据-取费表'!ae"&amp;$G$1),INDIRECT("'数据-取费表'!af"&amp;$G$1))</f>
        <v>40</v>
      </c>
      <c r="G41" s="1848"/>
      <c r="H41" s="731"/>
      <c r="I41" s="1857"/>
      <c r="J41" s="1858"/>
      <c r="K41" s="750"/>
      <c r="L41" s="731"/>
      <c r="M41" s="731"/>
    </row>
    <row r="42" spans="1:18" ht="18" customHeight="1">
      <c r="A42" s="352"/>
      <c r="B42" s="353"/>
      <c r="C42" s="354"/>
      <c r="D42" s="372"/>
      <c r="E42" s="346" t="s">
        <v>1472</v>
      </c>
      <c r="F42" s="356">
        <f ca="1">INDIRECT("'数据-取费表'!v"&amp;$G$1)</f>
        <v>0.03</v>
      </c>
      <c r="G42" s="1848"/>
      <c r="H42" s="731"/>
      <c r="I42" s="1857"/>
      <c r="J42" s="1858"/>
      <c r="K42" s="750"/>
      <c r="L42" s="731"/>
      <c r="M42" s="731"/>
    </row>
    <row r="43" spans="1:18" ht="18" customHeight="1" thickBot="1">
      <c r="A43" s="379" t="s">
        <v>1030</v>
      </c>
      <c r="B43" s="380" t="s">
        <v>1482</v>
      </c>
      <c r="C43" s="381">
        <f ca="1">ROUND(C40/F43,0)</f>
        <v>13268</v>
      </c>
      <c r="D43" s="382" t="s">
        <v>1483</v>
      </c>
      <c r="E43" s="383" t="s">
        <v>1484</v>
      </c>
      <c r="F43" s="384">
        <f ca="1">INDIRECT("'数据-取费表'!k"&amp;$G$1)</f>
        <v>424.2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5">
        <f ca="1">C68-C40</f>
        <v>-8995009</v>
      </c>
      <c r="D45" s="1936" t="s">
        <v>1598</v>
      </c>
      <c r="E45" s="1863"/>
      <c r="F45" s="1863"/>
      <c r="O45" s="1866" t="s">
        <v>1514</v>
      </c>
      <c r="P45" s="1836"/>
      <c r="Q45" s="1836"/>
      <c r="R45" s="1836"/>
    </row>
    <row r="46" spans="1:18" s="1839" customFormat="1" ht="13.5" thickBot="1">
      <c r="A46" s="1867" t="s">
        <v>1515</v>
      </c>
      <c r="C46" s="1868">
        <f ca="1">ROUND(C45/10000,0)</f>
        <v>-900</v>
      </c>
      <c r="D46" s="1869" t="str">
        <f>C2</f>
        <v>万元</v>
      </c>
      <c r="I46" s="1870" t="s">
        <v>1516</v>
      </c>
      <c r="J46" s="1871"/>
      <c r="K46" s="1872"/>
      <c r="L46" s="1873" t="str">
        <f ca="1">IF(M47="住宅",0,IF(L48&gt;J51,L60,J60))</f>
        <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1"/>
      <c r="I47" s="1877" t="s">
        <v>1521</v>
      </c>
      <c r="J47" s="1878" t="s">
        <v>3076</v>
      </c>
      <c r="K47" s="1879" t="s">
        <v>1522</v>
      </c>
      <c r="L47" s="1880">
        <f ca="1">INDIRECT("'数据-取费表'!d"&amp;$G$1)</f>
        <v>40</v>
      </c>
      <c r="M47" s="1835" t="str">
        <f>IF(ISNUMBER(FIND("住宅",C1)),"住宅","非住宅")</f>
        <v>非住宅</v>
      </c>
      <c r="O47" s="1881" t="s">
        <v>1037</v>
      </c>
      <c r="P47" s="1882" t="s">
        <v>1523</v>
      </c>
      <c r="Q47" s="1883">
        <f ca="1">C40+J29</f>
        <v>5628362</v>
      </c>
      <c r="R47" s="1883" t="s">
        <v>1524</v>
      </c>
    </row>
    <row r="48" spans="1:18" s="1839" customFormat="1" ht="28.5" thickBot="1">
      <c r="A48" s="1358" t="s">
        <v>1132</v>
      </c>
      <c r="B48" s="344" t="s">
        <v>1396</v>
      </c>
      <c r="C48" s="1814">
        <f ca="1">C49+C53+C55</f>
        <v>0</v>
      </c>
      <c r="D48" s="1360"/>
      <c r="E48" s="1361"/>
      <c r="F48" s="1179"/>
      <c r="G48" s="791"/>
      <c r="H48" s="792"/>
      <c r="I48" s="1884" t="s">
        <v>1525</v>
      </c>
      <c r="J48" s="1885" t="s">
        <v>3077</v>
      </c>
      <c r="K48" s="1886" t="s">
        <v>1526</v>
      </c>
      <c r="L48" s="1887">
        <f ca="1">INDIRECT("'数据-取费表'!f"&amp;$G$1)</f>
        <v>40</v>
      </c>
      <c r="O48" s="1881" t="s">
        <v>1038</v>
      </c>
      <c r="P48" s="1882" t="s">
        <v>1527</v>
      </c>
      <c r="Q48" s="1883" t="str">
        <f ca="1">J60</f>
        <v>0</v>
      </c>
      <c r="R48" s="1883" t="s">
        <v>1528</v>
      </c>
    </row>
    <row r="49" spans="1:18" s="1839" customFormat="1" ht="13.5" thickBot="1">
      <c r="A49" s="1192" t="s">
        <v>1133</v>
      </c>
      <c r="B49" s="1826" t="s">
        <v>1485</v>
      </c>
      <c r="C49" s="1362">
        <f ca="1">ROUND(F49*F51*F50*(1-F52),0)</f>
        <v>0</v>
      </c>
      <c r="D49" s="1274" t="s">
        <v>1399</v>
      </c>
      <c r="E49" s="1827" t="s">
        <v>1486</v>
      </c>
      <c r="F49" s="1279"/>
      <c r="G49" s="1888"/>
      <c r="H49" s="792"/>
      <c r="I49" s="1884" t="s">
        <v>1529</v>
      </c>
      <c r="J49" s="1889">
        <v>2009</v>
      </c>
      <c r="K49" s="1886" t="s">
        <v>1530</v>
      </c>
      <c r="L49" s="1890"/>
      <c r="O49" s="1891" t="s">
        <v>1039</v>
      </c>
      <c r="P49" s="1882" t="s">
        <v>1531</v>
      </c>
      <c r="Q49" s="1883">
        <f ca="1">C29</f>
        <v>1284754</v>
      </c>
      <c r="R49" s="1883" t="s">
        <v>1524</v>
      </c>
    </row>
    <row r="50" spans="1:18" s="1839" customFormat="1" ht="13.5" thickBot="1">
      <c r="A50" s="1193"/>
      <c r="B50" s="1196"/>
      <c r="C50" s="1197"/>
      <c r="D50" s="1170"/>
      <c r="E50" s="1275" t="s">
        <v>1401</v>
      </c>
      <c r="F50" s="1276">
        <f ca="1">F7</f>
        <v>424.2</v>
      </c>
      <c r="H50" s="792"/>
      <c r="I50" s="1884" t="s">
        <v>1532</v>
      </c>
      <c r="J50" s="1892">
        <f>SUMPRODUCT((I63:I65=J47)*(J62:L62=J48)*(J63:L65))</f>
        <v>50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7">
        <f ca="1">F8</f>
        <v>365</v>
      </c>
      <c r="I51" s="1895" t="s">
        <v>1535</v>
      </c>
      <c r="J51" s="1896">
        <f>IF(J49="",J50,J49+J50-YEAR('数据-取费表'!B2))</f>
        <v>40</v>
      </c>
      <c r="K51" s="1897" t="s">
        <v>1536</v>
      </c>
      <c r="L51" s="1898">
        <f ca="1">ROUND(-PV(INDIRECT("'数据-取费表'!h"&amp;$G$1),L48,(C39-C13*C76),0),0)</f>
        <v>2730821</v>
      </c>
      <c r="M51" s="1899"/>
      <c r="O51" s="1891" t="s">
        <v>1041</v>
      </c>
      <c r="P51" s="1882" t="s">
        <v>1537</v>
      </c>
      <c r="Q51" s="1894">
        <f>J52</f>
        <v>8.5000000000000006E-2</v>
      </c>
      <c r="R51" s="1883"/>
    </row>
    <row r="52" spans="1:18" s="1839" customFormat="1" ht="13.5" thickBot="1">
      <c r="A52" s="1194"/>
      <c r="B52" s="1196"/>
      <c r="C52" s="1197"/>
      <c r="D52" s="1170"/>
      <c r="E52" s="1198" t="s">
        <v>1403</v>
      </c>
      <c r="F52" s="1273"/>
      <c r="I52" s="1900" t="s">
        <v>1538</v>
      </c>
      <c r="J52" s="1901">
        <v>8.5000000000000006E-2</v>
      </c>
      <c r="K52" s="1900" t="s">
        <v>1539</v>
      </c>
      <c r="L52" s="1901"/>
      <c r="O52" s="1891" t="s">
        <v>1042</v>
      </c>
      <c r="P52" s="1882" t="s">
        <v>1540</v>
      </c>
      <c r="Q52" s="1883">
        <f ca="1">J53</f>
        <v>40</v>
      </c>
      <c r="R52" s="1883" t="s">
        <v>1541</v>
      </c>
    </row>
    <row r="53" spans="1:18" s="1839" customFormat="1" ht="30.75" customHeight="1" thickBot="1">
      <c r="A53" s="1359" t="s">
        <v>1134</v>
      </c>
      <c r="B53" s="368" t="s">
        <v>1404</v>
      </c>
      <c r="C53" s="360">
        <f ca="1">ROUND(IF(F53="押一",C49/12*F11,IF(F53="押二",C49/12*2*F11,IF(F53="押三",C49/12*3*F11,C54*F11))),0)</f>
        <v>0</v>
      </c>
      <c r="D53" s="1821" t="s">
        <v>3032</v>
      </c>
      <c r="E53" s="357" t="s">
        <v>1405</v>
      </c>
      <c r="F53" s="1364"/>
      <c r="I53" s="1902" t="s">
        <v>1542</v>
      </c>
      <c r="J53" s="2944">
        <f ca="1">IF(M47="住宅",IF(D1="——",MAX(J51,L48),MAX(J51,L48-'数据-取费表'!B24)),IF(D1="——",MIN(J51,L48),MIN(J51,L48-'数据-取费表'!B24)))</f>
        <v>40</v>
      </c>
      <c r="K53" s="3261" t="s">
        <v>1543</v>
      </c>
      <c r="L53" s="3262"/>
      <c r="O53" s="1881" t="s">
        <v>1043</v>
      </c>
      <c r="P53" s="1882" t="s">
        <v>1544</v>
      </c>
      <c r="Q53" s="1883">
        <f ca="1">Q47+Q48</f>
        <v>5628362</v>
      </c>
      <c r="R53" s="1883" t="s">
        <v>1044</v>
      </c>
    </row>
    <row r="54" spans="1:18" s="1839" customFormat="1" ht="13.5" thickBot="1">
      <c r="A54" s="1192"/>
      <c r="B54" s="1937" t="s">
        <v>1597</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c r="O55" s="1874" t="s">
        <v>1517</v>
      </c>
      <c r="P55" s="1875" t="s">
        <v>1518</v>
      </c>
      <c r="Q55" s="1876" t="s">
        <v>1519</v>
      </c>
      <c r="R55" s="1876" t="s">
        <v>1520</v>
      </c>
    </row>
    <row r="56" spans="1:18" s="1839" customFormat="1" ht="36" customHeight="1" thickTop="1" thickBot="1">
      <c r="A56" s="1174">
        <v>2</v>
      </c>
      <c r="B56" s="1175" t="s">
        <v>1409</v>
      </c>
      <c r="C56" s="275">
        <f ca="1">C13</f>
        <v>963566</v>
      </c>
      <c r="D56" s="1910"/>
      <c r="E56" s="1911"/>
      <c r="F56" s="1903"/>
      <c r="I56" s="1912" t="s">
        <v>1548</v>
      </c>
      <c r="J56" s="1913" t="s">
        <v>3066</v>
      </c>
      <c r="K56" s="1884" t="s">
        <v>1549</v>
      </c>
      <c r="L56" s="1887">
        <f ca="1">IF(L48&lt;J51,"——",L48-J51)</f>
        <v>0</v>
      </c>
      <c r="O56" s="1881" t="s">
        <v>1037</v>
      </c>
      <c r="P56" s="1882" t="s">
        <v>1523</v>
      </c>
      <c r="Q56" s="1883">
        <f ca="1">C40+J29</f>
        <v>5628362</v>
      </c>
      <c r="R56" s="1883" t="s">
        <v>1524</v>
      </c>
    </row>
    <row r="57" spans="1:18" s="1839" customFormat="1" ht="24.75" thickBot="1">
      <c r="A57" s="1914"/>
      <c r="B57" s="1167" t="s">
        <v>1473</v>
      </c>
      <c r="C57" s="281">
        <f ca="1">C29</f>
        <v>1284754</v>
      </c>
      <c r="D57" s="1915"/>
      <c r="E57" s="1916"/>
      <c r="F57" s="1917"/>
      <c r="I57" s="1918" t="s">
        <v>1550</v>
      </c>
      <c r="J57" s="1919" t="str">
        <f ca="1">IF(OR(M47="住宅",J51&lt;L48,J56="是"),"——",J51-L48)</f>
        <v>——</v>
      </c>
      <c r="K57" s="1884" t="s">
        <v>1599</v>
      </c>
      <c r="L57" s="1887">
        <f ca="1">IF(L48&lt;J51,"——",IF(L55="比较法",L49,IF(L55="基准地价",L50,L51)))</f>
        <v>2730821</v>
      </c>
      <c r="O57" s="1881" t="s">
        <v>1038</v>
      </c>
      <c r="P57" s="1882" t="s">
        <v>1600</v>
      </c>
      <c r="Q57" s="1883" t="e">
        <f ca="1">L60</f>
        <v>#DIV/0!</v>
      </c>
      <c r="R57" s="1883" t="s">
        <v>1601</v>
      </c>
    </row>
    <row r="58" spans="1:18" s="1839" customFormat="1" ht="24.75" thickBot="1">
      <c r="A58" s="359" t="s">
        <v>1027</v>
      </c>
      <c r="B58" s="1175" t="s">
        <v>1419</v>
      </c>
      <c r="C58" s="360">
        <f ca="1">ROUND(C59+C64+C65+C66,0)</f>
        <v>147907</v>
      </c>
      <c r="D58" s="1177" t="s">
        <v>1420</v>
      </c>
      <c r="E58" s="1178"/>
      <c r="F58" s="1179"/>
      <c r="I58" s="1918" t="s">
        <v>1554</v>
      </c>
      <c r="J58" s="1920" t="e">
        <f ca="1">IF(J55&lt;0.4,0.4,J55)</f>
        <v>#VALUE!</v>
      </c>
      <c r="K58" s="1897" t="s">
        <v>1602</v>
      </c>
      <c r="L58" s="1887" t="e">
        <f ca="1">ROUND(POWER(1+L52,L47-L48)*(POWER(1+L52,L48)-1)/(POWER(1+L52,L47)-1),4)</f>
        <v>#DIV/0!</v>
      </c>
      <c r="O58" s="1891" t="s">
        <v>1039</v>
      </c>
      <c r="P58" s="1882" t="s">
        <v>1556</v>
      </c>
      <c r="Q58" s="1883">
        <f>IF(L55="比较法",L49,IF(L55="基准地价",L50,0))</f>
        <v>0</v>
      </c>
      <c r="R58" s="1883" t="s">
        <v>1524</v>
      </c>
    </row>
    <row r="59" spans="1:18" s="1839" customFormat="1" ht="24.75" thickBot="1">
      <c r="A59" s="1199" t="s">
        <v>1032</v>
      </c>
      <c r="B59" s="1167" t="s">
        <v>1424</v>
      </c>
      <c r="C59" s="24">
        <f ca="1">ROUND(IF(项目基本情况!B11="自然人",C48*F59,C60+C61+C62),0)</f>
        <v>107919</v>
      </c>
      <c r="D59" s="1180" t="s">
        <v>1425</v>
      </c>
      <c r="E59" s="1181" t="s">
        <v>1426</v>
      </c>
      <c r="F59" s="367"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1558</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6">
        <f t="shared" ref="F60:F66" si="0">F32</f>
        <v>5.5000000000000007E-2</v>
      </c>
      <c r="I60" s="1921" t="s">
        <v>1559</v>
      </c>
      <c r="J60" s="1922" t="str">
        <f ca="1">IF(OR(M47="住宅",J51&lt;L48,J56="是"),"0",ROUND(J59/(1+J52)^J53,0))</f>
        <v>0</v>
      </c>
      <c r="K60" s="1923" t="s">
        <v>1560</v>
      </c>
      <c r="L60" s="1922" t="e">
        <f ca="1">IF(OR(M47="住宅",L48&lt;J51),0,ROUND(L57*(L58/L59-1),0))</f>
        <v>#DIV/0!</v>
      </c>
      <c r="O60" s="1891" t="s">
        <v>1041</v>
      </c>
      <c r="P60" s="1882" t="s">
        <v>1561</v>
      </c>
      <c r="Q60" s="1883" t="e">
        <f ca="1">L58</f>
        <v>#DIV/0!</v>
      </c>
      <c r="R60" s="1883" t="s">
        <v>1562</v>
      </c>
    </row>
    <row r="61" spans="1:18" s="1839" customFormat="1" ht="13.5" thickBot="1">
      <c r="A61" s="1199" t="s">
        <v>1487</v>
      </c>
      <c r="B61" s="1167" t="s">
        <v>1488</v>
      </c>
      <c r="C61" s="24">
        <f ca="1">IF(项目基本情况!B11="自然人","——",IF(D61="按租金收入计税",ROUND(C48*F61,0),IF(D61="按房产原值计税",ROUND(C57*F61*0.7,0),INDIRECT("'数据-取费表'!Aj"&amp;$G$1))))</f>
        <v>107919</v>
      </c>
      <c r="D61" s="1825" t="s">
        <v>1433</v>
      </c>
      <c r="E61" s="1167" t="s">
        <v>1489</v>
      </c>
      <c r="F61" s="366">
        <f t="shared" si="0"/>
        <v>0.12</v>
      </c>
      <c r="I61" s="1924"/>
      <c r="J61" s="1924"/>
      <c r="K61" s="1924"/>
      <c r="L61" s="1924"/>
      <c r="O61" s="1891" t="s">
        <v>1042</v>
      </c>
      <c r="P61" s="1882" t="str">
        <f>K59</f>
        <v>建筑物剩余耐用年限下的土地年期修正系数Kn</v>
      </c>
      <c r="Q61" s="1883" t="e">
        <f ca="1">L59</f>
        <v>#DIV/0!</v>
      </c>
      <c r="R61" s="1883" t="s">
        <v>1563</v>
      </c>
    </row>
    <row r="62" spans="1:18" s="1839" customFormat="1" ht="13.5" thickBot="1">
      <c r="A62" s="1199" t="s">
        <v>1490</v>
      </c>
      <c r="B62" s="1166" t="s">
        <v>1491</v>
      </c>
      <c r="C62" s="25">
        <f ca="1">IF(项目基本情况!B11="自然人","——",ROUND(F62*F63,0))</f>
        <v>0</v>
      </c>
      <c r="D62" s="1182" t="s">
        <v>1492</v>
      </c>
      <c r="E62" s="1167" t="s">
        <v>1493</v>
      </c>
      <c r="F62" s="370">
        <f t="shared" si="0"/>
        <v>6</v>
      </c>
      <c r="I62" s="1925" t="s">
        <v>1564</v>
      </c>
      <c r="J62" s="1926" t="s">
        <v>1565</v>
      </c>
      <c r="K62" s="1926" t="s">
        <v>1566</v>
      </c>
      <c r="L62" s="1926" t="s">
        <v>1567</v>
      </c>
      <c r="M62" s="1927" t="s">
        <v>1568</v>
      </c>
      <c r="O62" s="1881" t="s">
        <v>1043</v>
      </c>
      <c r="P62" s="1882" t="s">
        <v>1569</v>
      </c>
      <c r="Q62" s="1883" t="e">
        <f ca="1">Q56+Q57</f>
        <v>#DIV/0!</v>
      </c>
      <c r="R62" s="1883" t="s">
        <v>1044</v>
      </c>
    </row>
    <row r="63" spans="1:18" s="1839" customFormat="1" ht="13.5" thickBot="1">
      <c r="A63" s="371"/>
      <c r="B63" s="1173"/>
      <c r="C63" s="29"/>
      <c r="D63" s="1183"/>
      <c r="E63" s="1167" t="s">
        <v>1494</v>
      </c>
      <c r="F63" s="347">
        <f t="shared" ca="1" si="0"/>
        <v>0</v>
      </c>
      <c r="I63" s="1925" t="s">
        <v>1570</v>
      </c>
      <c r="J63" s="1926">
        <v>70</v>
      </c>
      <c r="K63" s="1926">
        <v>50</v>
      </c>
      <c r="L63" s="1926">
        <v>80</v>
      </c>
      <c r="M63" s="1928">
        <v>0.02</v>
      </c>
      <c r="O63" s="1866" t="s">
        <v>1571</v>
      </c>
      <c r="P63" s="1836"/>
      <c r="Q63" s="1836"/>
      <c r="R63" s="1836"/>
    </row>
    <row r="64" spans="1:18" s="1839" customFormat="1" ht="13.5" thickBot="1">
      <c r="A64" s="1199" t="s">
        <v>1495</v>
      </c>
      <c r="B64" s="1167" t="s">
        <v>1496</v>
      </c>
      <c r="C64" s="24">
        <f ca="1">ROUND(C57*F64,0)</f>
        <v>38543</v>
      </c>
      <c r="D64" s="1181" t="s">
        <v>1497</v>
      </c>
      <c r="E64" s="1167" t="s">
        <v>1489</v>
      </c>
      <c r="F64" s="373">
        <f t="shared" ca="1" si="0"/>
        <v>0.03</v>
      </c>
      <c r="I64" s="1925" t="s">
        <v>1572</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1445</v>
      </c>
      <c r="D65" s="1181" t="s">
        <v>1449</v>
      </c>
      <c r="E65" s="1167" t="s">
        <v>1450</v>
      </c>
      <c r="F65" s="375">
        <f t="shared" ca="1" si="0"/>
        <v>1.5E-3</v>
      </c>
      <c r="I65" s="1925" t="s">
        <v>1573</v>
      </c>
      <c r="J65" s="1926">
        <v>40</v>
      </c>
      <c r="K65" s="1926">
        <v>30</v>
      </c>
      <c r="L65" s="1926">
        <v>50</v>
      </c>
      <c r="M65" s="1928">
        <v>0.02</v>
      </c>
      <c r="O65" s="1881" t="s">
        <v>1037</v>
      </c>
      <c r="P65" s="1882" t="s">
        <v>1574</v>
      </c>
      <c r="Q65" s="1883">
        <f ca="1">C40+J29</f>
        <v>5628362</v>
      </c>
      <c r="R65" s="1883" t="s">
        <v>1524</v>
      </c>
    </row>
    <row r="66" spans="1:18" s="1839" customFormat="1" ht="16.5" thickBot="1">
      <c r="A66" s="1199" t="s">
        <v>1499</v>
      </c>
      <c r="B66" s="1167" t="s">
        <v>1434</v>
      </c>
      <c r="C66" s="24">
        <f ca="1">ROUND(C48*F66,0)</f>
        <v>0</v>
      </c>
      <c r="D66" s="1181" t="s">
        <v>1500</v>
      </c>
      <c r="E66" s="1167" t="s">
        <v>1417</v>
      </c>
      <c r="F66" s="356">
        <f t="shared" ca="1" si="0"/>
        <v>0.01</v>
      </c>
      <c r="O66" s="1881" t="s">
        <v>1038</v>
      </c>
      <c r="P66" s="1882" t="s">
        <v>1552</v>
      </c>
      <c r="Q66" s="1883" t="e">
        <f ca="1">L60</f>
        <v>#DIV/0!</v>
      </c>
      <c r="R66" s="1883" t="s">
        <v>1575</v>
      </c>
    </row>
    <row r="67" spans="1:18" s="1839" customFormat="1" ht="16.5" thickBot="1">
      <c r="A67" s="1174" t="s">
        <v>1028</v>
      </c>
      <c r="B67" s="1184" t="s">
        <v>1458</v>
      </c>
      <c r="C67" s="360">
        <f ca="1">C48-C58</f>
        <v>-147907</v>
      </c>
      <c r="D67" s="1180" t="s">
        <v>1459</v>
      </c>
      <c r="E67" s="1185"/>
      <c r="F67" s="1186"/>
      <c r="O67" s="1891" t="s">
        <v>1039</v>
      </c>
      <c r="P67" s="1882" t="s">
        <v>1556</v>
      </c>
      <c r="Q67" s="1929">
        <f ca="1">L51</f>
        <v>2730821</v>
      </c>
      <c r="R67" s="1883" t="s">
        <v>1576</v>
      </c>
    </row>
    <row r="68" spans="1:18" s="1839" customFormat="1" ht="16.5" thickBot="1">
      <c r="A68" s="1164" t="s">
        <v>1029</v>
      </c>
      <c r="B68" s="1165" t="s">
        <v>1480</v>
      </c>
      <c r="C68" s="345">
        <f ca="1">ROUND(C67*(1-((1+F70)/(1+F68))^F69)/(F68-F70),0)</f>
        <v>-3366647</v>
      </c>
      <c r="D68" s="1182" t="s">
        <v>1464</v>
      </c>
      <c r="E68" s="1167" t="s">
        <v>1465</v>
      </c>
      <c r="F68" s="356">
        <f ca="1">F40</f>
        <v>0.06</v>
      </c>
      <c r="O68" s="1891" t="s">
        <v>1040</v>
      </c>
      <c r="P68" s="1930" t="s">
        <v>1577</v>
      </c>
      <c r="Q68" s="1883">
        <f ca="1">ROUND(Q69-Q70*Q71,0)</f>
        <v>170186</v>
      </c>
      <c r="R68" s="1883" t="s">
        <v>1048</v>
      </c>
    </row>
    <row r="69" spans="1:18" s="1839" customFormat="1" ht="13.5" thickBot="1">
      <c r="A69" s="1168"/>
      <c r="B69" s="1169"/>
      <c r="C69" s="350"/>
      <c r="D69" s="1187" t="s">
        <v>1468</v>
      </c>
      <c r="E69" s="1167" t="s">
        <v>1469</v>
      </c>
      <c r="F69" s="378">
        <f ca="1">F41</f>
        <v>40</v>
      </c>
      <c r="O69" s="1891" t="s">
        <v>1045</v>
      </c>
      <c r="P69" s="1930" t="s">
        <v>1578</v>
      </c>
      <c r="Q69" s="1883">
        <f ca="1">C39</f>
        <v>247271</v>
      </c>
      <c r="R69" s="1883" t="s">
        <v>1524</v>
      </c>
    </row>
    <row r="70" spans="1:18" s="1839" customFormat="1" ht="13.5" thickBot="1">
      <c r="A70" s="1171"/>
      <c r="B70" s="1172"/>
      <c r="C70" s="354"/>
      <c r="D70" s="1183"/>
      <c r="E70" s="1167" t="s">
        <v>1472</v>
      </c>
      <c r="F70" s="1273">
        <f ca="1">F42</f>
        <v>0.03</v>
      </c>
      <c r="O70" s="1891" t="s">
        <v>1046</v>
      </c>
      <c r="P70" s="1930" t="s">
        <v>1579</v>
      </c>
      <c r="Q70" s="1883">
        <f ca="1">C13</f>
        <v>963566</v>
      </c>
      <c r="R70" s="1883" t="s">
        <v>1524</v>
      </c>
    </row>
    <row r="71" spans="1:18" s="1839" customFormat="1" ht="13.5" thickBot="1">
      <c r="A71" s="1188" t="s">
        <v>1030</v>
      </c>
      <c r="B71" s="1189" t="s">
        <v>1482</v>
      </c>
      <c r="C71" s="381">
        <f ca="1">ROUND(C68/F71,0)</f>
        <v>-7936</v>
      </c>
      <c r="D71" s="1190" t="s">
        <v>1483</v>
      </c>
      <c r="E71" s="1191" t="s">
        <v>1484</v>
      </c>
      <c r="F71" s="384">
        <f ca="1">F43</f>
        <v>424.2</v>
      </c>
      <c r="O71" s="1891" t="s">
        <v>1047</v>
      </c>
      <c r="P71" s="1930" t="s">
        <v>1580</v>
      </c>
      <c r="Q71" s="1894">
        <f ca="1">C76</f>
        <v>0.08</v>
      </c>
      <c r="R71" s="1883"/>
    </row>
    <row r="72" spans="1:18" s="1839" customFormat="1" ht="13.5" thickBot="1">
      <c r="B72" s="795"/>
      <c r="C72" s="795"/>
      <c r="O72" s="1891" t="s">
        <v>1041</v>
      </c>
      <c r="P72" s="1882" t="s">
        <v>1558</v>
      </c>
      <c r="Q72" s="1894">
        <f>L52</f>
        <v>0</v>
      </c>
      <c r="R72" s="1883"/>
    </row>
    <row r="73" spans="1:18" ht="16.5" thickBot="1">
      <c r="A73" s="1839"/>
      <c r="B73" s="795"/>
      <c r="C73" s="795"/>
      <c r="D73" s="1839"/>
      <c r="E73" s="1839"/>
      <c r="F73" s="1839"/>
      <c r="O73" s="1891" t="s">
        <v>1042</v>
      </c>
      <c r="P73" s="1882" t="s">
        <v>1561</v>
      </c>
      <c r="Q73" s="1883" t="e">
        <f ca="1">L58</f>
        <v>#DIV/0!</v>
      </c>
      <c r="R73" s="1883" t="s">
        <v>1562</v>
      </c>
    </row>
    <row r="74" spans="1:18" ht="13.5" thickBot="1">
      <c r="A74" s="1839"/>
      <c r="B74" s="316" t="s">
        <v>1581</v>
      </c>
      <c r="C74" s="1932"/>
      <c r="D74" s="1839"/>
      <c r="E74" s="1839"/>
      <c r="F74" s="1839"/>
      <c r="O74" s="1891" t="s">
        <v>1049</v>
      </c>
      <c r="P74" s="1882" t="str">
        <f>K59</f>
        <v>建筑物剩余耐用年限下的土地年期修正系数Kn</v>
      </c>
      <c r="Q74" s="1883" t="e">
        <f ca="1">L59</f>
        <v>#DIV/0!</v>
      </c>
      <c r="R74" s="1883" t="s">
        <v>1563</v>
      </c>
    </row>
    <row r="75" spans="1:18" ht="13.5" thickBot="1">
      <c r="A75" s="1839"/>
      <c r="B75" s="385" t="s">
        <v>1501</v>
      </c>
      <c r="C75" s="386">
        <f ca="1">ROUND(C13*C76,0)</f>
        <v>77085</v>
      </c>
      <c r="D75" s="1839"/>
      <c r="E75" s="1839"/>
      <c r="F75" s="1839"/>
      <c r="K75" s="1865"/>
      <c r="L75" s="1839"/>
      <c r="O75" s="1881" t="s">
        <v>1043</v>
      </c>
      <c r="P75" s="1882" t="s">
        <v>1544</v>
      </c>
      <c r="Q75" s="1883" t="e">
        <f ca="1">Q65+Q66</f>
        <v>#DIV/0!</v>
      </c>
      <c r="R75" s="1883" t="s">
        <v>1044</v>
      </c>
    </row>
    <row r="76" spans="1:18">
      <c r="B76" s="387" t="s">
        <v>1502</v>
      </c>
      <c r="C76" s="388">
        <f ca="1">INDIRECT("'数据-取费表'!j"&amp;$G$1)</f>
        <v>0.08</v>
      </c>
      <c r="I76" s="1839"/>
      <c r="J76" s="1839"/>
      <c r="K76" s="1865"/>
      <c r="L76" s="1839"/>
    </row>
    <row r="77" spans="1:18">
      <c r="B77" s="389" t="s">
        <v>1503</v>
      </c>
      <c r="C77" s="390"/>
      <c r="I77" s="1839"/>
      <c r="J77" s="1839"/>
      <c r="K77" s="1865"/>
      <c r="L77" s="1839"/>
    </row>
    <row r="78" spans="1:18">
      <c r="B78" s="313" t="s">
        <v>1504</v>
      </c>
      <c r="C78" s="391"/>
    </row>
    <row r="79" spans="1:18">
      <c r="B79" s="385" t="s">
        <v>1505</v>
      </c>
      <c r="C79" s="317">
        <f ca="1">1-C80</f>
        <v>0.68799999999999994</v>
      </c>
    </row>
    <row r="80" spans="1:18">
      <c r="B80" s="385" t="s">
        <v>1506</v>
      </c>
      <c r="C80" s="317">
        <f ca="1">ROUND(C75/C39,3)</f>
        <v>0.312</v>
      </c>
    </row>
    <row r="81" spans="2:3">
      <c r="B81" s="313" t="s">
        <v>1507</v>
      </c>
      <c r="C81" s="281"/>
    </row>
    <row r="82" spans="2:3">
      <c r="B82" s="316" t="s">
        <v>1508</v>
      </c>
      <c r="C82" s="318">
        <f ca="1">1-C83</f>
        <v>0.82899999999999996</v>
      </c>
    </row>
    <row r="83" spans="2:3">
      <c r="B83" s="316" t="s">
        <v>1509</v>
      </c>
      <c r="C83" s="317">
        <f ca="1">ROUND(C13/C40,3)</f>
        <v>0.17100000000000001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2523</v>
      </c>
      <c r="B1" s="2556"/>
      <c r="C1" s="2556"/>
      <c r="D1" s="2556"/>
      <c r="E1" s="2557"/>
    </row>
    <row r="2" spans="1:6" ht="15.75">
      <c r="A2" s="2558" t="s">
        <v>2324</v>
      </c>
      <c r="B2" s="2559">
        <f ca="1">SUMIF(B6:B13,"&lt;&gt;#ref!",B6:B13)</f>
        <v>563</v>
      </c>
      <c r="C2" s="2560" t="s">
        <v>2516</v>
      </c>
      <c r="D2" s="2561" t="s">
        <v>2517</v>
      </c>
      <c r="E2" s="2562">
        <f>SUM(E6:E13)</f>
        <v>424.2</v>
      </c>
    </row>
    <row r="3" spans="1:6" ht="15.75">
      <c r="A3" s="2558" t="s">
        <v>1390</v>
      </c>
      <c r="B3" s="2559">
        <f ca="1">ROUND(B2*10000/E2,0)</f>
        <v>13272</v>
      </c>
      <c r="C3" s="2560" t="s">
        <v>2524</v>
      </c>
      <c r="D3" s="2563"/>
      <c r="E3" s="2564"/>
    </row>
    <row r="4" spans="1:6" ht="15.75">
      <c r="A4" s="2565"/>
      <c r="B4" s="2563"/>
      <c r="C4" s="2563"/>
      <c r="D4" s="2563"/>
      <c r="E4" s="2564"/>
    </row>
    <row r="5" spans="1:6" ht="15">
      <c r="A5" s="2566" t="s">
        <v>2518</v>
      </c>
      <c r="B5" s="3266" t="s">
        <v>2519</v>
      </c>
      <c r="C5" s="3266"/>
      <c r="D5" s="2567"/>
      <c r="E5" s="2568" t="s">
        <v>2520</v>
      </c>
      <c r="F5" s="2569" t="s">
        <v>2521</v>
      </c>
    </row>
    <row r="6" spans="1:6">
      <c r="A6" s="2570" t="str">
        <f>'数据-取费表'!AN6</f>
        <v>收益法 (元)</v>
      </c>
      <c r="B6" s="2569">
        <f ca="1">IF(F6="是",'数据-取费表'!AO6,0)</f>
        <v>563</v>
      </c>
      <c r="C6" s="2560" t="s">
        <v>2516</v>
      </c>
      <c r="D6" s="2563"/>
      <c r="E6" s="2571">
        <f>IF(OR(A6=0,F6="否"),0,'数据-取费表'!K6+'数据-取费表'!S6)</f>
        <v>424.2</v>
      </c>
      <c r="F6" s="2572" t="s">
        <v>2522</v>
      </c>
    </row>
    <row r="7" spans="1:6">
      <c r="A7" s="2570">
        <f>'数据-取费表'!AN7</f>
        <v>0</v>
      </c>
      <c r="B7" s="2569" t="e">
        <f ca="1">IF(F7="是",'数据-取费表'!AO7,0)</f>
        <v>#REF!</v>
      </c>
      <c r="C7" s="2560" t="s">
        <v>2516</v>
      </c>
      <c r="D7" s="2563"/>
      <c r="E7" s="2571">
        <f>IF(OR(A7=0,F7="否"),0,'数据-取费表'!K7+'数据-取费表'!S7)</f>
        <v>0</v>
      </c>
      <c r="F7" s="2572" t="s">
        <v>2522</v>
      </c>
    </row>
    <row r="8" spans="1:6">
      <c r="A8" s="2570">
        <f>'数据-取费表'!AN8</f>
        <v>0</v>
      </c>
      <c r="B8" s="2569" t="e">
        <f ca="1">IF(F8="是",'数据-取费表'!AO8,0)</f>
        <v>#REF!</v>
      </c>
      <c r="C8" s="2560" t="s">
        <v>2516</v>
      </c>
      <c r="D8" s="2563"/>
      <c r="E8" s="2571">
        <f>IF(OR(A8=0,F8="否"),0,'数据-取费表'!K8+'数据-取费表'!S8)</f>
        <v>0</v>
      </c>
      <c r="F8" s="2572" t="s">
        <v>2522</v>
      </c>
    </row>
    <row r="9" spans="1:6">
      <c r="A9" s="2570">
        <f>'数据-取费表'!AN9</f>
        <v>0</v>
      </c>
      <c r="B9" s="2569" t="e">
        <f ca="1">IF(F9="是",'数据-取费表'!AO9,0)</f>
        <v>#REF!</v>
      </c>
      <c r="C9" s="2560" t="s">
        <v>2516</v>
      </c>
      <c r="D9" s="2563"/>
      <c r="E9" s="2571">
        <f>IF(OR(A9=0,F9="否"),0,'数据-取费表'!K9+'数据-取费表'!S9)</f>
        <v>0</v>
      </c>
      <c r="F9" s="2572" t="s">
        <v>2522</v>
      </c>
    </row>
    <row r="10" spans="1:6">
      <c r="A10" s="2570">
        <f>'数据-取费表'!AN10</f>
        <v>0</v>
      </c>
      <c r="B10" s="2569" t="e">
        <f ca="1">IF(F10="是",'数据-取费表'!AO10,0)</f>
        <v>#REF!</v>
      </c>
      <c r="C10" s="2560" t="s">
        <v>2516</v>
      </c>
      <c r="D10" s="2563"/>
      <c r="E10" s="2571">
        <f>IF(OR(A10=0,F10="否"),0,'数据-取费表'!K10+'数据-取费表'!S10)</f>
        <v>0</v>
      </c>
      <c r="F10" s="2572" t="s">
        <v>2522</v>
      </c>
    </row>
    <row r="11" spans="1:6">
      <c r="A11" s="2570">
        <f>'数据-取费表'!AN11</f>
        <v>0</v>
      </c>
      <c r="B11" s="2569" t="e">
        <f ca="1">IF(F11="是",'数据-取费表'!AO11,0)</f>
        <v>#REF!</v>
      </c>
      <c r="C11" s="2560" t="s">
        <v>2516</v>
      </c>
      <c r="D11" s="2563"/>
      <c r="E11" s="2571">
        <f>IF(OR(A11=0,F11="否"),0,'数据-取费表'!K11+'数据-取费表'!S11)</f>
        <v>0</v>
      </c>
      <c r="F11" s="2572" t="s">
        <v>2522</v>
      </c>
    </row>
    <row r="12" spans="1:6">
      <c r="A12" s="2570">
        <f>'数据-取费表'!AN12</f>
        <v>0</v>
      </c>
      <c r="B12" s="2569" t="e">
        <f ca="1">IF(F12="是",'数据-取费表'!AO12,0)</f>
        <v>#REF!</v>
      </c>
      <c r="C12" s="2560" t="s">
        <v>2516</v>
      </c>
      <c r="D12" s="2563"/>
      <c r="E12" s="2571">
        <f>IF(OR(A12=0,F12="否"),0,'数据-取费表'!K12+'数据-取费表'!S12)</f>
        <v>0</v>
      </c>
      <c r="F12" s="2572" t="s">
        <v>2522</v>
      </c>
    </row>
    <row r="13" spans="1:6" ht="15" thickBot="1">
      <c r="A13" s="2573">
        <f>'数据-取费表'!AN13</f>
        <v>0</v>
      </c>
      <c r="B13" s="2569" t="e">
        <f ca="1">IF(F13="是",'数据-取费表'!AO13,0)</f>
        <v>#REF!</v>
      </c>
      <c r="C13" s="2574" t="s">
        <v>2516</v>
      </c>
      <c r="D13" s="2575"/>
      <c r="E13" s="2571">
        <f>IF(OR(A13=0,F13="否"),0,'数据-取费表'!K13+'数据-取费表'!S13)</f>
        <v>0</v>
      </c>
      <c r="F13" s="257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1073</v>
      </c>
      <c r="B1" s="3284"/>
      <c r="C1" s="3285"/>
      <c r="D1" s="3286">
        <f>SUM(I10,I15,I20,I21,I23)</f>
        <v>0</v>
      </c>
      <c r="E1" s="3286"/>
      <c r="F1" s="3286"/>
      <c r="G1" s="3286"/>
      <c r="H1" s="3286"/>
      <c r="I1" s="3287"/>
    </row>
    <row r="2" spans="1:9">
      <c r="A2" s="3273" t="s">
        <v>1074</v>
      </c>
      <c r="B2" s="3274" t="s">
        <v>1075</v>
      </c>
      <c r="C2" s="3274"/>
      <c r="D2" s="1299" t="s">
        <v>1076</v>
      </c>
      <c r="E2" s="1299" t="s">
        <v>1077</v>
      </c>
      <c r="F2" s="1299" t="s">
        <v>1078</v>
      </c>
      <c r="G2" s="1299" t="s">
        <v>1079</v>
      </c>
      <c r="H2" s="1299" t="s">
        <v>1080</v>
      </c>
      <c r="I2" s="1300" t="s">
        <v>1081</v>
      </c>
    </row>
    <row r="3" spans="1:9">
      <c r="A3" s="3273"/>
      <c r="B3" s="3274" t="s">
        <v>1082</v>
      </c>
      <c r="C3" s="3274"/>
      <c r="D3" s="1301"/>
      <c r="E3" s="1299"/>
      <c r="F3" s="1302"/>
      <c r="G3" s="1302"/>
      <c r="H3" s="1303"/>
      <c r="I3" s="1304">
        <f>ROUND(D3*E3*F3*G3*H3/10000,0)</f>
        <v>0</v>
      </c>
    </row>
    <row r="4" spans="1:9">
      <c r="A4" s="3273"/>
      <c r="B4" s="3274" t="s">
        <v>1083</v>
      </c>
      <c r="C4" s="3274"/>
      <c r="D4" s="1301"/>
      <c r="E4" s="1299"/>
      <c r="F4" s="1302"/>
      <c r="G4" s="1302"/>
      <c r="H4" s="1303"/>
      <c r="I4" s="1304">
        <f t="shared" ref="I4:I9" si="0">ROUND(D4*E4*F4*G4*H4/10000,0)</f>
        <v>0</v>
      </c>
    </row>
    <row r="5" spans="1:9">
      <c r="A5" s="3273"/>
      <c r="B5" s="3274" t="s">
        <v>1084</v>
      </c>
      <c r="C5" s="3274"/>
      <c r="D5" s="1301"/>
      <c r="E5" s="1299"/>
      <c r="F5" s="1302"/>
      <c r="G5" s="1302"/>
      <c r="H5" s="1303"/>
      <c r="I5" s="1304">
        <f t="shared" si="0"/>
        <v>0</v>
      </c>
    </row>
    <row r="6" spans="1:9">
      <c r="A6" s="3273"/>
      <c r="B6" s="3274" t="s">
        <v>1085</v>
      </c>
      <c r="C6" s="3274"/>
      <c r="D6" s="1301"/>
      <c r="E6" s="1299"/>
      <c r="F6" s="1302"/>
      <c r="G6" s="1302"/>
      <c r="H6" s="1303"/>
      <c r="I6" s="1304">
        <f t="shared" si="0"/>
        <v>0</v>
      </c>
    </row>
    <row r="7" spans="1:9">
      <c r="A7" s="3273"/>
      <c r="B7" s="3274" t="s">
        <v>1086</v>
      </c>
      <c r="C7" s="3274"/>
      <c r="D7" s="1301"/>
      <c r="E7" s="1299"/>
      <c r="F7" s="1302"/>
      <c r="G7" s="1302"/>
      <c r="H7" s="1303"/>
      <c r="I7" s="1304">
        <f t="shared" si="0"/>
        <v>0</v>
      </c>
    </row>
    <row r="8" spans="1:9">
      <c r="A8" s="3273"/>
      <c r="B8" s="3274" t="s">
        <v>1087</v>
      </c>
      <c r="C8" s="3274"/>
      <c r="D8" s="1301"/>
      <c r="E8" s="1299"/>
      <c r="F8" s="1302"/>
      <c r="G8" s="1302"/>
      <c r="H8" s="1303"/>
      <c r="I8" s="1304">
        <f t="shared" si="0"/>
        <v>0</v>
      </c>
    </row>
    <row r="9" spans="1:9">
      <c r="A9" s="3273"/>
      <c r="B9" s="3274" t="s">
        <v>1088</v>
      </c>
      <c r="C9" s="3274"/>
      <c r="D9" s="1301"/>
      <c r="E9" s="1299"/>
      <c r="F9" s="1302"/>
      <c r="G9" s="1302"/>
      <c r="H9" s="1303"/>
      <c r="I9" s="1304">
        <f t="shared" si="0"/>
        <v>0</v>
      </c>
    </row>
    <row r="10" spans="1:9">
      <c r="A10" s="3273"/>
      <c r="B10" s="3275" t="s">
        <v>1089</v>
      </c>
      <c r="C10" s="3275"/>
      <c r="D10" s="1305"/>
      <c r="E10" s="1305" t="e">
        <f>ROUND(D1*10000/D10/H9,0)</f>
        <v>#DIV/0!</v>
      </c>
      <c r="F10" s="1306"/>
      <c r="G10" s="1306"/>
      <c r="H10" s="1307"/>
      <c r="I10" s="1308">
        <f>SUM(I3:I9)</f>
        <v>0</v>
      </c>
    </row>
    <row r="11" spans="1:9" ht="14.25">
      <c r="A11" s="3273" t="s">
        <v>1090</v>
      </c>
      <c r="B11" s="3274" t="s">
        <v>1091</v>
      </c>
      <c r="C11" s="3274"/>
      <c r="D11" s="1301" t="s">
        <v>1092</v>
      </c>
      <c r="E11" s="1301" t="s">
        <v>1093</v>
      </c>
      <c r="F11" s="1302" t="s">
        <v>1094</v>
      </c>
      <c r="G11" s="1302" t="s">
        <v>1080</v>
      </c>
      <c r="H11" s="1309" t="s">
        <v>1095</v>
      </c>
      <c r="I11" s="1300" t="s">
        <v>1081</v>
      </c>
    </row>
    <row r="12" spans="1:9">
      <c r="A12" s="3273"/>
      <c r="B12" s="3274" t="s">
        <v>1096</v>
      </c>
      <c r="C12" s="3274"/>
      <c r="D12" s="1301"/>
      <c r="E12" s="1301"/>
      <c r="F12" s="1302"/>
      <c r="G12" s="1303"/>
      <c r="H12" s="1310"/>
      <c r="I12" s="1300">
        <f>ROUND(D12*E12*F12*G12/10000,0)</f>
        <v>0</v>
      </c>
    </row>
    <row r="13" spans="1:9">
      <c r="A13" s="3273"/>
      <c r="B13" s="3274" t="s">
        <v>1097</v>
      </c>
      <c r="C13" s="3274"/>
      <c r="D13" s="1301"/>
      <c r="E13" s="1301"/>
      <c r="F13" s="1302"/>
      <c r="G13" s="1303"/>
      <c r="H13" s="1310"/>
      <c r="I13" s="1300">
        <f>ROUND(D13*E13*F13*G13/10000,0)</f>
        <v>0</v>
      </c>
    </row>
    <row r="14" spans="1:9">
      <c r="A14" s="3273"/>
      <c r="B14" s="3274" t="s">
        <v>1098</v>
      </c>
      <c r="C14" s="3274"/>
      <c r="D14" s="1301"/>
      <c r="E14" s="1301"/>
      <c r="F14" s="1302"/>
      <c r="G14" s="1303"/>
      <c r="H14" s="1310"/>
      <c r="I14" s="1300">
        <f>ROUND(D14*E14*F14*G14/10000,0)</f>
        <v>0</v>
      </c>
    </row>
    <row r="15" spans="1:9">
      <c r="A15" s="3273"/>
      <c r="B15" s="3275" t="s">
        <v>1089</v>
      </c>
      <c r="C15" s="3275"/>
      <c r="D15" s="1305"/>
      <c r="E15" s="1305">
        <f>SUM(E12:E14)</f>
        <v>0</v>
      </c>
      <c r="F15" s="1306"/>
      <c r="G15" s="1303"/>
      <c r="H15" s="1310"/>
      <c r="I15" s="1311">
        <f>SUM(I12:I14)</f>
        <v>0</v>
      </c>
    </row>
    <row r="16" spans="1:9" ht="24">
      <c r="A16" s="3273" t="s">
        <v>1099</v>
      </c>
      <c r="B16" s="3274" t="s">
        <v>1100</v>
      </c>
      <c r="C16" s="3274"/>
      <c r="D16" s="1301" t="s">
        <v>1076</v>
      </c>
      <c r="E16" s="1312" t="s">
        <v>1101</v>
      </c>
      <c r="F16" s="1302" t="s">
        <v>1102</v>
      </c>
      <c r="G16" s="1303" t="s">
        <v>1080</v>
      </c>
      <c r="H16" s="1309" t="s">
        <v>1095</v>
      </c>
      <c r="I16" s="1300" t="s">
        <v>1081</v>
      </c>
    </row>
    <row r="17" spans="1:9" ht="14.25">
      <c r="A17" s="3273"/>
      <c r="B17" s="3274" t="s">
        <v>1103</v>
      </c>
      <c r="C17" s="3274"/>
      <c r="D17" s="1301"/>
      <c r="E17" s="1301"/>
      <c r="F17" s="1302"/>
      <c r="G17" s="1303"/>
      <c r="H17" s="1313"/>
      <c r="I17" s="1314">
        <f>ROUND(D17*E17*F17*G17/10000,0)</f>
        <v>0</v>
      </c>
    </row>
    <row r="18" spans="1:9" ht="14.25">
      <c r="A18" s="3273"/>
      <c r="B18" s="3274" t="s">
        <v>1104</v>
      </c>
      <c r="C18" s="3274"/>
      <c r="D18" s="1301"/>
      <c r="E18" s="1301"/>
      <c r="F18" s="1302"/>
      <c r="G18" s="1303"/>
      <c r="H18" s="1313"/>
      <c r="I18" s="1314">
        <f>ROUND(D18*E18*F18*G18/10000,0)</f>
        <v>0</v>
      </c>
    </row>
    <row r="19" spans="1:9" ht="14.25">
      <c r="A19" s="3273"/>
      <c r="B19" s="3274" t="s">
        <v>1105</v>
      </c>
      <c r="C19" s="3274"/>
      <c r="D19" s="1301"/>
      <c r="E19" s="1301"/>
      <c r="F19" s="1302"/>
      <c r="G19" s="1303"/>
      <c r="H19" s="1313"/>
      <c r="I19" s="1314">
        <f>ROUND(D19*E19*F19*G19/10000,0)</f>
        <v>0</v>
      </c>
    </row>
    <row r="20" spans="1:9">
      <c r="A20" s="3273"/>
      <c r="B20" s="3275" t="s">
        <v>1089</v>
      </c>
      <c r="C20" s="3275"/>
      <c r="D20" s="1305">
        <f>SUM(D17:D19)</f>
        <v>0</v>
      </c>
      <c r="E20" s="1305"/>
      <c r="F20" s="1306"/>
      <c r="G20" s="1303"/>
      <c r="H20" s="1310"/>
      <c r="I20" s="1311">
        <f>SUM(I17:I19)</f>
        <v>0</v>
      </c>
    </row>
    <row r="21" spans="1:9">
      <c r="A21" s="3273" t="s">
        <v>1106</v>
      </c>
      <c r="B21" s="3276"/>
      <c r="C21" s="3276"/>
      <c r="D21" s="3276"/>
      <c r="E21" s="3276"/>
      <c r="F21" s="3276"/>
      <c r="G21" s="3276"/>
      <c r="H21" s="1763">
        <v>0.1</v>
      </c>
      <c r="I21" s="1308">
        <f>ROUND(I10*H21,0)</f>
        <v>0</v>
      </c>
    </row>
    <row r="22" spans="1:9" ht="14.25">
      <c r="A22" s="3277" t="s">
        <v>1107</v>
      </c>
      <c r="B22" s="3278"/>
      <c r="C22" s="3279"/>
      <c r="D22" s="1315" t="s">
        <v>1108</v>
      </c>
      <c r="E22" s="1315" t="s">
        <v>1109</v>
      </c>
      <c r="F22" s="1316" t="s">
        <v>1110</v>
      </c>
      <c r="G22" s="1316" t="s">
        <v>1111</v>
      </c>
      <c r="H22" s="1309" t="s">
        <v>1112</v>
      </c>
      <c r="I22" s="1300" t="s">
        <v>1113</v>
      </c>
    </row>
    <row r="23" spans="1:9" ht="14.25" thickBot="1">
      <c r="A23" s="3280"/>
      <c r="B23" s="3281"/>
      <c r="C23" s="3282"/>
      <c r="D23" s="1317"/>
      <c r="E23" s="1317"/>
      <c r="F23" s="1317"/>
      <c r="G23" s="1318"/>
      <c r="H23" s="1319"/>
      <c r="I23" s="1320">
        <f>ROUND(E23*D23*F23*(1-G23)/10000,0)</f>
        <v>0</v>
      </c>
    </row>
    <row r="26" spans="1:9">
      <c r="A26" s="1321" t="s">
        <v>1114</v>
      </c>
      <c r="B26" s="1321"/>
      <c r="C26" s="1321"/>
      <c r="D26" s="1321"/>
      <c r="E26" s="3270">
        <f>C27-C30-C31-C32</f>
        <v>0</v>
      </c>
      <c r="F26" s="3270"/>
      <c r="G26" s="3270"/>
      <c r="H26" s="1735" t="s">
        <v>1336</v>
      </c>
    </row>
    <row r="27" spans="1:9">
      <c r="A27" s="1322">
        <v>1</v>
      </c>
      <c r="B27" s="1323" t="s">
        <v>1115</v>
      </c>
      <c r="C27" s="1323">
        <f>C28+C29</f>
        <v>0</v>
      </c>
      <c r="D27" s="1323"/>
      <c r="E27" s="3271"/>
      <c r="F27" s="3271"/>
      <c r="G27" s="3271"/>
    </row>
    <row r="28" spans="1:9">
      <c r="A28" s="1324" t="s">
        <v>1116</v>
      </c>
      <c r="B28" s="1323" t="s">
        <v>1117</v>
      </c>
      <c r="C28" s="1323"/>
      <c r="D28" s="1323"/>
      <c r="E28" s="3271"/>
      <c r="F28" s="3271"/>
      <c r="G28" s="327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72"/>
      <c r="F32" s="3272"/>
      <c r="G32" s="3272"/>
    </row>
    <row r="33" spans="1:7" hidden="1">
      <c r="A33" s="3267" t="s">
        <v>1126</v>
      </c>
      <c r="B33" s="3268"/>
      <c r="C33" s="3268"/>
      <c r="D33" s="3269"/>
      <c r="E33" s="3270"/>
      <c r="F33" s="3270"/>
      <c r="G33" s="3270"/>
    </row>
    <row r="34" spans="1:7" hidden="1">
      <c r="A34" s="1326">
        <v>1</v>
      </c>
      <c r="B34" s="1323" t="s">
        <v>1127</v>
      </c>
      <c r="C34" s="1323"/>
      <c r="D34" s="1323"/>
      <c r="E34" s="3271"/>
      <c r="F34" s="3271"/>
      <c r="G34" s="3271"/>
    </row>
    <row r="35" spans="1:7" hidden="1">
      <c r="A35" s="1326">
        <v>2</v>
      </c>
      <c r="B35" s="1323" t="s">
        <v>1128</v>
      </c>
      <c r="C35" s="1323"/>
      <c r="D35" s="1323"/>
      <c r="E35" s="3271"/>
      <c r="F35" s="3271"/>
      <c r="G35" s="3271"/>
    </row>
    <row r="36" spans="1:7" hidden="1">
      <c r="A36" s="1326">
        <v>3</v>
      </c>
      <c r="B36" s="1323" t="s">
        <v>1129</v>
      </c>
      <c r="C36" s="1323"/>
      <c r="D36" s="1323"/>
      <c r="E36" s="3271"/>
      <c r="F36" s="3271"/>
      <c r="G36" s="3271"/>
    </row>
    <row r="37" spans="1:7" hidden="1">
      <c r="A37" s="1326">
        <v>4</v>
      </c>
      <c r="B37" s="1323" t="s">
        <v>1130</v>
      </c>
      <c r="C37" s="1323"/>
      <c r="D37" s="1323"/>
      <c r="E37" s="3271"/>
      <c r="F37" s="3271"/>
      <c r="G37" s="3271"/>
    </row>
    <row r="38" spans="1:7" hidden="1">
      <c r="A38" s="3267" t="s">
        <v>1131</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6" sqref="M1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t="e">
        <f ca="1">IF(C2="——",ROUND(C49*D3/10000,0),ROUND(C49*D3/10000,0)-D2)</f>
        <v>#DIV/0!</v>
      </c>
      <c r="C2" s="2580"/>
      <c r="D2" s="1363" t="e">
        <f ca="1">SUMIF(INDIRECT("'"&amp;F2&amp;"'"&amp;"!A:A"),"承租人权益价值",INDIRECT("'"&amp;F2&amp;"'"&amp;"!c:c"))</f>
        <v>#REF!</v>
      </c>
      <c r="E2" s="2581" t="s">
        <v>2530</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t="e">
        <f ca="1">IF(C2="——",C49,ROUND(B2*10000/D3,0))</f>
        <v>#DIV/0!</v>
      </c>
      <c r="C3" s="399" t="s">
        <v>2531</v>
      </c>
      <c r="D3" s="398">
        <f>IF(D1="",'数据-汇总表'!E3,SUMIF('数据-汇总表'!$C19:$C33,D1,'数据-汇总表'!$E19:$E33))</f>
        <v>424.2</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14" t="s">
        <v>2533</v>
      </c>
      <c r="D4" s="3227"/>
      <c r="E4" s="3228" t="s">
        <v>2534</v>
      </c>
      <c r="F4" s="3229"/>
      <c r="G4" s="3214" t="s">
        <v>2535</v>
      </c>
      <c r="H4" s="3227"/>
      <c r="I4" s="3214" t="s">
        <v>2536</v>
      </c>
      <c r="J4" s="3227"/>
      <c r="K4" s="2590" t="s">
        <v>2537</v>
      </c>
      <c r="L4" s="1128"/>
      <c r="M4" s="1129"/>
      <c r="N4" s="1129"/>
      <c r="O4" s="1129"/>
      <c r="P4" s="3230" t="s">
        <v>2538</v>
      </c>
      <c r="Q4" s="3231"/>
      <c r="R4" s="3236" t="s">
        <v>2534</v>
      </c>
      <c r="S4" s="3237"/>
      <c r="T4" s="3236" t="s">
        <v>2535</v>
      </c>
      <c r="U4" s="3237"/>
      <c r="V4" s="3223" t="s">
        <v>2536</v>
      </c>
      <c r="W4" s="3223"/>
      <c r="X4" s="1810"/>
      <c r="Y4" s="3236" t="s">
        <v>2538</v>
      </c>
      <c r="Z4" s="3237"/>
      <c r="AA4" s="3224" t="s">
        <v>2534</v>
      </c>
      <c r="AB4" s="3224" t="s">
        <v>2535</v>
      </c>
      <c r="AC4" s="3224" t="s">
        <v>2536</v>
      </c>
    </row>
    <row r="5" spans="1:29" ht="15">
      <c r="A5" s="403"/>
      <c r="B5" s="404"/>
      <c r="C5" s="3244" t="s">
        <v>2539</v>
      </c>
      <c r="D5" s="3245"/>
      <c r="E5" s="3251" t="s">
        <v>2540</v>
      </c>
      <c r="F5" s="3252"/>
      <c r="G5" s="3244" t="s">
        <v>2541</v>
      </c>
      <c r="H5" s="3245"/>
      <c r="I5" s="3244" t="s">
        <v>2542</v>
      </c>
      <c r="J5" s="3245"/>
      <c r="K5" s="2591"/>
      <c r="L5" s="1128"/>
      <c r="M5" s="1129"/>
      <c r="N5" s="1129"/>
      <c r="O5" s="1129"/>
      <c r="P5" s="3232"/>
      <c r="Q5" s="3233"/>
      <c r="R5" s="3238"/>
      <c r="S5" s="3239"/>
      <c r="T5" s="3238"/>
      <c r="U5" s="3239"/>
      <c r="V5" s="3223"/>
      <c r="W5" s="3223"/>
      <c r="X5" s="1810"/>
      <c r="Y5" s="3238"/>
      <c r="Z5" s="3239"/>
      <c r="AA5" s="3225"/>
      <c r="AB5" s="3225"/>
      <c r="AC5" s="3225"/>
    </row>
    <row r="6" spans="1:29" ht="15.75" thickBot="1">
      <c r="A6" s="405"/>
      <c r="B6" s="406"/>
      <c r="C6" s="3242" t="s">
        <v>2543</v>
      </c>
      <c r="D6" s="3243"/>
      <c r="E6" s="3249" t="s">
        <v>2543</v>
      </c>
      <c r="F6" s="3250"/>
      <c r="G6" s="3242" t="s">
        <v>2543</v>
      </c>
      <c r="H6" s="3243"/>
      <c r="I6" s="3242" t="s">
        <v>2543</v>
      </c>
      <c r="J6" s="3243"/>
      <c r="K6" s="2591" t="s">
        <v>2544</v>
      </c>
      <c r="L6" s="1128"/>
      <c r="M6" s="1129"/>
      <c r="N6" s="1129"/>
      <c r="O6" s="1129"/>
      <c r="P6" s="3234"/>
      <c r="Q6" s="3235"/>
      <c r="R6" s="3238"/>
      <c r="S6" s="3239"/>
      <c r="T6" s="3240"/>
      <c r="U6" s="3241"/>
      <c r="V6" s="3223"/>
      <c r="W6" s="3223"/>
      <c r="X6" s="1810"/>
      <c r="Y6" s="3240"/>
      <c r="Z6" s="3241"/>
      <c r="AA6" s="3226"/>
      <c r="AB6" s="3226"/>
      <c r="AC6" s="3226"/>
    </row>
    <row r="7" spans="1:29" s="117" customFormat="1" ht="15.75" thickBot="1">
      <c r="A7" s="407" t="s">
        <v>2545</v>
      </c>
      <c r="B7" s="408"/>
      <c r="C7" s="409">
        <f>'数据-取费表'!B2</f>
        <v>43676</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246" t="s">
        <v>2546</v>
      </c>
      <c r="Q7" s="3248"/>
      <c r="R7" s="769" t="s">
        <v>23</v>
      </c>
      <c r="S7" s="770">
        <f t="shared" ref="S7:S15" si="0">F7</f>
        <v>0</v>
      </c>
      <c r="T7" s="769" t="s">
        <v>23</v>
      </c>
      <c r="U7" s="770">
        <f t="shared" ref="U7:U15" si="1">H7</f>
        <v>0</v>
      </c>
      <c r="V7" s="769" t="s">
        <v>23</v>
      </c>
      <c r="W7" s="770">
        <f t="shared" ref="W7:W15" si="2">J7</f>
        <v>0</v>
      </c>
      <c r="X7" s="771"/>
      <c r="Y7" s="3246" t="s">
        <v>2546</v>
      </c>
      <c r="Z7" s="3247"/>
      <c r="AA7" s="772" t="e">
        <f>D7/F7</f>
        <v>#DIV/0!</v>
      </c>
      <c r="AB7" s="772" t="e">
        <f>D7/H7</f>
        <v>#DIV/0!</v>
      </c>
      <c r="AC7" s="772" t="e">
        <f>D7/J7</f>
        <v>#DIV/0!</v>
      </c>
    </row>
    <row r="8" spans="1:29" s="117" customFormat="1" ht="15.75" thickBot="1">
      <c r="A8" s="407" t="s">
        <v>2547</v>
      </c>
      <c r="B8" s="408"/>
      <c r="C8" s="413" t="s">
        <v>2548</v>
      </c>
      <c r="D8" s="410">
        <v>100</v>
      </c>
      <c r="E8" s="2593"/>
      <c r="F8" s="412">
        <f>SUMIF(61:61,E8,62:62)-SUMIF(61:61,C8,62:62)+100</f>
        <v>0</v>
      </c>
      <c r="G8" s="413"/>
      <c r="H8" s="410">
        <f>SUMIF(61:61,G8,62:62)-SUMIF(61:61,C8,62:62)+100</f>
        <v>0</v>
      </c>
      <c r="I8" s="2593"/>
      <c r="J8" s="410">
        <f>SUMIF(61:61,I8,62:62)-SUMIF(61:61,C8,62:62)+100</f>
        <v>0</v>
      </c>
      <c r="K8" s="2592"/>
      <c r="L8" s="1130"/>
      <c r="M8" s="1131"/>
      <c r="N8" s="1131"/>
      <c r="O8" s="1131"/>
      <c r="P8" s="3246" t="s">
        <v>2549</v>
      </c>
      <c r="Q8" s="3247"/>
      <c r="R8" s="769" t="s">
        <v>23</v>
      </c>
      <c r="S8" s="770">
        <f t="shared" si="0"/>
        <v>0</v>
      </c>
      <c r="T8" s="769" t="s">
        <v>23</v>
      </c>
      <c r="U8" s="770">
        <f t="shared" si="1"/>
        <v>0</v>
      </c>
      <c r="V8" s="769" t="s">
        <v>23</v>
      </c>
      <c r="W8" s="770">
        <f t="shared" si="2"/>
        <v>0</v>
      </c>
      <c r="X8" s="771"/>
      <c r="Y8" s="3246" t="s">
        <v>2549</v>
      </c>
      <c r="Z8" s="3247"/>
      <c r="AA8" s="772" t="e">
        <f t="shared" ref="AA8:AA19" si="3">D8/F8</f>
        <v>#DIV/0!</v>
      </c>
      <c r="AB8" s="772" t="e">
        <f t="shared" ref="AB8:AB19" si="4">D8/H8</f>
        <v>#DIV/0!</v>
      </c>
      <c r="AC8" s="772" t="e">
        <f t="shared" ref="AC8:AC19" si="5">D8/J8</f>
        <v>#DIV/0!</v>
      </c>
    </row>
    <row r="9" spans="1:29" s="117"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216" t="s">
        <v>2552</v>
      </c>
      <c r="Q9" s="1792" t="str">
        <f t="shared" ref="Q9:Q15" si="6">B9</f>
        <v>用途</v>
      </c>
      <c r="R9" s="769" t="s">
        <v>17</v>
      </c>
      <c r="S9" s="770">
        <f t="shared" si="0"/>
        <v>100</v>
      </c>
      <c r="T9" s="769" t="s">
        <v>17</v>
      </c>
      <c r="U9" s="770">
        <f t="shared" si="1"/>
        <v>100</v>
      </c>
      <c r="V9" s="769" t="s">
        <v>17</v>
      </c>
      <c r="W9" s="770">
        <f t="shared" si="2"/>
        <v>100</v>
      </c>
      <c r="X9" s="771"/>
      <c r="Y9" s="3065"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16"/>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16"/>
      <c r="Q11" s="1792" t="str">
        <f t="shared" si="6"/>
        <v>容积率</v>
      </c>
      <c r="R11" s="769" t="s">
        <v>21</v>
      </c>
      <c r="S11" s="770" t="e">
        <f t="shared" si="0"/>
        <v>#N/A</v>
      </c>
      <c r="T11" s="769" t="s">
        <v>21</v>
      </c>
      <c r="U11" s="770" t="e">
        <f t="shared" si="1"/>
        <v>#N/A</v>
      </c>
      <c r="V11" s="769" t="s">
        <v>21</v>
      </c>
      <c r="W11" s="770" t="e">
        <f t="shared" si="2"/>
        <v>#N/A</v>
      </c>
      <c r="X11" s="771"/>
      <c r="Y11" s="3065"/>
      <c r="Z11" s="55" t="str">
        <f t="shared" si="7"/>
        <v>容积率</v>
      </c>
      <c r="AA11" s="772" t="e">
        <f t="shared" si="3"/>
        <v>#N/A</v>
      </c>
      <c r="AB11" s="772" t="e">
        <f t="shared" si="4"/>
        <v>#N/A</v>
      </c>
      <c r="AC11" s="772" t="e">
        <f t="shared" si="5"/>
        <v>#N/A</v>
      </c>
    </row>
    <row r="12" spans="1:29" s="117"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216"/>
      <c r="Q12" s="1792">
        <f t="shared" si="6"/>
        <v>111</v>
      </c>
      <c r="R12" s="769" t="s">
        <v>21</v>
      </c>
      <c r="S12" s="770">
        <f t="shared" si="0"/>
        <v>100</v>
      </c>
      <c r="T12" s="769" t="s">
        <v>21</v>
      </c>
      <c r="U12" s="770">
        <f t="shared" si="1"/>
        <v>100</v>
      </c>
      <c r="V12" s="769" t="s">
        <v>21</v>
      </c>
      <c r="W12" s="770">
        <f t="shared" si="2"/>
        <v>100</v>
      </c>
      <c r="X12" s="771"/>
      <c r="Y12" s="3065"/>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216"/>
      <c r="Q13" s="1792">
        <f t="shared" si="6"/>
        <v>111</v>
      </c>
      <c r="R13" s="769" t="s">
        <v>21</v>
      </c>
      <c r="S13" s="770">
        <f t="shared" si="0"/>
        <v>100</v>
      </c>
      <c r="T13" s="769" t="s">
        <v>21</v>
      </c>
      <c r="U13" s="770">
        <f t="shared" si="1"/>
        <v>100</v>
      </c>
      <c r="V13" s="769" t="s">
        <v>21</v>
      </c>
      <c r="W13" s="770">
        <f t="shared" si="2"/>
        <v>100</v>
      </c>
      <c r="X13" s="771"/>
      <c r="Y13" s="3065"/>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216"/>
      <c r="Q14" s="1792">
        <f t="shared" si="6"/>
        <v>111</v>
      </c>
      <c r="R14" s="769" t="s">
        <v>21</v>
      </c>
      <c r="S14" s="770">
        <f t="shared" si="0"/>
        <v>100</v>
      </c>
      <c r="T14" s="769" t="s">
        <v>21</v>
      </c>
      <c r="U14" s="770">
        <f t="shared" si="1"/>
        <v>100</v>
      </c>
      <c r="V14" s="769" t="s">
        <v>21</v>
      </c>
      <c r="W14" s="770">
        <f t="shared" si="2"/>
        <v>100</v>
      </c>
      <c r="X14" s="771"/>
      <c r="Y14" s="3065"/>
      <c r="Z14" s="55">
        <f t="shared" si="7"/>
        <v>111</v>
      </c>
      <c r="AA14" s="772">
        <f t="shared" si="3"/>
        <v>1</v>
      </c>
      <c r="AB14" s="772">
        <f t="shared" si="4"/>
        <v>1</v>
      </c>
      <c r="AC14" s="772">
        <f t="shared" si="5"/>
        <v>1</v>
      </c>
    </row>
    <row r="15" spans="1:29" ht="99.75">
      <c r="A15" s="439" t="s">
        <v>2556</v>
      </c>
      <c r="B15" s="69" t="s">
        <v>2081</v>
      </c>
      <c r="C15" s="259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55" t="s">
        <v>2557</v>
      </c>
      <c r="Q15" s="1807" t="str">
        <f t="shared" si="6"/>
        <v>居住社区成熟度</v>
      </c>
      <c r="R15" s="773" t="s">
        <v>21</v>
      </c>
      <c r="S15" s="774">
        <f t="shared" si="0"/>
        <v>100</v>
      </c>
      <c r="T15" s="773" t="s">
        <v>21</v>
      </c>
      <c r="U15" s="774">
        <f t="shared" si="1"/>
        <v>100</v>
      </c>
      <c r="V15" s="773" t="s">
        <v>21</v>
      </c>
      <c r="W15" s="774">
        <f t="shared" si="2"/>
        <v>100</v>
      </c>
      <c r="X15" s="1810"/>
      <c r="Y15" s="3219" t="s">
        <v>2557</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8"/>
      <c r="M16" s="1129"/>
      <c r="N16" s="1129"/>
      <c r="O16" s="1129"/>
      <c r="P16" s="3256"/>
      <c r="Q16" s="1807"/>
      <c r="R16" s="773"/>
      <c r="S16" s="774"/>
      <c r="T16" s="773"/>
      <c r="U16" s="774"/>
      <c r="V16" s="773"/>
      <c r="W16" s="774"/>
      <c r="X16" s="1810"/>
      <c r="Y16" s="3220"/>
      <c r="Z16" s="1811"/>
      <c r="AA16" s="1808">
        <v>1</v>
      </c>
      <c r="AB16" s="1808">
        <v>1</v>
      </c>
      <c r="AC16" s="1808">
        <v>1</v>
      </c>
    </row>
    <row r="17" spans="1:29" ht="85.5">
      <c r="A17" s="427"/>
      <c r="B17" s="450" t="s">
        <v>2093</v>
      </c>
      <c r="C17" s="260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56"/>
      <c r="Q17" s="1807" t="str">
        <f>B17</f>
        <v>交通便捷度</v>
      </c>
      <c r="R17" s="773" t="s">
        <v>21</v>
      </c>
      <c r="S17" s="774">
        <f>F17</f>
        <v>100</v>
      </c>
      <c r="T17" s="773" t="s">
        <v>21</v>
      </c>
      <c r="U17" s="774">
        <f>H17</f>
        <v>100</v>
      </c>
      <c r="V17" s="773" t="s">
        <v>21</v>
      </c>
      <c r="W17" s="774">
        <f>J17</f>
        <v>100</v>
      </c>
      <c r="X17" s="1810"/>
      <c r="Y17" s="3220"/>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8"/>
      <c r="M18" s="1129"/>
      <c r="N18" s="1129"/>
      <c r="O18" s="1129"/>
      <c r="P18" s="3256"/>
      <c r="Q18" s="1807"/>
      <c r="R18" s="773"/>
      <c r="S18" s="774"/>
      <c r="T18" s="773"/>
      <c r="U18" s="774"/>
      <c r="V18" s="773"/>
      <c r="W18" s="774"/>
      <c r="X18" s="1810"/>
      <c r="Y18" s="3220"/>
      <c r="Z18" s="1811"/>
      <c r="AA18" s="1808">
        <v>1</v>
      </c>
      <c r="AB18" s="1808">
        <v>1</v>
      </c>
      <c r="AC18" s="1808">
        <v>1</v>
      </c>
    </row>
    <row r="19" spans="1:29" ht="42.75">
      <c r="A19" s="427"/>
      <c r="B19" s="450" t="s">
        <v>2091</v>
      </c>
      <c r="C19" s="260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56"/>
      <c r="Q19" s="1807" t="str">
        <f>B19</f>
        <v>公共配套设施</v>
      </c>
      <c r="R19" s="773" t="s">
        <v>21</v>
      </c>
      <c r="S19" s="774">
        <f>F19</f>
        <v>100</v>
      </c>
      <c r="T19" s="773" t="s">
        <v>21</v>
      </c>
      <c r="U19" s="774">
        <f>H19</f>
        <v>100</v>
      </c>
      <c r="V19" s="773" t="s">
        <v>21</v>
      </c>
      <c r="W19" s="774">
        <f>J19</f>
        <v>100</v>
      </c>
      <c r="X19" s="1810"/>
      <c r="Y19" s="3220"/>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8"/>
      <c r="M20" s="1129"/>
      <c r="N20" s="1129"/>
      <c r="O20" s="1129"/>
      <c r="P20" s="3256"/>
      <c r="Q20" s="1807"/>
      <c r="R20" s="773"/>
      <c r="S20" s="774"/>
      <c r="T20" s="773"/>
      <c r="U20" s="774"/>
      <c r="V20" s="773"/>
      <c r="W20" s="774"/>
      <c r="X20" s="1810"/>
      <c r="Y20" s="3220"/>
      <c r="Z20" s="1811"/>
      <c r="AA20" s="1808">
        <v>1</v>
      </c>
      <c r="AB20" s="1808">
        <v>1</v>
      </c>
      <c r="AC20" s="1808">
        <v>1</v>
      </c>
    </row>
    <row r="21" spans="1:29" ht="28.5">
      <c r="A21" s="427"/>
      <c r="B21" s="1382" t="s">
        <v>2094</v>
      </c>
      <c r="C21" s="260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56"/>
      <c r="Q21" s="1807" t="str">
        <f>B21</f>
        <v>基础设施水平</v>
      </c>
      <c r="R21" s="773" t="s">
        <v>17</v>
      </c>
      <c r="S21" s="774">
        <f>F21</f>
        <v>100</v>
      </c>
      <c r="T21" s="773" t="s">
        <v>17</v>
      </c>
      <c r="U21" s="774">
        <f>H21</f>
        <v>100</v>
      </c>
      <c r="V21" s="773" t="s">
        <v>17</v>
      </c>
      <c r="W21" s="774">
        <f>J21</f>
        <v>100</v>
      </c>
      <c r="X21" s="1810"/>
      <c r="Y21" s="3220"/>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7"/>
      <c r="G22" s="2605"/>
      <c r="H22" s="447"/>
      <c r="I22" s="446"/>
      <c r="J22" s="447"/>
      <c r="K22" s="2606"/>
      <c r="L22" s="1138"/>
      <c r="M22" s="1129"/>
      <c r="N22" s="1129"/>
      <c r="O22" s="1129"/>
      <c r="P22" s="3256"/>
      <c r="Q22" s="1807"/>
      <c r="R22" s="773"/>
      <c r="S22" s="774"/>
      <c r="T22" s="773"/>
      <c r="U22" s="774"/>
      <c r="V22" s="773"/>
      <c r="W22" s="774"/>
      <c r="X22" s="1810"/>
      <c r="Y22" s="3220"/>
      <c r="Z22" s="1811"/>
      <c r="AA22" s="1808">
        <v>1</v>
      </c>
      <c r="AB22" s="1808">
        <v>1</v>
      </c>
      <c r="AC22" s="1808">
        <v>1</v>
      </c>
    </row>
    <row r="23" spans="1:29" ht="57">
      <c r="A23" s="427"/>
      <c r="B23" s="450" t="s">
        <v>2098</v>
      </c>
      <c r="C23" s="260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56"/>
      <c r="Q23" s="1807" t="str">
        <f>B23</f>
        <v>自然及人文环境</v>
      </c>
      <c r="R23" s="773" t="s">
        <v>21</v>
      </c>
      <c r="S23" s="774">
        <f>F23</f>
        <v>100</v>
      </c>
      <c r="T23" s="773" t="s">
        <v>21</v>
      </c>
      <c r="U23" s="774">
        <f>H23</f>
        <v>100</v>
      </c>
      <c r="V23" s="773" t="s">
        <v>21</v>
      </c>
      <c r="W23" s="774">
        <f>J23</f>
        <v>100</v>
      </c>
      <c r="X23" s="1810"/>
      <c r="Y23" s="3220"/>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8"/>
      <c r="M24" s="1129"/>
      <c r="N24" s="1129"/>
      <c r="O24" s="1129"/>
      <c r="P24" s="3256"/>
      <c r="Q24" s="1807"/>
      <c r="R24" s="773"/>
      <c r="S24" s="774"/>
      <c r="T24" s="773"/>
      <c r="U24" s="774"/>
      <c r="V24" s="773"/>
      <c r="W24" s="774"/>
      <c r="X24" s="1810"/>
      <c r="Y24" s="3220"/>
      <c r="Z24" s="1811"/>
      <c r="AA24" s="1808">
        <v>1</v>
      </c>
      <c r="AB24" s="1808">
        <v>1</v>
      </c>
      <c r="AC24" s="1808">
        <v>1</v>
      </c>
    </row>
    <row r="25" spans="1:29" ht="15">
      <c r="A25" s="427"/>
      <c r="B25" s="421" t="s">
        <v>2558</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256"/>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20"/>
      <c r="Z25" s="1811" t="str">
        <f>Q25</f>
        <v>楼层-1</v>
      </c>
      <c r="AA25" s="1808">
        <f t="shared" ref="AA25:AA46" si="15">D25/F25</f>
        <v>1</v>
      </c>
      <c r="AB25" s="1808">
        <f t="shared" ref="AB25:AB46" si="16">D25/H25</f>
        <v>1</v>
      </c>
      <c r="AC25" s="1808">
        <f t="shared" ref="AC25:AC46" si="17">D25/J25</f>
        <v>1</v>
      </c>
    </row>
    <row r="26" spans="1:29" ht="15">
      <c r="A26" s="427"/>
      <c r="B26" s="421" t="s">
        <v>2559</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256"/>
      <c r="Q26" s="1807" t="str">
        <f t="shared" si="11"/>
        <v>朝向</v>
      </c>
      <c r="R26" s="773" t="s">
        <v>21</v>
      </c>
      <c r="S26" s="774">
        <f t="shared" si="12"/>
        <v>100</v>
      </c>
      <c r="T26" s="773" t="s">
        <v>21</v>
      </c>
      <c r="U26" s="774">
        <f t="shared" si="13"/>
        <v>100</v>
      </c>
      <c r="V26" s="773" t="s">
        <v>21</v>
      </c>
      <c r="W26" s="774">
        <f t="shared" si="14"/>
        <v>100</v>
      </c>
      <c r="X26" s="1810"/>
      <c r="Y26" s="3220"/>
      <c r="Z26" s="1811" t="str">
        <f>Q26</f>
        <v>朝向</v>
      </c>
      <c r="AA26" s="1808">
        <f t="shared" si="15"/>
        <v>1</v>
      </c>
      <c r="AB26" s="1808">
        <f t="shared" si="16"/>
        <v>1</v>
      </c>
      <c r="AC26" s="1808">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256"/>
      <c r="Q27" s="1792">
        <f t="shared" si="11"/>
        <v>111</v>
      </c>
      <c r="R27" s="769" t="s">
        <v>21</v>
      </c>
      <c r="S27" s="770">
        <f t="shared" si="12"/>
        <v>100</v>
      </c>
      <c r="T27" s="769" t="s">
        <v>21</v>
      </c>
      <c r="U27" s="770">
        <f t="shared" si="13"/>
        <v>100</v>
      </c>
      <c r="V27" s="769" t="s">
        <v>21</v>
      </c>
      <c r="W27" s="770">
        <f t="shared" si="14"/>
        <v>100</v>
      </c>
      <c r="X27" s="771"/>
      <c r="Y27" s="3220"/>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256"/>
      <c r="Q28" s="1807">
        <f t="shared" si="11"/>
        <v>111</v>
      </c>
      <c r="R28" s="773" t="s">
        <v>21</v>
      </c>
      <c r="S28" s="774">
        <f t="shared" si="12"/>
        <v>100</v>
      </c>
      <c r="T28" s="773" t="s">
        <v>21</v>
      </c>
      <c r="U28" s="774">
        <f t="shared" si="13"/>
        <v>100</v>
      </c>
      <c r="V28" s="773" t="s">
        <v>21</v>
      </c>
      <c r="W28" s="774">
        <f t="shared" si="14"/>
        <v>100</v>
      </c>
      <c r="X28" s="1810"/>
      <c r="Y28" s="3220"/>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256"/>
      <c r="Q29" s="1807">
        <f t="shared" si="11"/>
        <v>111</v>
      </c>
      <c r="R29" s="773" t="s">
        <v>21</v>
      </c>
      <c r="S29" s="774">
        <f t="shared" si="12"/>
        <v>100</v>
      </c>
      <c r="T29" s="773" t="s">
        <v>21</v>
      </c>
      <c r="U29" s="774">
        <f t="shared" si="13"/>
        <v>100</v>
      </c>
      <c r="V29" s="773" t="s">
        <v>21</v>
      </c>
      <c r="W29" s="774">
        <f t="shared" si="14"/>
        <v>100</v>
      </c>
      <c r="X29" s="1810"/>
      <c r="Y29" s="3220"/>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256"/>
      <c r="Q30" s="1807">
        <f t="shared" si="11"/>
        <v>111</v>
      </c>
      <c r="R30" s="773" t="s">
        <v>21</v>
      </c>
      <c r="S30" s="774">
        <f t="shared" si="12"/>
        <v>100</v>
      </c>
      <c r="T30" s="773" t="s">
        <v>21</v>
      </c>
      <c r="U30" s="774">
        <f t="shared" si="13"/>
        <v>100</v>
      </c>
      <c r="V30" s="773" t="s">
        <v>21</v>
      </c>
      <c r="W30" s="774">
        <f t="shared" si="14"/>
        <v>100</v>
      </c>
      <c r="X30" s="1810"/>
      <c r="Y30" s="3220"/>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256"/>
      <c r="Q31" s="1807">
        <f t="shared" si="11"/>
        <v>111</v>
      </c>
      <c r="R31" s="773" t="s">
        <v>21</v>
      </c>
      <c r="S31" s="774">
        <f t="shared" si="12"/>
        <v>100</v>
      </c>
      <c r="T31" s="773" t="s">
        <v>21</v>
      </c>
      <c r="U31" s="774">
        <f t="shared" si="13"/>
        <v>100</v>
      </c>
      <c r="V31" s="773" t="s">
        <v>21</v>
      </c>
      <c r="W31" s="774">
        <f t="shared" si="14"/>
        <v>100</v>
      </c>
      <c r="X31" s="1810"/>
      <c r="Y31" s="3220"/>
      <c r="Z31" s="1811">
        <f t="shared" si="18"/>
        <v>111</v>
      </c>
      <c r="AA31" s="1808">
        <f t="shared" si="15"/>
        <v>1</v>
      </c>
      <c r="AB31" s="1808">
        <f t="shared" si="16"/>
        <v>1</v>
      </c>
      <c r="AC31" s="1808">
        <f t="shared" si="17"/>
        <v>1</v>
      </c>
    </row>
    <row r="32" spans="1:29" ht="15">
      <c r="A32" s="439" t="s">
        <v>2560</v>
      </c>
      <c r="B32" s="71" t="s">
        <v>2561</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257" t="s">
        <v>2562</v>
      </c>
      <c r="Q32" s="1807" t="str">
        <f t="shared" si="11"/>
        <v>建筑类型</v>
      </c>
      <c r="R32" s="773" t="s">
        <v>21</v>
      </c>
      <c r="S32" s="774">
        <f t="shared" si="12"/>
        <v>100</v>
      </c>
      <c r="T32" s="773" t="s">
        <v>21</v>
      </c>
      <c r="U32" s="774">
        <f t="shared" si="13"/>
        <v>100</v>
      </c>
      <c r="V32" s="773" t="s">
        <v>21</v>
      </c>
      <c r="W32" s="774">
        <f t="shared" si="14"/>
        <v>100</v>
      </c>
      <c r="X32" s="1810"/>
      <c r="Y32" s="3222" t="s">
        <v>2562</v>
      </c>
      <c r="Z32" s="1811" t="str">
        <f t="shared" si="18"/>
        <v>建筑类型</v>
      </c>
      <c r="AA32" s="1808">
        <f t="shared" si="15"/>
        <v>1</v>
      </c>
      <c r="AB32" s="1808">
        <f t="shared" si="16"/>
        <v>1</v>
      </c>
      <c r="AC32" s="1808">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6"/>
      <c r="M33" s="1139"/>
      <c r="N33" s="1139"/>
      <c r="O33" s="1139"/>
      <c r="P33" s="3258"/>
      <c r="Q33" s="775" t="str">
        <f t="shared" si="11"/>
        <v>项目建筑规模</v>
      </c>
      <c r="R33" s="776" t="s">
        <v>21</v>
      </c>
      <c r="S33" s="777" t="e">
        <f t="shared" si="12"/>
        <v>#N/A</v>
      </c>
      <c r="T33" s="776" t="s">
        <v>21</v>
      </c>
      <c r="U33" s="777" t="e">
        <f t="shared" si="13"/>
        <v>#N/A</v>
      </c>
      <c r="V33" s="776" t="s">
        <v>21</v>
      </c>
      <c r="W33" s="777" t="e">
        <f t="shared" si="14"/>
        <v>#N/A</v>
      </c>
      <c r="X33" s="778"/>
      <c r="Y33" s="3222"/>
      <c r="Z33" s="779" t="str">
        <f t="shared" si="18"/>
        <v>项目建筑规模</v>
      </c>
      <c r="AA33" s="1808" t="e">
        <f t="shared" si="15"/>
        <v>#N/A</v>
      </c>
      <c r="AB33" s="1808" t="e">
        <f t="shared" si="16"/>
        <v>#N/A</v>
      </c>
      <c r="AC33" s="1808" t="e">
        <f t="shared" si="17"/>
        <v>#N/A</v>
      </c>
    </row>
    <row r="34" spans="1:29" ht="15">
      <c r="A34" s="471"/>
      <c r="B34" s="421" t="s">
        <v>2564</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258"/>
      <c r="Q34" s="1807" t="str">
        <f t="shared" si="11"/>
        <v>建筑结构</v>
      </c>
      <c r="R34" s="773" t="s">
        <v>21</v>
      </c>
      <c r="S34" s="774">
        <f t="shared" si="12"/>
        <v>100</v>
      </c>
      <c r="T34" s="773" t="s">
        <v>21</v>
      </c>
      <c r="U34" s="774">
        <f t="shared" si="13"/>
        <v>100</v>
      </c>
      <c r="V34" s="773" t="s">
        <v>21</v>
      </c>
      <c r="W34" s="774">
        <f t="shared" si="14"/>
        <v>100</v>
      </c>
      <c r="X34" s="1810"/>
      <c r="Y34" s="3222"/>
      <c r="Z34" s="1811" t="str">
        <f t="shared" si="18"/>
        <v>建筑结构</v>
      </c>
      <c r="AA34" s="1808">
        <f t="shared" si="15"/>
        <v>1</v>
      </c>
      <c r="AB34" s="1808">
        <f t="shared" si="16"/>
        <v>1</v>
      </c>
      <c r="AC34" s="1808">
        <f t="shared" si="17"/>
        <v>1</v>
      </c>
    </row>
    <row r="35" spans="1:29" ht="15">
      <c r="A35" s="471"/>
      <c r="B35" s="421" t="s">
        <v>2565</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258"/>
      <c r="Q35" s="1807" t="str">
        <f t="shared" si="11"/>
        <v>建筑品质</v>
      </c>
      <c r="R35" s="773" t="s">
        <v>21</v>
      </c>
      <c r="S35" s="774">
        <f t="shared" si="12"/>
        <v>100</v>
      </c>
      <c r="T35" s="773" t="s">
        <v>21</v>
      </c>
      <c r="U35" s="774">
        <f t="shared" si="13"/>
        <v>100</v>
      </c>
      <c r="V35" s="773" t="s">
        <v>21</v>
      </c>
      <c r="W35" s="774">
        <f t="shared" si="14"/>
        <v>100</v>
      </c>
      <c r="X35" s="1810"/>
      <c r="Y35" s="3222"/>
      <c r="Z35" s="1811" t="str">
        <f t="shared" si="18"/>
        <v>建筑品质</v>
      </c>
      <c r="AA35" s="1808">
        <f t="shared" si="15"/>
        <v>1</v>
      </c>
      <c r="AB35" s="1808">
        <f t="shared" si="16"/>
        <v>1</v>
      </c>
      <c r="AC35" s="1808">
        <f t="shared" si="17"/>
        <v>1</v>
      </c>
    </row>
    <row r="36" spans="1:29" ht="15">
      <c r="A36" s="471"/>
      <c r="B36" s="421" t="s">
        <v>2566</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258"/>
      <c r="Q36" s="1807" t="str">
        <f t="shared" si="11"/>
        <v>公共部分装修</v>
      </c>
      <c r="R36" s="773" t="s">
        <v>21</v>
      </c>
      <c r="S36" s="774">
        <f t="shared" si="12"/>
        <v>100</v>
      </c>
      <c r="T36" s="773" t="s">
        <v>21</v>
      </c>
      <c r="U36" s="774">
        <f t="shared" si="13"/>
        <v>100</v>
      </c>
      <c r="V36" s="773" t="s">
        <v>21</v>
      </c>
      <c r="W36" s="774">
        <f t="shared" si="14"/>
        <v>100</v>
      </c>
      <c r="X36" s="1810"/>
      <c r="Y36" s="3222"/>
      <c r="Z36" s="1811" t="str">
        <f t="shared" si="18"/>
        <v>公共部分装修</v>
      </c>
      <c r="AA36" s="1808">
        <f t="shared" si="15"/>
        <v>1</v>
      </c>
      <c r="AB36" s="1808">
        <f t="shared" si="16"/>
        <v>1</v>
      </c>
      <c r="AC36" s="1808">
        <f t="shared" si="17"/>
        <v>1</v>
      </c>
    </row>
    <row r="37" spans="1:29" s="117"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58"/>
      <c r="Q37" s="1792" t="str">
        <f t="shared" si="11"/>
        <v>成新度</v>
      </c>
      <c r="R37" s="769" t="s">
        <v>21</v>
      </c>
      <c r="S37" s="770" t="e">
        <f t="shared" si="12"/>
        <v>#N/A</v>
      </c>
      <c r="T37" s="769" t="s">
        <v>21</v>
      </c>
      <c r="U37" s="770" t="e">
        <f t="shared" si="13"/>
        <v>#N/A</v>
      </c>
      <c r="V37" s="769" t="s">
        <v>21</v>
      </c>
      <c r="W37" s="770" t="e">
        <f t="shared" si="14"/>
        <v>#N/A</v>
      </c>
      <c r="X37" s="771"/>
      <c r="Y37" s="3222"/>
      <c r="Z37" s="55" t="str">
        <f t="shared" si="18"/>
        <v>成新度</v>
      </c>
      <c r="AA37" s="772" t="e">
        <f t="shared" si="15"/>
        <v>#N/A</v>
      </c>
      <c r="AB37" s="772" t="e">
        <f t="shared" si="16"/>
        <v>#N/A</v>
      </c>
      <c r="AC37" s="772" t="e">
        <f t="shared" si="17"/>
        <v>#N/A</v>
      </c>
    </row>
    <row r="38" spans="1:29" ht="15">
      <c r="A38" s="471"/>
      <c r="B38" s="421" t="s">
        <v>2568</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258" t="s">
        <v>2562</v>
      </c>
      <c r="Q38" s="1807" t="str">
        <f t="shared" si="11"/>
        <v>物业管理</v>
      </c>
      <c r="R38" s="773" t="s">
        <v>21</v>
      </c>
      <c r="S38" s="774">
        <f t="shared" si="12"/>
        <v>100</v>
      </c>
      <c r="T38" s="773" t="s">
        <v>21</v>
      </c>
      <c r="U38" s="774">
        <f t="shared" si="13"/>
        <v>100</v>
      </c>
      <c r="V38" s="773" t="s">
        <v>21</v>
      </c>
      <c r="W38" s="774">
        <f t="shared" si="14"/>
        <v>100</v>
      </c>
      <c r="X38" s="1810"/>
      <c r="Y38" s="3222" t="s">
        <v>2562</v>
      </c>
      <c r="Z38" s="1811" t="str">
        <f t="shared" si="18"/>
        <v>物业管理</v>
      </c>
      <c r="AA38" s="1808">
        <f t="shared" si="15"/>
        <v>1</v>
      </c>
      <c r="AB38" s="1808">
        <f t="shared" si="16"/>
        <v>1</v>
      </c>
      <c r="AC38" s="1808">
        <f t="shared" si="17"/>
        <v>1</v>
      </c>
    </row>
    <row r="39" spans="1:29" ht="15">
      <c r="A39" s="471"/>
      <c r="B39" s="421" t="s">
        <v>2569</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258"/>
      <c r="Q39" s="1807" t="str">
        <f t="shared" si="11"/>
        <v>市政基础设施</v>
      </c>
      <c r="R39" s="773" t="s">
        <v>21</v>
      </c>
      <c r="S39" s="774">
        <f t="shared" si="12"/>
        <v>100</v>
      </c>
      <c r="T39" s="773" t="s">
        <v>21</v>
      </c>
      <c r="U39" s="774">
        <f t="shared" si="13"/>
        <v>100</v>
      </c>
      <c r="V39" s="773" t="s">
        <v>21</v>
      </c>
      <c r="W39" s="774">
        <f t="shared" si="14"/>
        <v>100</v>
      </c>
      <c r="X39" s="1810"/>
      <c r="Y39" s="3222"/>
      <c r="Z39" s="1811" t="str">
        <f t="shared" si="18"/>
        <v>市政基础设施</v>
      </c>
      <c r="AA39" s="1808">
        <f t="shared" si="15"/>
        <v>1</v>
      </c>
      <c r="AB39" s="1808">
        <f t="shared" si="16"/>
        <v>1</v>
      </c>
      <c r="AC39" s="1808">
        <f t="shared" si="17"/>
        <v>1</v>
      </c>
    </row>
    <row r="40" spans="1:29" ht="15">
      <c r="A40" s="471"/>
      <c r="B40" s="421" t="s">
        <v>2570</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258"/>
      <c r="Q40" s="1807" t="str">
        <f t="shared" si="11"/>
        <v>房型</v>
      </c>
      <c r="R40" s="773" t="s">
        <v>21</v>
      </c>
      <c r="S40" s="774">
        <f t="shared" si="12"/>
        <v>100</v>
      </c>
      <c r="T40" s="773" t="s">
        <v>21</v>
      </c>
      <c r="U40" s="774">
        <f t="shared" si="13"/>
        <v>100</v>
      </c>
      <c r="V40" s="773" t="s">
        <v>21</v>
      </c>
      <c r="W40" s="774">
        <f t="shared" si="14"/>
        <v>100</v>
      </c>
      <c r="X40" s="1810"/>
      <c r="Y40" s="3222"/>
      <c r="Z40" s="1811" t="str">
        <f t="shared" si="18"/>
        <v>房型</v>
      </c>
      <c r="AA40" s="1808">
        <f t="shared" si="15"/>
        <v>1</v>
      </c>
      <c r="AB40" s="1808">
        <f t="shared" si="16"/>
        <v>1</v>
      </c>
      <c r="AC40" s="1808">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258"/>
      <c r="Q41" s="775" t="str">
        <f t="shared" si="11"/>
        <v>单套/主力户型建筑面积</v>
      </c>
      <c r="R41" s="776" t="s">
        <v>21</v>
      </c>
      <c r="S41" s="777">
        <f t="shared" si="12"/>
        <v>100</v>
      </c>
      <c r="T41" s="776" t="s">
        <v>21</v>
      </c>
      <c r="U41" s="777">
        <f t="shared" si="13"/>
        <v>100</v>
      </c>
      <c r="V41" s="776" t="s">
        <v>21</v>
      </c>
      <c r="W41" s="777">
        <f t="shared" si="14"/>
        <v>100</v>
      </c>
      <c r="X41" s="778"/>
      <c r="Y41" s="3222"/>
      <c r="Z41" s="779" t="str">
        <f t="shared" si="18"/>
        <v>单套/主力户型建筑面积</v>
      </c>
      <c r="AA41" s="1808">
        <f t="shared" si="15"/>
        <v>1</v>
      </c>
      <c r="AB41" s="1808">
        <f t="shared" si="16"/>
        <v>1</v>
      </c>
      <c r="AC41" s="1808">
        <f t="shared" si="17"/>
        <v>1</v>
      </c>
    </row>
    <row r="42" spans="1:29" ht="15">
      <c r="A42" s="471"/>
      <c r="B42" s="421" t="s">
        <v>2572</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258"/>
      <c r="Q42" s="1807" t="str">
        <f t="shared" si="11"/>
        <v>内部装修</v>
      </c>
      <c r="R42" s="773" t="s">
        <v>21</v>
      </c>
      <c r="S42" s="774">
        <f t="shared" si="12"/>
        <v>100</v>
      </c>
      <c r="T42" s="773" t="s">
        <v>21</v>
      </c>
      <c r="U42" s="774">
        <f t="shared" si="13"/>
        <v>100</v>
      </c>
      <c r="V42" s="773" t="s">
        <v>21</v>
      </c>
      <c r="W42" s="774">
        <f t="shared" si="14"/>
        <v>100</v>
      </c>
      <c r="X42" s="1810"/>
      <c r="Y42" s="3222"/>
      <c r="Z42" s="1811" t="str">
        <f t="shared" si="18"/>
        <v>内部装修</v>
      </c>
      <c r="AA42" s="1808">
        <f t="shared" si="15"/>
        <v>1</v>
      </c>
      <c r="AB42" s="1808">
        <f t="shared" si="16"/>
        <v>1</v>
      </c>
      <c r="AC42" s="1808">
        <f t="shared" si="17"/>
        <v>1</v>
      </c>
    </row>
    <row r="43" spans="1:29" ht="15">
      <c r="A43" s="471"/>
      <c r="B43" s="421" t="s">
        <v>2573</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258"/>
      <c r="Q43" s="1807" t="str">
        <f t="shared" si="11"/>
        <v>内部装修维护情况</v>
      </c>
      <c r="R43" s="773" t="s">
        <v>21</v>
      </c>
      <c r="S43" s="774">
        <f t="shared" si="12"/>
        <v>100</v>
      </c>
      <c r="T43" s="773" t="s">
        <v>21</v>
      </c>
      <c r="U43" s="774">
        <f t="shared" si="13"/>
        <v>100</v>
      </c>
      <c r="V43" s="773" t="s">
        <v>21</v>
      </c>
      <c r="W43" s="774">
        <f t="shared" si="14"/>
        <v>100</v>
      </c>
      <c r="X43" s="1810"/>
      <c r="Y43" s="3222"/>
      <c r="Z43" s="1811" t="str">
        <f t="shared" si="18"/>
        <v>内部装修维护情况</v>
      </c>
      <c r="AA43" s="1808">
        <f t="shared" si="15"/>
        <v>1</v>
      </c>
      <c r="AB43" s="1808">
        <f t="shared" si="16"/>
        <v>1</v>
      </c>
      <c r="AC43" s="1808">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258"/>
      <c r="Q44" s="1792">
        <f t="shared" si="11"/>
        <v>111</v>
      </c>
      <c r="R44" s="769" t="s">
        <v>21</v>
      </c>
      <c r="S44" s="770">
        <f t="shared" si="12"/>
        <v>100</v>
      </c>
      <c r="T44" s="769" t="s">
        <v>21</v>
      </c>
      <c r="U44" s="770">
        <f t="shared" si="13"/>
        <v>100</v>
      </c>
      <c r="V44" s="769" t="s">
        <v>21</v>
      </c>
      <c r="W44" s="770">
        <f t="shared" si="14"/>
        <v>100</v>
      </c>
      <c r="X44" s="771"/>
      <c r="Y44" s="3222"/>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258"/>
      <c r="Q45" s="1807">
        <f t="shared" si="11"/>
        <v>111</v>
      </c>
      <c r="R45" s="773" t="s">
        <v>21</v>
      </c>
      <c r="S45" s="774">
        <f t="shared" si="12"/>
        <v>100</v>
      </c>
      <c r="T45" s="773" t="s">
        <v>21</v>
      </c>
      <c r="U45" s="774">
        <f t="shared" si="13"/>
        <v>100</v>
      </c>
      <c r="V45" s="773" t="s">
        <v>21</v>
      </c>
      <c r="W45" s="774">
        <f t="shared" si="14"/>
        <v>100</v>
      </c>
      <c r="X45" s="1810"/>
      <c r="Y45" s="3222"/>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259"/>
      <c r="Q46" s="1807">
        <f t="shared" si="11"/>
        <v>111</v>
      </c>
      <c r="R46" s="773" t="s">
        <v>20</v>
      </c>
      <c r="S46" s="774">
        <f t="shared" si="12"/>
        <v>100</v>
      </c>
      <c r="T46" s="773" t="s">
        <v>20</v>
      </c>
      <c r="U46" s="774">
        <f t="shared" si="13"/>
        <v>100</v>
      </c>
      <c r="V46" s="773" t="s">
        <v>20</v>
      </c>
      <c r="W46" s="774">
        <f t="shared" si="14"/>
        <v>100</v>
      </c>
      <c r="X46" s="1810"/>
      <c r="Y46" s="3260"/>
      <c r="Z46" s="1811">
        <f t="shared" si="18"/>
        <v>111</v>
      </c>
      <c r="AA46" s="1808">
        <f t="shared" si="15"/>
        <v>1</v>
      </c>
      <c r="AB46" s="1808">
        <f t="shared" si="16"/>
        <v>1</v>
      </c>
      <c r="AC46" s="1808">
        <f t="shared" si="17"/>
        <v>1</v>
      </c>
    </row>
    <row r="47" spans="1:29" ht="15">
      <c r="A47" s="478" t="s">
        <v>2574</v>
      </c>
      <c r="B47" s="479"/>
      <c r="C47" s="1405" t="s">
        <v>19</v>
      </c>
      <c r="D47" s="1406"/>
      <c r="E47" s="1407"/>
      <c r="F47" s="1408"/>
      <c r="G47" s="1409"/>
      <c r="H47" s="1410"/>
      <c r="I47" s="1407"/>
      <c r="J47" s="1410"/>
      <c r="K47" s="2615"/>
      <c r="L47" s="1141"/>
      <c r="M47" s="1142"/>
      <c r="N47" s="1129"/>
      <c r="O47" s="1142"/>
      <c r="P47" s="3217" t="str">
        <f>A47</f>
        <v>成交单价（元/平方米）</v>
      </c>
      <c r="Q47" s="3217"/>
      <c r="R47" s="3253">
        <f>E47</f>
        <v>0</v>
      </c>
      <c r="S47" s="3253"/>
      <c r="T47" s="3253">
        <f>G47</f>
        <v>0</v>
      </c>
      <c r="U47" s="3253"/>
      <c r="V47" s="3253">
        <f>I47</f>
        <v>0</v>
      </c>
      <c r="W47" s="3253"/>
      <c r="X47" s="758"/>
      <c r="Y47" s="780"/>
      <c r="Z47" s="758"/>
      <c r="AA47" s="758"/>
      <c r="AB47" s="758"/>
      <c r="AC47" s="758"/>
    </row>
    <row r="48" spans="1:29" ht="15.75" thickBot="1">
      <c r="A48" s="485" t="s">
        <v>2575</v>
      </c>
      <c r="B48" s="486"/>
      <c r="C48" s="1411" t="e">
        <f>R49</f>
        <v>#DIV/0!</v>
      </c>
      <c r="D48" s="1412"/>
      <c r="E48" s="1413" t="e">
        <f>R48</f>
        <v>#DIV/0!</v>
      </c>
      <c r="F48" s="1413"/>
      <c r="G48" s="1411" t="e">
        <f>T48</f>
        <v>#DIV/0!</v>
      </c>
      <c r="H48" s="1412"/>
      <c r="I48" s="1413" t="e">
        <f>V48</f>
        <v>#DIV/0!</v>
      </c>
      <c r="J48" s="1412"/>
      <c r="K48" s="2616"/>
      <c r="L48" s="1141"/>
      <c r="M48" s="1142"/>
      <c r="N48" s="1142"/>
      <c r="O48" s="1142"/>
      <c r="P48" s="3217" t="str">
        <f>A48</f>
        <v>比较价值（元/平方米）</v>
      </c>
      <c r="Q48" s="3217"/>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8"/>
      <c r="Y48" s="758"/>
      <c r="Z48" s="758"/>
      <c r="AA48" s="758"/>
      <c r="AB48" s="758"/>
      <c r="AC48" s="758"/>
    </row>
    <row r="49" spans="1:29" ht="15.75" thickBot="1">
      <c r="A49" s="491" t="s">
        <v>2576</v>
      </c>
      <c r="B49" s="492"/>
      <c r="C49" s="1414" t="e">
        <f>R49</f>
        <v>#DIV/0!</v>
      </c>
      <c r="D49" s="1415"/>
      <c r="E49" s="1415"/>
      <c r="F49" s="1415"/>
      <c r="G49" s="1415"/>
      <c r="H49" s="1415"/>
      <c r="I49" s="1415"/>
      <c r="J49" s="1415"/>
      <c r="K49" s="2617"/>
      <c r="L49" s="1141"/>
      <c r="M49" s="1142"/>
      <c r="N49" s="1142"/>
      <c r="O49" s="1142"/>
      <c r="P49" s="3211" t="str">
        <f>A49</f>
        <v>估价对象XX用房的比较价值（楼面单价，元/平方米）</v>
      </c>
      <c r="Q49" s="3212"/>
      <c r="R49" s="3254" t="e">
        <f>IF(F1="售价",ROUND(AVERAGE(R48:V48),0),ROUND(AVERAGE(R48:V48),1))</f>
        <v>#DIV/0!</v>
      </c>
      <c r="S49" s="3254"/>
      <c r="T49" s="3254"/>
      <c r="U49" s="3254"/>
      <c r="V49" s="3254"/>
      <c r="W49" s="3254"/>
      <c r="X49" s="758"/>
      <c r="Y49" s="758"/>
      <c r="Z49" s="758"/>
      <c r="AA49" s="758"/>
      <c r="AB49" s="758"/>
      <c r="AC49" s="758"/>
    </row>
    <row r="50" spans="1:29">
      <c r="A50" s="1142"/>
      <c r="B50" s="1142"/>
      <c r="C50" s="1142"/>
      <c r="D50" s="1142"/>
      <c r="E50" s="1142"/>
      <c r="F50" s="1142"/>
      <c r="G50" s="1145"/>
      <c r="H50" s="1142"/>
      <c r="I50" s="1142"/>
      <c r="J50" s="1142"/>
      <c r="K50" s="1104"/>
      <c r="L50" s="1105"/>
      <c r="M50" s="1142"/>
      <c r="N50" s="1142"/>
      <c r="O50" s="1142"/>
    </row>
    <row r="51" spans="1:29">
      <c r="A51" s="1142"/>
      <c r="B51" s="1142"/>
      <c r="C51" s="1142"/>
      <c r="D51" s="1142"/>
      <c r="E51" s="1142"/>
      <c r="F51" s="1142"/>
      <c r="G51" s="1142"/>
      <c r="H51" s="1142"/>
      <c r="I51" s="1142"/>
      <c r="J51" s="1142"/>
      <c r="K51" s="1104"/>
      <c r="L51" s="1105"/>
      <c r="M51" s="1142"/>
      <c r="N51" s="1142"/>
      <c r="O51" s="1142"/>
    </row>
    <row r="52" spans="1:29" ht="13.5" customHeight="1">
      <c r="A52" s="1142"/>
      <c r="B52" s="1142"/>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2"/>
      <c r="N52" s="1142"/>
      <c r="O52" s="1142"/>
    </row>
    <row r="53" spans="1:29" ht="13.5" customHeight="1">
      <c r="A53" s="1142"/>
      <c r="B53" s="1142"/>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2"/>
      <c r="N53" s="1142"/>
      <c r="O53" s="1142"/>
    </row>
    <row r="54" spans="1:29" s="501" customFormat="1" ht="13.5" customHeight="1">
      <c r="A54" s="1143"/>
      <c r="B54" s="1143"/>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4"/>
      <c r="L56" s="1105"/>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20"/>
      <c r="Q57" s="503"/>
    </row>
    <row r="58" spans="1:29" s="507" customFormat="1" ht="15">
      <c r="A58" s="504" t="s">
        <v>2581</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8"/>
      <c r="B59" s="2621"/>
      <c r="C59" s="1571">
        <v>100</v>
      </c>
      <c r="D59" s="510"/>
      <c r="E59" s="511"/>
      <c r="F59" s="511"/>
      <c r="G59" s="511"/>
      <c r="H59" s="511"/>
      <c r="I59" s="511"/>
      <c r="J59" s="511"/>
      <c r="K59" s="511"/>
      <c r="L59" s="511"/>
      <c r="M59" s="512"/>
      <c r="N59" s="511"/>
      <c r="O59" s="512"/>
      <c r="P59" s="2622"/>
    </row>
    <row r="60" spans="1:29" s="117" customFormat="1" ht="15.75" thickBot="1">
      <c r="A60" s="514" t="s">
        <v>2582</v>
      </c>
      <c r="B60" s="515"/>
      <c r="C60" s="516"/>
      <c r="D60" s="517"/>
      <c r="E60" s="517"/>
      <c r="F60" s="517"/>
      <c r="G60" s="517"/>
      <c r="H60" s="517"/>
      <c r="I60" s="517"/>
      <c r="J60" s="517"/>
      <c r="K60" s="517"/>
      <c r="L60" s="517"/>
      <c r="M60" s="518"/>
      <c r="N60" s="517"/>
      <c r="O60" s="518"/>
      <c r="P60" s="2622"/>
      <c r="Q60" s="503"/>
    </row>
    <row r="61" spans="1:29" s="117" customFormat="1" ht="15">
      <c r="A61" s="520" t="s">
        <v>2583</v>
      </c>
      <c r="B61" s="509"/>
      <c r="C61" s="521" t="s">
        <v>2584</v>
      </c>
      <c r="D61" s="522"/>
      <c r="E61" s="522"/>
      <c r="F61" s="522"/>
      <c r="G61" s="522"/>
      <c r="H61" s="522"/>
      <c r="I61" s="522"/>
      <c r="J61" s="522"/>
      <c r="K61" s="522"/>
      <c r="L61" s="523"/>
      <c r="M61" s="524"/>
      <c r="N61" s="1149"/>
      <c r="O61" s="1149"/>
      <c r="P61" s="2623"/>
      <c r="Q61" s="503"/>
    </row>
    <row r="62" spans="1:29" s="117"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2585</v>
      </c>
      <c r="B63" s="527" t="s">
        <v>2551</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4"/>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2094</v>
      </c>
      <c r="C82" s="538" t="s">
        <v>2601</v>
      </c>
      <c r="D82" s="538" t="s">
        <v>2602</v>
      </c>
      <c r="E82" s="538" t="s">
        <v>2603</v>
      </c>
      <c r="F82" s="538" t="s">
        <v>2604</v>
      </c>
      <c r="G82" s="538" t="s">
        <v>2605</v>
      </c>
      <c r="H82" s="538"/>
      <c r="I82" s="538"/>
      <c r="J82" s="538"/>
      <c r="K82" s="538"/>
      <c r="L82" s="538"/>
      <c r="M82" s="1380"/>
      <c r="N82" s="1151"/>
      <c r="O82" s="1151"/>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4"/>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7" customFormat="1" ht="15.75" thickTop="1">
      <c r="A86" s="578"/>
      <c r="B86" s="537" t="s">
        <v>2607</v>
      </c>
      <c r="C86" s="553"/>
      <c r="D86" s="553"/>
      <c r="E86" s="553"/>
      <c r="F86" s="553"/>
      <c r="G86" s="553"/>
      <c r="H86" s="553"/>
      <c r="I86" s="553"/>
      <c r="J86" s="553"/>
      <c r="K86" s="553"/>
      <c r="L86" s="579"/>
      <c r="M86" s="580"/>
      <c r="N86" s="1149"/>
      <c r="O86" s="1149"/>
      <c r="P86" s="262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4"/>
      <c r="Q87" s="503"/>
    </row>
    <row r="88" spans="1:17" s="117" customFormat="1" ht="15.75" thickTop="1">
      <c r="A88" s="578"/>
      <c r="B88" s="537" t="s">
        <v>2608</v>
      </c>
      <c r="C88" s="553"/>
      <c r="D88" s="553"/>
      <c r="E88" s="553"/>
      <c r="F88" s="2629"/>
      <c r="G88" s="553"/>
      <c r="H88" s="553"/>
      <c r="I88" s="553"/>
      <c r="J88" s="553"/>
      <c r="K88" s="553"/>
      <c r="L88" s="553"/>
      <c r="M88" s="580"/>
      <c r="N88" s="1149"/>
      <c r="O88" s="1149"/>
      <c r="P88" s="262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2560</v>
      </c>
      <c r="B100" s="527" t="s">
        <v>2609</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4"/>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2611</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4"/>
      <c r="Q106" s="503"/>
    </row>
    <row r="107" spans="1:17" ht="15" thickTop="1">
      <c r="A107" s="598"/>
      <c r="B107" s="537" t="s">
        <v>2612</v>
      </c>
      <c r="C107" s="582"/>
      <c r="D107" s="582"/>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4"/>
      <c r="Q108" s="503"/>
    </row>
    <row r="109" spans="1:17" ht="15" thickTop="1">
      <c r="A109" s="598"/>
      <c r="B109" s="537" t="s">
        <v>2613</v>
      </c>
      <c r="C109" s="553"/>
      <c r="D109" s="553"/>
      <c r="E109" s="553"/>
      <c r="F109" s="582"/>
      <c r="G109" s="582"/>
      <c r="H109" s="582"/>
      <c r="I109" s="582"/>
      <c r="J109" s="582"/>
      <c r="K109" s="583"/>
      <c r="L109" s="584"/>
      <c r="M109" s="585"/>
      <c r="N109" s="1150"/>
      <c r="O109" s="1150"/>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2614</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4"/>
      <c r="Q115" s="503"/>
    </row>
    <row r="116" spans="1:17" ht="15" thickTop="1">
      <c r="A116" s="598"/>
      <c r="B116" s="537" t="s">
        <v>2615</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2616</v>
      </c>
      <c r="C118" s="582"/>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4"/>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2617</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4"/>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2619</v>
      </c>
    </row>
    <row r="137" spans="1:17" ht="15">
      <c r="B137" s="2632" t="s">
        <v>2620</v>
      </c>
      <c r="C137" s="2633"/>
      <c r="D137" s="2633"/>
      <c r="E137" s="2633"/>
      <c r="F137" s="2633"/>
      <c r="G137" s="2634"/>
      <c r="H137" s="2635"/>
      <c r="I137" s="2636" t="s">
        <v>2621</v>
      </c>
      <c r="J137" s="2633"/>
      <c r="K137" s="2637"/>
    </row>
    <row r="138" spans="1:17" ht="15">
      <c r="B138" s="2638"/>
      <c r="C138" s="145" t="s">
        <v>2622</v>
      </c>
      <c r="D138" s="145" t="s">
        <v>2623</v>
      </c>
      <c r="E138" s="2639" t="s">
        <v>2624</v>
      </c>
      <c r="F138" s="2640" t="s">
        <v>2625</v>
      </c>
      <c r="G138" s="145" t="s">
        <v>2623</v>
      </c>
      <c r="H138" s="146" t="s">
        <v>2624</v>
      </c>
      <c r="I138" s="2641"/>
      <c r="J138" s="145" t="s">
        <v>2626</v>
      </c>
      <c r="K138" s="146" t="s">
        <v>2627</v>
      </c>
    </row>
    <row r="139" spans="1:17" ht="15">
      <c r="B139" s="1083">
        <v>6</v>
      </c>
      <c r="C139" s="1084">
        <v>96</v>
      </c>
      <c r="D139" s="2642" t="s">
        <v>2628</v>
      </c>
      <c r="E139" s="1085">
        <v>100</v>
      </c>
      <c r="F139" s="1086">
        <v>102.5</v>
      </c>
      <c r="G139" s="2642" t="s">
        <v>2628</v>
      </c>
      <c r="H139" s="1087">
        <v>105</v>
      </c>
      <c r="I139" s="2643" t="s">
        <v>2629</v>
      </c>
      <c r="J139" s="1084">
        <v>20</v>
      </c>
      <c r="K139" s="1088">
        <f>C145/(J139-2)</f>
        <v>4.0555555555555553E-3</v>
      </c>
    </row>
    <row r="140" spans="1:17" ht="15">
      <c r="B140" s="1089">
        <v>5</v>
      </c>
      <c r="C140" s="1090">
        <v>100</v>
      </c>
      <c r="D140" s="1090"/>
      <c r="E140" s="1091"/>
      <c r="F140" s="1092">
        <v>102</v>
      </c>
      <c r="G140" s="1090"/>
      <c r="H140" s="1093"/>
      <c r="I140" s="2644" t="s">
        <v>2630</v>
      </c>
      <c r="J140" s="314">
        <f>ROUNDUP((J139-1)/2,0)</f>
        <v>10</v>
      </c>
      <c r="K140" s="1094">
        <v>100</v>
      </c>
    </row>
    <row r="141" spans="1:17" ht="15">
      <c r="B141" s="1089">
        <v>4</v>
      </c>
      <c r="C141" s="1090">
        <v>102</v>
      </c>
      <c r="D141" s="1090"/>
      <c r="E141" s="1091"/>
      <c r="F141" s="1092">
        <v>101.5</v>
      </c>
      <c r="G141" s="1090"/>
      <c r="H141" s="1093"/>
      <c r="I141" s="2644" t="s">
        <v>2631</v>
      </c>
      <c r="J141" s="314">
        <v>1</v>
      </c>
      <c r="K141" s="1095">
        <f>ROUND(100+(J141-J140)*K139*100,1)</f>
        <v>96.4</v>
      </c>
    </row>
    <row r="142" spans="1:17" ht="15">
      <c r="B142" s="1089">
        <v>3</v>
      </c>
      <c r="C142" s="1090">
        <v>103</v>
      </c>
      <c r="D142" s="1090"/>
      <c r="E142" s="1091"/>
      <c r="F142" s="1092">
        <v>101</v>
      </c>
      <c r="G142" s="1090"/>
      <c r="H142" s="1093"/>
      <c r="I142" s="2644" t="s">
        <v>2632</v>
      </c>
      <c r="J142" s="314">
        <f>J139</f>
        <v>20</v>
      </c>
      <c r="K142" s="1096">
        <v>95</v>
      </c>
    </row>
    <row r="143" spans="1:17" ht="15">
      <c r="B143" s="1089">
        <v>2</v>
      </c>
      <c r="C143" s="1090">
        <v>100</v>
      </c>
      <c r="D143" s="1090"/>
      <c r="E143" s="1091"/>
      <c r="F143" s="1092">
        <v>100.5</v>
      </c>
      <c r="G143" s="1090"/>
      <c r="H143" s="1093"/>
      <c r="I143" s="2644" t="s">
        <v>2633</v>
      </c>
      <c r="J143" s="1090">
        <v>15</v>
      </c>
      <c r="K143" s="1095">
        <f>ROUND(100+(J143-J140)*K139*100,1)</f>
        <v>102</v>
      </c>
    </row>
    <row r="144" spans="1:17" ht="15">
      <c r="B144" s="1089">
        <v>1</v>
      </c>
      <c r="C144" s="1090">
        <v>98</v>
      </c>
      <c r="D144" s="2645" t="s">
        <v>2634</v>
      </c>
      <c r="E144" s="1091">
        <v>102</v>
      </c>
      <c r="F144" s="1097">
        <v>100</v>
      </c>
      <c r="G144" s="2645" t="s">
        <v>2634</v>
      </c>
      <c r="H144" s="1093">
        <v>105</v>
      </c>
      <c r="I144" s="2644" t="s">
        <v>2633</v>
      </c>
      <c r="J144" s="1090">
        <v>18</v>
      </c>
      <c r="K144" s="1095">
        <f>ROUND(100+(J144-J140)*K139*100,1)</f>
        <v>103.2</v>
      </c>
    </row>
    <row r="145" spans="2:11" ht="15.75" thickBot="1">
      <c r="B145" s="2646" t="s">
        <v>2635</v>
      </c>
      <c r="C145" s="1098">
        <f>ROUND(MAX(C139:C144)/MIN(C139:C144)-1,3)</f>
        <v>7.2999999999999995E-2</v>
      </c>
      <c r="D145" s="1099"/>
      <c r="E145" s="1099"/>
      <c r="F145" s="2647" t="s">
        <v>2636</v>
      </c>
      <c r="G145" s="2648"/>
      <c r="H145" s="2649"/>
      <c r="I145" s="2650" t="s">
        <v>2633</v>
      </c>
      <c r="J145" s="1100">
        <v>8</v>
      </c>
      <c r="K145" s="1101">
        <f>ROUND(100+(J145-J140)*K139*100,1)</f>
        <v>99.2</v>
      </c>
    </row>
    <row r="147" spans="2:11">
      <c r="B147" s="2631" t="s">
        <v>2637</v>
      </c>
    </row>
    <row r="148" spans="2:11">
      <c r="B148" s="2631"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3" t="s">
        <v>2683</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6" t="e">
        <f ca="1">IF(C2="——",ROUND(C50*D3/10000,0),ROUND(C50*D3/10000,0)-D2)</f>
        <v>#DIV/0!</v>
      </c>
      <c r="C2" s="2580"/>
      <c r="D2" s="1363" t="e">
        <f ca="1">SUMIF(INDIRECT("'"&amp;F2&amp;"'"&amp;"!A:A"),"承租人权益价值",INDIRECT("'"&amp;F2&amp;"'"&amp;"!c:c"))</f>
        <v>#REF!</v>
      </c>
      <c r="E2" s="2581" t="s">
        <v>2325</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424.2</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2642</v>
      </c>
      <c r="B4" s="401"/>
      <c r="C4" s="3214" t="s">
        <v>2643</v>
      </c>
      <c r="D4" s="3227"/>
      <c r="E4" s="3228" t="s">
        <v>2644</v>
      </c>
      <c r="F4" s="3229"/>
      <c r="G4" s="3214" t="s">
        <v>2645</v>
      </c>
      <c r="H4" s="3227"/>
      <c r="I4" s="3214" t="s">
        <v>2646</v>
      </c>
      <c r="J4" s="3227"/>
      <c r="K4" s="609" t="s">
        <v>2647</v>
      </c>
      <c r="L4" s="1128"/>
      <c r="M4" s="1129"/>
      <c r="N4" s="1129"/>
      <c r="O4" s="1129"/>
      <c r="P4" s="3294" t="s">
        <v>2648</v>
      </c>
      <c r="Q4" s="3295"/>
      <c r="R4" s="3298" t="s">
        <v>2644</v>
      </c>
      <c r="S4" s="3299"/>
      <c r="T4" s="3298" t="s">
        <v>2645</v>
      </c>
      <c r="U4" s="3299"/>
      <c r="V4" s="3300" t="s">
        <v>2646</v>
      </c>
      <c r="W4" s="3300"/>
      <c r="X4" s="2664"/>
      <c r="Y4" s="3298" t="s">
        <v>2648</v>
      </c>
      <c r="Z4" s="3299"/>
      <c r="AA4" s="3302" t="s">
        <v>2644</v>
      </c>
      <c r="AB4" s="3302" t="s">
        <v>2645</v>
      </c>
      <c r="AC4" s="3291" t="s">
        <v>2646</v>
      </c>
    </row>
    <row r="5" spans="1:29" ht="15">
      <c r="A5" s="403"/>
      <c r="B5" s="404"/>
      <c r="C5" s="3244" t="s">
        <v>2539</v>
      </c>
      <c r="D5" s="3245"/>
      <c r="E5" s="3251" t="s">
        <v>2540</v>
      </c>
      <c r="F5" s="3252"/>
      <c r="G5" s="3244" t="s">
        <v>2541</v>
      </c>
      <c r="H5" s="3245"/>
      <c r="I5" s="3244" t="s">
        <v>2542</v>
      </c>
      <c r="J5" s="3245"/>
      <c r="K5" s="609"/>
      <c r="L5" s="1128"/>
      <c r="M5" s="1129"/>
      <c r="N5" s="1129"/>
      <c r="O5" s="1129"/>
      <c r="P5" s="3296"/>
      <c r="Q5" s="3233"/>
      <c r="R5" s="3238"/>
      <c r="S5" s="3239"/>
      <c r="T5" s="3238"/>
      <c r="U5" s="3239"/>
      <c r="V5" s="3223"/>
      <c r="W5" s="3223"/>
      <c r="X5" s="1810"/>
      <c r="Y5" s="3238"/>
      <c r="Z5" s="3239"/>
      <c r="AA5" s="3225"/>
      <c r="AB5" s="3225"/>
      <c r="AC5" s="3292"/>
    </row>
    <row r="6" spans="1:29" ht="15.75" thickBot="1">
      <c r="A6" s="405"/>
      <c r="B6" s="406"/>
      <c r="C6" s="3242" t="s">
        <v>2543</v>
      </c>
      <c r="D6" s="3243"/>
      <c r="E6" s="3249" t="s">
        <v>2543</v>
      </c>
      <c r="F6" s="3250"/>
      <c r="G6" s="3242" t="s">
        <v>2543</v>
      </c>
      <c r="H6" s="3243"/>
      <c r="I6" s="3242" t="s">
        <v>2543</v>
      </c>
      <c r="J6" s="3243"/>
      <c r="K6" s="609" t="s">
        <v>2544</v>
      </c>
      <c r="L6" s="1128"/>
      <c r="M6" s="1129"/>
      <c r="N6" s="1129"/>
      <c r="O6" s="1129"/>
      <c r="P6" s="3297"/>
      <c r="Q6" s="3235"/>
      <c r="R6" s="3238"/>
      <c r="S6" s="3239"/>
      <c r="T6" s="3240"/>
      <c r="U6" s="3241"/>
      <c r="V6" s="3223"/>
      <c r="W6" s="3223"/>
      <c r="X6" s="1810"/>
      <c r="Y6" s="3240"/>
      <c r="Z6" s="3241"/>
      <c r="AA6" s="3226"/>
      <c r="AB6" s="3226"/>
      <c r="AC6" s="3293"/>
    </row>
    <row r="7" spans="1:29" s="117" customFormat="1" ht="15.75" thickBot="1">
      <c r="A7" s="407" t="s">
        <v>2545</v>
      </c>
      <c r="B7" s="408"/>
      <c r="C7" s="409">
        <f>'数据-取费表'!B2</f>
        <v>43676</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01" t="s">
        <v>2546</v>
      </c>
      <c r="Q7" s="3248"/>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2665" t="e">
        <f>D7/J7</f>
        <v>#DIV/0!</v>
      </c>
    </row>
    <row r="8" spans="1:29" s="117"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01" t="s">
        <v>2549</v>
      </c>
      <c r="Q8" s="3247"/>
      <c r="R8" s="769" t="s">
        <v>17</v>
      </c>
      <c r="S8" s="770">
        <f t="shared" si="0"/>
        <v>0</v>
      </c>
      <c r="T8" s="769" t="s">
        <v>17</v>
      </c>
      <c r="U8" s="770">
        <f t="shared" si="1"/>
        <v>0</v>
      </c>
      <c r="V8" s="769" t="s">
        <v>17</v>
      </c>
      <c r="W8" s="770">
        <f t="shared" si="2"/>
        <v>0</v>
      </c>
      <c r="X8" s="771"/>
      <c r="Y8" s="3246" t="s">
        <v>2549</v>
      </c>
      <c r="Z8" s="3247"/>
      <c r="AA8" s="772" t="e">
        <f t="shared" ref="AA8:AA47" si="3">D8/F8</f>
        <v>#DIV/0!</v>
      </c>
      <c r="AB8" s="772" t="e">
        <f t="shared" ref="AB8:AB47" si="4">D8/H8</f>
        <v>#DIV/0!</v>
      </c>
      <c r="AC8" s="2665" t="e">
        <f t="shared" ref="AC8:AC47" si="5">D8/J8</f>
        <v>#DIV/0!</v>
      </c>
    </row>
    <row r="9" spans="1:29" s="117"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16" t="s">
        <v>2552</v>
      </c>
      <c r="Q9" s="1792" t="str">
        <f t="shared" ref="Q9:Q15" si="6">B9</f>
        <v>用途</v>
      </c>
      <c r="R9" s="769" t="s">
        <v>17</v>
      </c>
      <c r="S9" s="770">
        <f t="shared" si="0"/>
        <v>100</v>
      </c>
      <c r="T9" s="769" t="s">
        <v>17</v>
      </c>
      <c r="U9" s="770">
        <f t="shared" si="1"/>
        <v>100</v>
      </c>
      <c r="V9" s="769" t="s">
        <v>17</v>
      </c>
      <c r="W9" s="770">
        <f t="shared" si="2"/>
        <v>100</v>
      </c>
      <c r="X9" s="771"/>
      <c r="Y9" s="3065" t="s">
        <v>2553</v>
      </c>
      <c r="Z9" s="55" t="str">
        <f t="shared" ref="Z9:Z15" si="7">Q9</f>
        <v>用途</v>
      </c>
      <c r="AA9" s="772">
        <f t="shared" si="3"/>
        <v>1</v>
      </c>
      <c r="AB9" s="772">
        <f t="shared" si="4"/>
        <v>1</v>
      </c>
      <c r="AC9" s="2665">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6"/>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2665">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16"/>
      <c r="Q11" s="1792"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2665" t="e">
        <f t="shared" si="5"/>
        <v>#N/A</v>
      </c>
    </row>
    <row r="12" spans="1:29" s="117"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216"/>
      <c r="Q12" s="1792">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216"/>
      <c r="Q13" s="1792">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216"/>
      <c r="Q14" s="1792">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2665">
        <f t="shared" si="5"/>
        <v>1</v>
      </c>
    </row>
    <row r="15" spans="1:29" ht="71.25">
      <c r="A15" s="439" t="s">
        <v>2556</v>
      </c>
      <c r="B15" s="628" t="s">
        <v>2684</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55" t="s">
        <v>2557</v>
      </c>
      <c r="Q15" s="1807" t="str">
        <f t="shared" si="6"/>
        <v>办公集聚程度</v>
      </c>
      <c r="R15" s="773" t="s">
        <v>17</v>
      </c>
      <c r="S15" s="774">
        <f t="shared" si="0"/>
        <v>100</v>
      </c>
      <c r="T15" s="773" t="s">
        <v>17</v>
      </c>
      <c r="U15" s="774">
        <f t="shared" si="1"/>
        <v>100</v>
      </c>
      <c r="V15" s="773" t="s">
        <v>17</v>
      </c>
      <c r="W15" s="774">
        <f t="shared" si="2"/>
        <v>100</v>
      </c>
      <c r="X15" s="1810"/>
      <c r="Y15" s="3219" t="s">
        <v>2557</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8"/>
      <c r="M16" s="1129"/>
      <c r="N16" s="1129"/>
      <c r="O16" s="1129"/>
      <c r="P16" s="3256"/>
      <c r="Q16" s="1807"/>
      <c r="R16" s="773"/>
      <c r="S16" s="774"/>
      <c r="T16" s="773"/>
      <c r="U16" s="774"/>
      <c r="V16" s="773"/>
      <c r="W16" s="774"/>
      <c r="X16" s="1810"/>
      <c r="Y16" s="3220"/>
      <c r="Z16" s="1811"/>
      <c r="AA16" s="1808">
        <v>1</v>
      </c>
      <c r="AB16" s="1808">
        <v>1</v>
      </c>
      <c r="AC16" s="2668">
        <v>1</v>
      </c>
    </row>
    <row r="17" spans="1:29" ht="71.25">
      <c r="A17" s="427"/>
      <c r="B17" s="630" t="s">
        <v>2093</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56"/>
      <c r="Q17" s="1807" t="str">
        <f>B17</f>
        <v>交通便捷度</v>
      </c>
      <c r="R17" s="773" t="s">
        <v>17</v>
      </c>
      <c r="S17" s="774">
        <f>F17</f>
        <v>100</v>
      </c>
      <c r="T17" s="773" t="s">
        <v>17</v>
      </c>
      <c r="U17" s="774">
        <f>H17</f>
        <v>100</v>
      </c>
      <c r="V17" s="773" t="s">
        <v>17</v>
      </c>
      <c r="W17" s="774">
        <f>J17</f>
        <v>100</v>
      </c>
      <c r="X17" s="1810"/>
      <c r="Y17" s="3220"/>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8"/>
      <c r="M18" s="1129"/>
      <c r="N18" s="1129"/>
      <c r="O18" s="1129"/>
      <c r="P18" s="3256"/>
      <c r="Q18" s="1807"/>
      <c r="R18" s="773"/>
      <c r="S18" s="774"/>
      <c r="T18" s="773"/>
      <c r="U18" s="774"/>
      <c r="V18" s="773"/>
      <c r="W18" s="774"/>
      <c r="X18" s="1810"/>
      <c r="Y18" s="3220"/>
      <c r="Z18" s="1811"/>
      <c r="AA18" s="1808">
        <v>1</v>
      </c>
      <c r="AB18" s="1808">
        <v>1</v>
      </c>
      <c r="AC18" s="2668">
        <v>1</v>
      </c>
    </row>
    <row r="19" spans="1:29" ht="42.75">
      <c r="A19" s="427"/>
      <c r="B19" s="630" t="s">
        <v>2685</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56"/>
      <c r="Q19" s="1807" t="str">
        <f>B19</f>
        <v>公共配套设施</v>
      </c>
      <c r="R19" s="773" t="s">
        <v>17</v>
      </c>
      <c r="S19" s="774">
        <f>F19</f>
        <v>100</v>
      </c>
      <c r="T19" s="773" t="s">
        <v>17</v>
      </c>
      <c r="U19" s="774">
        <f>H19</f>
        <v>100</v>
      </c>
      <c r="V19" s="773" t="s">
        <v>17</v>
      </c>
      <c r="W19" s="774">
        <f>J19</f>
        <v>100</v>
      </c>
      <c r="X19" s="1810"/>
      <c r="Y19" s="3220"/>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8"/>
      <c r="M20" s="1129"/>
      <c r="N20" s="1129"/>
      <c r="O20" s="1129"/>
      <c r="P20" s="3256"/>
      <c r="Q20" s="1807"/>
      <c r="R20" s="773"/>
      <c r="S20" s="774"/>
      <c r="T20" s="773"/>
      <c r="U20" s="774"/>
      <c r="V20" s="773"/>
      <c r="W20" s="774"/>
      <c r="X20" s="1810"/>
      <c r="Y20" s="3220"/>
      <c r="Z20" s="1811"/>
      <c r="AA20" s="1808">
        <v>1</v>
      </c>
      <c r="AB20" s="1808">
        <v>1</v>
      </c>
      <c r="AC20" s="2668">
        <v>1</v>
      </c>
    </row>
    <row r="21" spans="1:29" ht="28.5">
      <c r="A21" s="427"/>
      <c r="B21" s="632" t="s">
        <v>2686</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56"/>
      <c r="Q21" s="1807" t="str">
        <f>B21</f>
        <v>基础设施水平</v>
      </c>
      <c r="R21" s="773" t="s">
        <v>17</v>
      </c>
      <c r="S21" s="774">
        <f>F21</f>
        <v>100</v>
      </c>
      <c r="T21" s="773" t="s">
        <v>17</v>
      </c>
      <c r="U21" s="774">
        <f>H21</f>
        <v>100</v>
      </c>
      <c r="V21" s="773" t="s">
        <v>17</v>
      </c>
      <c r="W21" s="774">
        <f>J21</f>
        <v>100</v>
      </c>
      <c r="X21" s="1810"/>
      <c r="Y21" s="3220"/>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1"/>
      <c r="L22" s="1138"/>
      <c r="M22" s="1129"/>
      <c r="N22" s="1129"/>
      <c r="O22" s="1129"/>
      <c r="P22" s="3256"/>
      <c r="Q22" s="1807"/>
      <c r="R22" s="773"/>
      <c r="S22" s="774"/>
      <c r="T22" s="773"/>
      <c r="U22" s="774"/>
      <c r="V22" s="773"/>
      <c r="W22" s="774"/>
      <c r="X22" s="1810"/>
      <c r="Y22" s="3220"/>
      <c r="Z22" s="1811"/>
      <c r="AA22" s="1808">
        <v>1</v>
      </c>
      <c r="AB22" s="1808">
        <v>1</v>
      </c>
      <c r="AC22" s="2668">
        <v>1</v>
      </c>
    </row>
    <row r="23" spans="1:29" ht="42.75">
      <c r="A23" s="427"/>
      <c r="B23" s="630" t="s">
        <v>2687</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56"/>
      <c r="Q23" s="1807" t="str">
        <f>B23</f>
        <v>环境质量</v>
      </c>
      <c r="R23" s="773" t="s">
        <v>17</v>
      </c>
      <c r="S23" s="774">
        <f>F23</f>
        <v>100</v>
      </c>
      <c r="T23" s="773" t="s">
        <v>17</v>
      </c>
      <c r="U23" s="774">
        <f>H23</f>
        <v>100</v>
      </c>
      <c r="V23" s="773" t="s">
        <v>17</v>
      </c>
      <c r="W23" s="774">
        <f>J23</f>
        <v>100</v>
      </c>
      <c r="X23" s="1810"/>
      <c r="Y23" s="3220"/>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8"/>
      <c r="M24" s="1129"/>
      <c r="N24" s="1129"/>
      <c r="O24" s="1129"/>
      <c r="P24" s="3256"/>
      <c r="Q24" s="1807"/>
      <c r="R24" s="773"/>
      <c r="S24" s="774"/>
      <c r="T24" s="773"/>
      <c r="U24" s="774"/>
      <c r="V24" s="773"/>
      <c r="W24" s="774"/>
      <c r="X24" s="1810"/>
      <c r="Y24" s="3220"/>
      <c r="Z24" s="1811"/>
      <c r="AA24" s="1808">
        <v>1</v>
      </c>
      <c r="AB24" s="1808">
        <v>1</v>
      </c>
      <c r="AC24" s="2668">
        <v>1</v>
      </c>
    </row>
    <row r="25" spans="1:29" ht="27">
      <c r="A25" s="403"/>
      <c r="B25" s="630" t="s">
        <v>2688</v>
      </c>
      <c r="C25" s="2609"/>
      <c r="D25" s="434">
        <v>100</v>
      </c>
      <c r="E25" s="433"/>
      <c r="F25" s="434">
        <f>SUMIF(87:87,E26,88:88)-SUMIF(87:87,C26,88:88)+100</f>
        <v>100</v>
      </c>
      <c r="G25" s="2609"/>
      <c r="H25" s="434">
        <f>SUMIF(87:87,G26,88:88)-SUMIF(87:87,C26,88:88)+100</f>
        <v>100</v>
      </c>
      <c r="I25" s="433"/>
      <c r="J25" s="434">
        <f>SUMIF(87:87,I26,88:88)-SUMIF(87:87,C26,88:88)+100</f>
        <v>100</v>
      </c>
      <c r="K25" s="613"/>
      <c r="L25" s="1138"/>
      <c r="M25" s="1129"/>
      <c r="N25" s="1129"/>
      <c r="O25" s="1129"/>
      <c r="P25" s="3256"/>
      <c r="Q25" s="1807" t="str">
        <f>B25</f>
        <v>毗邻道路的类型与等级</v>
      </c>
      <c r="R25" s="773" t="s">
        <v>17</v>
      </c>
      <c r="S25" s="774">
        <f>F25</f>
        <v>100</v>
      </c>
      <c r="T25" s="773" t="s">
        <v>17</v>
      </c>
      <c r="U25" s="774">
        <f>H25</f>
        <v>100</v>
      </c>
      <c r="V25" s="773" t="s">
        <v>17</v>
      </c>
      <c r="W25" s="774">
        <f>J25</f>
        <v>100</v>
      </c>
      <c r="X25" s="1810"/>
      <c r="Y25" s="3220"/>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8"/>
      <c r="M26" s="1129"/>
      <c r="N26" s="1129"/>
      <c r="O26" s="1129"/>
      <c r="P26" s="3256"/>
      <c r="Q26" s="1807"/>
      <c r="R26" s="773"/>
      <c r="S26" s="774"/>
      <c r="T26" s="773"/>
      <c r="U26" s="774"/>
      <c r="V26" s="773"/>
      <c r="W26" s="774"/>
      <c r="X26" s="1810"/>
      <c r="Y26" s="3220"/>
      <c r="Z26" s="1811"/>
      <c r="AA26" s="1808">
        <v>1</v>
      </c>
      <c r="AB26" s="1808">
        <v>1</v>
      </c>
      <c r="AC26" s="2668">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56"/>
      <c r="Q27" s="1807" t="str">
        <f t="shared" ref="Q27:Q47" si="11">B27</f>
        <v>楼层</v>
      </c>
      <c r="R27" s="773" t="s">
        <v>17</v>
      </c>
      <c r="S27" s="774">
        <f>F27</f>
        <v>100</v>
      </c>
      <c r="T27" s="773" t="s">
        <v>17</v>
      </c>
      <c r="U27" s="774">
        <f>H27</f>
        <v>100</v>
      </c>
      <c r="V27" s="773" t="s">
        <v>17</v>
      </c>
      <c r="W27" s="774">
        <f>J27</f>
        <v>100</v>
      </c>
      <c r="X27" s="1810"/>
      <c r="Y27" s="3220"/>
      <c r="Z27" s="1811" t="str">
        <f>Q27</f>
        <v>楼层</v>
      </c>
      <c r="AA27" s="1808">
        <f t="shared" si="3"/>
        <v>1</v>
      </c>
      <c r="AB27" s="1808">
        <f t="shared" si="4"/>
        <v>1</v>
      </c>
      <c r="AC27" s="2668">
        <f t="shared" si="5"/>
        <v>1</v>
      </c>
    </row>
    <row r="28" spans="1:29" s="117" customFormat="1" ht="15">
      <c r="A28" s="430"/>
      <c r="B28" s="630" t="s">
        <v>2689</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256"/>
      <c r="Q28" s="1792" t="str">
        <f t="shared" si="11"/>
        <v>朝向</v>
      </c>
      <c r="R28" s="769" t="s">
        <v>17</v>
      </c>
      <c r="S28" s="770">
        <f>F28</f>
        <v>100</v>
      </c>
      <c r="T28" s="769" t="s">
        <v>17</v>
      </c>
      <c r="U28" s="770">
        <f>H28</f>
        <v>100</v>
      </c>
      <c r="V28" s="769" t="s">
        <v>17</v>
      </c>
      <c r="W28" s="770">
        <f>J28</f>
        <v>100</v>
      </c>
      <c r="X28" s="771"/>
      <c r="Y28" s="3220"/>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256"/>
      <c r="Q29" s="1807">
        <f t="shared" si="11"/>
        <v>111</v>
      </c>
      <c r="R29" s="773" t="s">
        <v>17</v>
      </c>
      <c r="S29" s="774">
        <f t="shared" ref="S29:S47" si="12">F29</f>
        <v>100</v>
      </c>
      <c r="T29" s="773" t="s">
        <v>17</v>
      </c>
      <c r="U29" s="774">
        <f t="shared" ref="U29:U47" si="13">H29</f>
        <v>100</v>
      </c>
      <c r="V29" s="773" t="s">
        <v>17</v>
      </c>
      <c r="W29" s="774">
        <f t="shared" ref="W29:W47" si="14">J29</f>
        <v>100</v>
      </c>
      <c r="X29" s="1810"/>
      <c r="Y29" s="3220"/>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256"/>
      <c r="Q30" s="1807">
        <f t="shared" si="11"/>
        <v>111</v>
      </c>
      <c r="R30" s="773" t="s">
        <v>17</v>
      </c>
      <c r="S30" s="774">
        <f t="shared" si="12"/>
        <v>100</v>
      </c>
      <c r="T30" s="773" t="s">
        <v>17</v>
      </c>
      <c r="U30" s="774">
        <f t="shared" si="13"/>
        <v>100</v>
      </c>
      <c r="V30" s="773" t="s">
        <v>17</v>
      </c>
      <c r="W30" s="774">
        <f t="shared" si="14"/>
        <v>100</v>
      </c>
      <c r="X30" s="1810"/>
      <c r="Y30" s="3220"/>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256"/>
      <c r="Q31" s="1807">
        <f t="shared" si="11"/>
        <v>111</v>
      </c>
      <c r="R31" s="773" t="s">
        <v>17</v>
      </c>
      <c r="S31" s="774">
        <f t="shared" si="12"/>
        <v>100</v>
      </c>
      <c r="T31" s="773" t="s">
        <v>17</v>
      </c>
      <c r="U31" s="774">
        <f t="shared" si="13"/>
        <v>100</v>
      </c>
      <c r="V31" s="773" t="s">
        <v>17</v>
      </c>
      <c r="W31" s="774">
        <f t="shared" si="14"/>
        <v>100</v>
      </c>
      <c r="X31" s="1810"/>
      <c r="Y31" s="3220"/>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256"/>
      <c r="Q32" s="1807">
        <f t="shared" si="11"/>
        <v>111</v>
      </c>
      <c r="R32" s="773" t="s">
        <v>17</v>
      </c>
      <c r="S32" s="774">
        <f t="shared" si="12"/>
        <v>100</v>
      </c>
      <c r="T32" s="773" t="s">
        <v>17</v>
      </c>
      <c r="U32" s="774">
        <f t="shared" si="13"/>
        <v>100</v>
      </c>
      <c r="V32" s="773" t="s">
        <v>17</v>
      </c>
      <c r="W32" s="774">
        <f t="shared" si="14"/>
        <v>100</v>
      </c>
      <c r="X32" s="1810"/>
      <c r="Y32" s="3220"/>
      <c r="Z32" s="1811">
        <f t="shared" si="15"/>
        <v>111</v>
      </c>
      <c r="AA32" s="1808">
        <f t="shared" si="3"/>
        <v>1</v>
      </c>
      <c r="AB32" s="1808">
        <f t="shared" si="4"/>
        <v>1</v>
      </c>
      <c r="AC32" s="2668">
        <f t="shared" si="5"/>
        <v>1</v>
      </c>
    </row>
    <row r="33" spans="1:29" ht="15">
      <c r="A33" s="439" t="s">
        <v>2560</v>
      </c>
      <c r="B33" s="71" t="s">
        <v>2690</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257" t="s">
        <v>2562</v>
      </c>
      <c r="Q33" s="1807" t="str">
        <f t="shared" si="11"/>
        <v>建筑类型</v>
      </c>
      <c r="R33" s="773" t="s">
        <v>17</v>
      </c>
      <c r="S33" s="774">
        <f t="shared" si="12"/>
        <v>100</v>
      </c>
      <c r="T33" s="773" t="s">
        <v>17</v>
      </c>
      <c r="U33" s="774">
        <f t="shared" si="13"/>
        <v>100</v>
      </c>
      <c r="V33" s="773" t="s">
        <v>17</v>
      </c>
      <c r="W33" s="774">
        <f t="shared" si="14"/>
        <v>100</v>
      </c>
      <c r="X33" s="1810"/>
      <c r="Y33" s="3222" t="s">
        <v>2562</v>
      </c>
      <c r="Z33" s="1811" t="str">
        <f t="shared" si="15"/>
        <v>建筑类型</v>
      </c>
      <c r="AA33" s="1808">
        <f t="shared" si="3"/>
        <v>1</v>
      </c>
      <c r="AB33" s="1808">
        <f t="shared" si="4"/>
        <v>1</v>
      </c>
      <c r="AC33" s="2668">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58"/>
      <c r="Q34" s="775" t="str">
        <f t="shared" si="11"/>
        <v>项目建筑规模</v>
      </c>
      <c r="R34" s="776" t="s">
        <v>17</v>
      </c>
      <c r="S34" s="777" t="e">
        <f t="shared" si="12"/>
        <v>#N/A</v>
      </c>
      <c r="T34" s="776" t="s">
        <v>17</v>
      </c>
      <c r="U34" s="777" t="e">
        <f t="shared" si="13"/>
        <v>#N/A</v>
      </c>
      <c r="V34" s="776" t="s">
        <v>17</v>
      </c>
      <c r="W34" s="777" t="e">
        <f t="shared" si="14"/>
        <v>#N/A</v>
      </c>
      <c r="X34" s="778"/>
      <c r="Y34" s="3222"/>
      <c r="Z34" s="779" t="str">
        <f t="shared" si="15"/>
        <v>项目建筑规模</v>
      </c>
      <c r="AA34" s="1808" t="e">
        <f t="shared" si="3"/>
        <v>#N/A</v>
      </c>
      <c r="AB34" s="1808" t="e">
        <f t="shared" si="4"/>
        <v>#N/A</v>
      </c>
      <c r="AC34" s="2668"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8"/>
      <c r="Q35" s="1807" t="str">
        <f t="shared" si="11"/>
        <v>建筑结构</v>
      </c>
      <c r="R35" s="773" t="s">
        <v>17</v>
      </c>
      <c r="S35" s="774">
        <f t="shared" si="12"/>
        <v>100</v>
      </c>
      <c r="T35" s="773" t="s">
        <v>17</v>
      </c>
      <c r="U35" s="774">
        <f t="shared" si="13"/>
        <v>100</v>
      </c>
      <c r="V35" s="773" t="s">
        <v>17</v>
      </c>
      <c r="W35" s="774">
        <f t="shared" si="14"/>
        <v>100</v>
      </c>
      <c r="X35" s="1810"/>
      <c r="Y35" s="3222"/>
      <c r="Z35" s="1811" t="str">
        <f t="shared" si="15"/>
        <v>建筑结构</v>
      </c>
      <c r="AA35" s="1808">
        <f t="shared" si="3"/>
        <v>1</v>
      </c>
      <c r="AB35" s="1808">
        <f t="shared" si="4"/>
        <v>1</v>
      </c>
      <c r="AC35" s="2668">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8"/>
      <c r="Q36" s="1807" t="str">
        <f t="shared" si="11"/>
        <v>公共部分装修</v>
      </c>
      <c r="R36" s="773" t="s">
        <v>17</v>
      </c>
      <c r="S36" s="774">
        <f t="shared" si="12"/>
        <v>100</v>
      </c>
      <c r="T36" s="773" t="s">
        <v>17</v>
      </c>
      <c r="U36" s="774">
        <f t="shared" si="13"/>
        <v>100</v>
      </c>
      <c r="V36" s="773" t="s">
        <v>17</v>
      </c>
      <c r="W36" s="774">
        <f t="shared" si="14"/>
        <v>100</v>
      </c>
      <c r="X36" s="1810"/>
      <c r="Y36" s="3222"/>
      <c r="Z36" s="1811" t="str">
        <f t="shared" si="15"/>
        <v>公共部分装修</v>
      </c>
      <c r="AA36" s="1808">
        <f t="shared" si="3"/>
        <v>1</v>
      </c>
      <c r="AB36" s="1808">
        <f t="shared" si="4"/>
        <v>1</v>
      </c>
      <c r="AC36" s="2668">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8"/>
      <c r="Q37" s="1807" t="str">
        <f t="shared" si="11"/>
        <v>成新度</v>
      </c>
      <c r="R37" s="773" t="s">
        <v>17</v>
      </c>
      <c r="S37" s="774" t="e">
        <f t="shared" si="12"/>
        <v>#N/A</v>
      </c>
      <c r="T37" s="773" t="s">
        <v>17</v>
      </c>
      <c r="U37" s="774" t="e">
        <f t="shared" si="13"/>
        <v>#N/A</v>
      </c>
      <c r="V37" s="773" t="s">
        <v>17</v>
      </c>
      <c r="W37" s="774" t="e">
        <f t="shared" si="14"/>
        <v>#N/A</v>
      </c>
      <c r="X37" s="1810"/>
      <c r="Y37" s="3222"/>
      <c r="Z37" s="1811" t="str">
        <f t="shared" si="15"/>
        <v>成新度</v>
      </c>
      <c r="AA37" s="1808" t="e">
        <f t="shared" si="3"/>
        <v>#N/A</v>
      </c>
      <c r="AB37" s="1808" t="e">
        <f t="shared" si="4"/>
        <v>#N/A</v>
      </c>
      <c r="AC37" s="2668" t="e">
        <f t="shared" si="5"/>
        <v>#N/A</v>
      </c>
    </row>
    <row r="38" spans="1:29" s="117"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8"/>
      <c r="Q38" s="1792" t="str">
        <f t="shared" si="11"/>
        <v>写字楼等级</v>
      </c>
      <c r="R38" s="769" t="s">
        <v>17</v>
      </c>
      <c r="S38" s="770">
        <f t="shared" si="12"/>
        <v>100</v>
      </c>
      <c r="T38" s="769" t="s">
        <v>17</v>
      </c>
      <c r="U38" s="770">
        <f t="shared" si="13"/>
        <v>100</v>
      </c>
      <c r="V38" s="769" t="s">
        <v>17</v>
      </c>
      <c r="W38" s="770">
        <f t="shared" si="14"/>
        <v>100</v>
      </c>
      <c r="X38" s="771"/>
      <c r="Y38" s="3222"/>
      <c r="Z38" s="55" t="str">
        <f t="shared" si="15"/>
        <v>写字楼等级</v>
      </c>
      <c r="AA38" s="772">
        <f t="shared" si="3"/>
        <v>1</v>
      </c>
      <c r="AB38" s="772">
        <f t="shared" si="4"/>
        <v>1</v>
      </c>
      <c r="AC38" s="2665">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8" t="s">
        <v>2562</v>
      </c>
      <c r="Q39" s="1807" t="str">
        <f t="shared" si="11"/>
        <v>物业管理</v>
      </c>
      <c r="R39" s="773" t="s">
        <v>17</v>
      </c>
      <c r="S39" s="774">
        <f t="shared" si="12"/>
        <v>100</v>
      </c>
      <c r="T39" s="773" t="s">
        <v>17</v>
      </c>
      <c r="U39" s="774">
        <f t="shared" si="13"/>
        <v>100</v>
      </c>
      <c r="V39" s="773" t="s">
        <v>17</v>
      </c>
      <c r="W39" s="774">
        <f t="shared" si="14"/>
        <v>100</v>
      </c>
      <c r="X39" s="1810"/>
      <c r="Y39" s="3222" t="s">
        <v>2562</v>
      </c>
      <c r="Z39" s="1811" t="str">
        <f t="shared" si="15"/>
        <v>物业管理</v>
      </c>
      <c r="AA39" s="1808">
        <f t="shared" si="3"/>
        <v>1</v>
      </c>
      <c r="AB39" s="1808">
        <f t="shared" si="4"/>
        <v>1</v>
      </c>
      <c r="AC39" s="2668">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8"/>
      <c r="Q40" s="1807" t="str">
        <f t="shared" si="11"/>
        <v>市政基础设施</v>
      </c>
      <c r="R40" s="773" t="s">
        <v>17</v>
      </c>
      <c r="S40" s="774">
        <f t="shared" si="12"/>
        <v>100</v>
      </c>
      <c r="T40" s="773" t="s">
        <v>17</v>
      </c>
      <c r="U40" s="774">
        <f t="shared" si="13"/>
        <v>100</v>
      </c>
      <c r="V40" s="773" t="s">
        <v>17</v>
      </c>
      <c r="W40" s="774">
        <f t="shared" si="14"/>
        <v>100</v>
      </c>
      <c r="X40" s="1810"/>
      <c r="Y40" s="3222"/>
      <c r="Z40" s="1811" t="str">
        <f t="shared" si="15"/>
        <v>市政基础设施</v>
      </c>
      <c r="AA40" s="1808">
        <f t="shared" si="3"/>
        <v>1</v>
      </c>
      <c r="AB40" s="1808">
        <f t="shared" si="4"/>
        <v>1</v>
      </c>
      <c r="AC40" s="2668">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8"/>
      <c r="Q41" s="1807" t="str">
        <f t="shared" si="11"/>
        <v>层高</v>
      </c>
      <c r="R41" s="773" t="s">
        <v>17</v>
      </c>
      <c r="S41" s="774">
        <f t="shared" si="12"/>
        <v>100</v>
      </c>
      <c r="T41" s="773" t="s">
        <v>17</v>
      </c>
      <c r="U41" s="774">
        <f t="shared" si="13"/>
        <v>100</v>
      </c>
      <c r="V41" s="773" t="s">
        <v>17</v>
      </c>
      <c r="W41" s="774">
        <f t="shared" si="14"/>
        <v>100</v>
      </c>
      <c r="X41" s="1810"/>
      <c r="Y41" s="3222"/>
      <c r="Z41" s="1811" t="str">
        <f t="shared" si="15"/>
        <v>层高</v>
      </c>
      <c r="AA41" s="1808">
        <f t="shared" si="3"/>
        <v>1</v>
      </c>
      <c r="AB41" s="1808">
        <f t="shared" si="4"/>
        <v>1</v>
      </c>
      <c r="AC41" s="2668">
        <f t="shared" si="5"/>
        <v>1</v>
      </c>
    </row>
    <row r="42" spans="1:29" s="470" customFormat="1" ht="15">
      <c r="A42" s="467"/>
      <c r="B42" s="1809"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8"/>
      <c r="Q42" s="775" t="str">
        <f t="shared" si="11"/>
        <v>单套建筑面积</v>
      </c>
      <c r="R42" s="776" t="s">
        <v>17</v>
      </c>
      <c r="S42" s="777">
        <f t="shared" si="12"/>
        <v>100</v>
      </c>
      <c r="T42" s="776" t="s">
        <v>17</v>
      </c>
      <c r="U42" s="777">
        <f t="shared" si="13"/>
        <v>100</v>
      </c>
      <c r="V42" s="776" t="s">
        <v>17</v>
      </c>
      <c r="W42" s="777">
        <f t="shared" si="14"/>
        <v>100</v>
      </c>
      <c r="X42" s="778"/>
      <c r="Y42" s="3222"/>
      <c r="Z42" s="779" t="str">
        <f t="shared" si="15"/>
        <v>单套建筑面积</v>
      </c>
      <c r="AA42" s="1808">
        <f t="shared" si="3"/>
        <v>1</v>
      </c>
      <c r="AB42" s="1808">
        <f t="shared" si="4"/>
        <v>1</v>
      </c>
      <c r="AC42" s="2668">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8"/>
      <c r="Q43" s="1807" t="str">
        <f t="shared" si="11"/>
        <v>内部装修</v>
      </c>
      <c r="R43" s="773" t="s">
        <v>17</v>
      </c>
      <c r="S43" s="774">
        <f t="shared" si="12"/>
        <v>100</v>
      </c>
      <c r="T43" s="773" t="s">
        <v>17</v>
      </c>
      <c r="U43" s="774">
        <f t="shared" si="13"/>
        <v>100</v>
      </c>
      <c r="V43" s="773" t="s">
        <v>17</v>
      </c>
      <c r="W43" s="774">
        <f t="shared" si="14"/>
        <v>100</v>
      </c>
      <c r="X43" s="1810"/>
      <c r="Y43" s="3222"/>
      <c r="Z43" s="1811" t="str">
        <f t="shared" si="15"/>
        <v>内部装修</v>
      </c>
      <c r="AA43" s="1808">
        <f t="shared" si="3"/>
        <v>1</v>
      </c>
      <c r="AB43" s="1808">
        <f t="shared" si="4"/>
        <v>1</v>
      </c>
      <c r="AC43" s="2668">
        <f t="shared" si="5"/>
        <v>1</v>
      </c>
    </row>
    <row r="44" spans="1:29" ht="15">
      <c r="A44" s="471"/>
      <c r="B44" s="421" t="s">
        <v>2573</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8"/>
      <c r="M44" s="1129"/>
      <c r="N44" s="1129"/>
      <c r="O44" s="1129"/>
      <c r="P44" s="3258"/>
      <c r="Q44" s="1807" t="str">
        <f t="shared" si="11"/>
        <v>内部装修维护情况</v>
      </c>
      <c r="R44" s="773" t="s">
        <v>17</v>
      </c>
      <c r="S44" s="774">
        <f t="shared" si="12"/>
        <v>100</v>
      </c>
      <c r="T44" s="773" t="s">
        <v>17</v>
      </c>
      <c r="U44" s="774">
        <f t="shared" si="13"/>
        <v>100</v>
      </c>
      <c r="V44" s="773" t="s">
        <v>17</v>
      </c>
      <c r="W44" s="774">
        <f t="shared" si="14"/>
        <v>100</v>
      </c>
      <c r="X44" s="1810"/>
      <c r="Y44" s="3222"/>
      <c r="Z44" s="1811" t="str">
        <f t="shared" si="15"/>
        <v>内部装修维护情况</v>
      </c>
      <c r="AA44" s="1808">
        <f t="shared" si="3"/>
        <v>1</v>
      </c>
      <c r="AB44" s="1808">
        <f t="shared" si="4"/>
        <v>1</v>
      </c>
      <c r="AC44" s="2668">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8"/>
      <c r="Q45" s="1792">
        <f t="shared" si="11"/>
        <v>111</v>
      </c>
      <c r="R45" s="769" t="s">
        <v>17</v>
      </c>
      <c r="S45" s="770">
        <f t="shared" si="12"/>
        <v>100</v>
      </c>
      <c r="T45" s="769" t="s">
        <v>17</v>
      </c>
      <c r="U45" s="770">
        <f t="shared" si="13"/>
        <v>100</v>
      </c>
      <c r="V45" s="769" t="s">
        <v>17</v>
      </c>
      <c r="W45" s="770">
        <f t="shared" si="14"/>
        <v>100</v>
      </c>
      <c r="X45" s="771"/>
      <c r="Y45" s="3222"/>
      <c r="Z45" s="55">
        <f t="shared" si="15"/>
        <v>111</v>
      </c>
      <c r="AA45" s="772">
        <f t="shared" si="3"/>
        <v>1</v>
      </c>
      <c r="AB45" s="772">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8"/>
      <c r="Q46" s="1807">
        <f t="shared" si="11"/>
        <v>111</v>
      </c>
      <c r="R46" s="773" t="s">
        <v>17</v>
      </c>
      <c r="S46" s="774">
        <f t="shared" si="12"/>
        <v>100</v>
      </c>
      <c r="T46" s="773" t="s">
        <v>17</v>
      </c>
      <c r="U46" s="774">
        <f t="shared" si="13"/>
        <v>100</v>
      </c>
      <c r="V46" s="773" t="s">
        <v>17</v>
      </c>
      <c r="W46" s="774">
        <f t="shared" si="14"/>
        <v>100</v>
      </c>
      <c r="X46" s="1810"/>
      <c r="Y46" s="3222"/>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9"/>
      <c r="Q47" s="1807">
        <f t="shared" si="11"/>
        <v>111</v>
      </c>
      <c r="R47" s="773" t="s">
        <v>17</v>
      </c>
      <c r="S47" s="774">
        <f t="shared" si="12"/>
        <v>100</v>
      </c>
      <c r="T47" s="773" t="s">
        <v>17</v>
      </c>
      <c r="U47" s="774">
        <f t="shared" si="13"/>
        <v>100</v>
      </c>
      <c r="V47" s="773" t="s">
        <v>17</v>
      </c>
      <c r="W47" s="774">
        <f t="shared" si="14"/>
        <v>100</v>
      </c>
      <c r="X47" s="1810"/>
      <c r="Y47" s="3260"/>
      <c r="Z47" s="1811">
        <f t="shared" si="15"/>
        <v>111</v>
      </c>
      <c r="AA47" s="1808">
        <f t="shared" si="3"/>
        <v>1</v>
      </c>
      <c r="AB47" s="1808">
        <f t="shared" si="4"/>
        <v>1</v>
      </c>
      <c r="AC47" s="2668">
        <f t="shared" si="5"/>
        <v>1</v>
      </c>
    </row>
    <row r="48" spans="1:29" ht="15">
      <c r="A48" s="478" t="s">
        <v>2574</v>
      </c>
      <c r="B48" s="479"/>
      <c r="C48" s="1405" t="s">
        <v>1</v>
      </c>
      <c r="D48" s="1406"/>
      <c r="E48" s="1407"/>
      <c r="F48" s="1408"/>
      <c r="G48" s="1409"/>
      <c r="H48" s="1410"/>
      <c r="I48" s="1407"/>
      <c r="J48" s="484"/>
      <c r="K48" s="782"/>
      <c r="L48" s="1141"/>
      <c r="M48" s="1129"/>
      <c r="N48" s="1129"/>
      <c r="O48" s="1129"/>
      <c r="P48" s="3216" t="str">
        <f>A48</f>
        <v>成交单价（元/平方米）</v>
      </c>
      <c r="Q48" s="3217"/>
      <c r="R48" s="3253">
        <f>E48</f>
        <v>0</v>
      </c>
      <c r="S48" s="3253"/>
      <c r="T48" s="3253">
        <f>G48</f>
        <v>0</v>
      </c>
      <c r="U48" s="3253"/>
      <c r="V48" s="3253">
        <f>I48</f>
        <v>0</v>
      </c>
      <c r="W48" s="3253"/>
      <c r="X48" s="445"/>
      <c r="Y48" s="780"/>
      <c r="Z48" s="445"/>
      <c r="AA48" s="445"/>
      <c r="AB48" s="445"/>
      <c r="AC48" s="629"/>
    </row>
    <row r="49" spans="1:29" ht="15.75" thickBot="1">
      <c r="A49" s="485" t="s">
        <v>2666</v>
      </c>
      <c r="B49" s="486"/>
      <c r="C49" s="1411" t="e">
        <f>R50</f>
        <v>#DIV/0!</v>
      </c>
      <c r="D49" s="1412"/>
      <c r="E49" s="1413" t="e">
        <f>R49</f>
        <v>#DIV/0!</v>
      </c>
      <c r="F49" s="1413"/>
      <c r="G49" s="1411" t="e">
        <f>T49</f>
        <v>#DIV/0!</v>
      </c>
      <c r="H49" s="1412"/>
      <c r="I49" s="1413" t="e">
        <f>V49</f>
        <v>#DIV/0!</v>
      </c>
      <c r="J49" s="488"/>
      <c r="K49" s="783"/>
      <c r="L49" s="1141"/>
      <c r="M49" s="1129"/>
      <c r="N49" s="1129"/>
      <c r="O49" s="1129"/>
      <c r="P49" s="3216" t="str">
        <f>A49</f>
        <v>比较价值（元/平方米）</v>
      </c>
      <c r="Q49" s="3217"/>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5"/>
      <c r="Y49" s="445"/>
      <c r="Z49" s="445"/>
      <c r="AA49" s="445"/>
      <c r="AB49" s="445"/>
      <c r="AC49" s="629"/>
    </row>
    <row r="50" spans="1:29" ht="15.75" thickBot="1">
      <c r="A50" s="491" t="s">
        <v>2667</v>
      </c>
      <c r="B50" s="492"/>
      <c r="C50" s="1415" t="e">
        <f>R50</f>
        <v>#DIV/0!</v>
      </c>
      <c r="D50" s="1415"/>
      <c r="E50" s="1415"/>
      <c r="F50" s="1415"/>
      <c r="G50" s="1415"/>
      <c r="H50" s="1415"/>
      <c r="I50" s="1415"/>
      <c r="J50" s="493"/>
      <c r="K50" s="784"/>
      <c r="L50" s="1141"/>
      <c r="M50" s="1129"/>
      <c r="N50" s="1129"/>
      <c r="O50" s="1129"/>
      <c r="P50" s="3288" t="str">
        <f>A50</f>
        <v>估价对象XX用房的比较价值（楼面单价，元/平方米）</v>
      </c>
      <c r="Q50" s="3289"/>
      <c r="R50" s="3290" t="e">
        <f>IF(F1="售价",ROUND(AVERAGE(R49:V49),0),ROUND(AVERAGE(R49:V49),1))</f>
        <v>#DIV/0!</v>
      </c>
      <c r="S50" s="3290"/>
      <c r="T50" s="3290"/>
      <c r="U50" s="3290"/>
      <c r="V50" s="3290"/>
      <c r="W50" s="3290"/>
      <c r="X50" s="2648"/>
      <c r="Y50" s="2648"/>
      <c r="Z50" s="2648"/>
      <c r="AA50" s="2648"/>
      <c r="AB50" s="2648"/>
      <c r="AC50" s="2649"/>
    </row>
    <row r="51" spans="1:29">
      <c r="A51" s="1142"/>
      <c r="B51" s="1142"/>
      <c r="C51" s="1142"/>
      <c r="D51" s="1142"/>
      <c r="E51" s="1142"/>
      <c r="F51" s="1142"/>
      <c r="G51" s="1145"/>
      <c r="H51" s="1142"/>
      <c r="I51" s="1142"/>
      <c r="J51" s="1142"/>
      <c r="K51" s="1104"/>
      <c r="L51" s="1105"/>
      <c r="M51" s="1142"/>
      <c r="N51" s="1142"/>
      <c r="O51" s="1142"/>
    </row>
    <row r="52" spans="1:29">
      <c r="A52" s="1142"/>
      <c r="B52" s="1142"/>
      <c r="C52" s="1142"/>
      <c r="D52" s="1142"/>
      <c r="E52" s="1142"/>
      <c r="F52" s="1142"/>
      <c r="G52" s="1142"/>
      <c r="H52" s="1142"/>
      <c r="I52" s="1142"/>
      <c r="J52" s="1142"/>
      <c r="K52" s="1104"/>
      <c r="L52" s="1105"/>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4"/>
      <c r="L57" s="1105"/>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5"/>
      <c r="Q58" s="503"/>
    </row>
    <row r="59" spans="1:29" s="507" customFormat="1" ht="15">
      <c r="A59" s="504" t="s">
        <v>2545</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8"/>
      <c r="B60" s="509"/>
      <c r="C60" s="1571">
        <v>100</v>
      </c>
      <c r="D60" s="511"/>
      <c r="E60" s="511"/>
      <c r="F60" s="511"/>
      <c r="G60" s="511"/>
      <c r="H60" s="511"/>
      <c r="I60" s="511"/>
      <c r="J60" s="511"/>
      <c r="K60" s="511"/>
      <c r="L60" s="511"/>
      <c r="M60" s="512"/>
      <c r="N60" s="511"/>
      <c r="O60" s="512"/>
      <c r="P60" s="2676"/>
    </row>
    <row r="61" spans="1:29" s="117" customFormat="1" ht="15.75" thickBot="1">
      <c r="A61" s="514" t="s">
        <v>2582</v>
      </c>
      <c r="B61" s="515"/>
      <c r="C61" s="516"/>
      <c r="D61" s="517"/>
      <c r="E61" s="517"/>
      <c r="F61" s="517"/>
      <c r="G61" s="517"/>
      <c r="H61" s="517"/>
      <c r="I61" s="517"/>
      <c r="J61" s="517"/>
      <c r="K61" s="517"/>
      <c r="L61" s="517"/>
      <c r="M61" s="518"/>
      <c r="N61" s="517"/>
      <c r="O61" s="518"/>
      <c r="P61" s="2676"/>
      <c r="Q61" s="503"/>
    </row>
    <row r="62" spans="1:29" s="117" customFormat="1" ht="15">
      <c r="A62" s="520" t="s">
        <v>2547</v>
      </c>
      <c r="B62" s="509"/>
      <c r="C62" s="521" t="s">
        <v>2649</v>
      </c>
      <c r="D62" s="522"/>
      <c r="E62" s="522"/>
      <c r="F62" s="522"/>
      <c r="G62" s="522"/>
      <c r="H62" s="522"/>
      <c r="I62" s="522"/>
      <c r="J62" s="522"/>
      <c r="K62" s="522"/>
      <c r="L62" s="523"/>
      <c r="M62" s="524"/>
      <c r="N62" s="1149"/>
      <c r="O62" s="1149"/>
      <c r="P62" s="2677"/>
      <c r="Q62" s="503"/>
    </row>
    <row r="63" spans="1:29" s="117"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2585</v>
      </c>
      <c r="B64" s="527" t="s">
        <v>2551</v>
      </c>
      <c r="C64" s="528">
        <f>C9</f>
        <v>0</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8"/>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c r="D69" s="548"/>
      <c r="E69" s="548"/>
      <c r="F69" s="548"/>
      <c r="G69" s="548"/>
      <c r="H69" s="548"/>
      <c r="I69" s="548"/>
      <c r="J69" s="548"/>
      <c r="K69" s="549"/>
      <c r="L69" s="550"/>
      <c r="M69" s="551"/>
      <c r="N69" s="1150"/>
      <c r="O69" s="1150"/>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0"/>
      <c r="O77" s="1150"/>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0"/>
      <c r="O79" s="1150"/>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0"/>
      <c r="O81" s="1150"/>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75" thickTop="1">
      <c r="A83" s="533"/>
      <c r="B83" s="545" t="s">
        <v>2686</v>
      </c>
      <c r="C83" s="659" t="s">
        <v>2672</v>
      </c>
      <c r="D83" s="659" t="s">
        <v>2673</v>
      </c>
      <c r="E83" s="659" t="s">
        <v>2674</v>
      </c>
      <c r="F83" s="659" t="s">
        <v>2675</v>
      </c>
      <c r="G83" s="659" t="s">
        <v>2676</v>
      </c>
      <c r="H83" s="538"/>
      <c r="I83" s="538"/>
      <c r="J83" s="538"/>
      <c r="K83" s="538"/>
      <c r="L83" s="538"/>
      <c r="M83" s="1380"/>
      <c r="N83" s="1151"/>
      <c r="O83" s="1151"/>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7" customFormat="1" ht="27.75" thickTop="1">
      <c r="A87" s="578"/>
      <c r="B87" s="537" t="s">
        <v>2696</v>
      </c>
      <c r="C87" s="553"/>
      <c r="D87" s="553"/>
      <c r="E87" s="553"/>
      <c r="F87" s="553"/>
      <c r="G87" s="553"/>
      <c r="H87" s="553"/>
      <c r="I87" s="553"/>
      <c r="J87" s="553"/>
      <c r="K87" s="553"/>
      <c r="L87" s="579"/>
      <c r="M87" s="580"/>
      <c r="N87" s="1149"/>
      <c r="O87" s="1149"/>
      <c r="P87" s="267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7" customFormat="1" ht="15.75" thickTop="1">
      <c r="A89" s="578"/>
      <c r="B89" s="537" t="str">
        <f>B27</f>
        <v>楼层</v>
      </c>
      <c r="C89" s="553"/>
      <c r="D89" s="553"/>
      <c r="E89" s="553"/>
      <c r="F89" s="2629"/>
      <c r="G89" s="553"/>
      <c r="H89" s="553"/>
      <c r="I89" s="553"/>
      <c r="J89" s="553"/>
      <c r="K89" s="553"/>
      <c r="L89" s="553"/>
      <c r="M89" s="580"/>
      <c r="N89" s="1149"/>
      <c r="O89" s="1149"/>
      <c r="P89" s="267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2560</v>
      </c>
      <c r="B101" s="527" t="s">
        <v>2609</v>
      </c>
      <c r="C101" s="529"/>
      <c r="D101" s="529"/>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2611</v>
      </c>
      <c r="C106" s="553"/>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2613</v>
      </c>
      <c r="C108" s="553"/>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2614</v>
      </c>
      <c r="C115" s="553"/>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2615</v>
      </c>
      <c r="C117" s="553"/>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2698</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2617</v>
      </c>
      <c r="C123" s="553"/>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1605</v>
      </c>
    </row>
    <row r="2" spans="1:1">
      <c r="A2" s="1942"/>
    </row>
    <row r="3" spans="1:1" ht="18">
      <c r="A3" s="1943" t="str">
        <f>项目基本情况!B5&amp;"："</f>
        <v>国民信托有限公司：</v>
      </c>
    </row>
    <row r="4" spans="1:1" ht="36">
      <c r="A4" s="1944" t="str">
        <f>"受贵公司委托，我公司对"&amp;项目基本情况!S1&amp;"进行了预评估。"</f>
        <v>受贵公司委托，我公司对湖北省黄石市大冶市东岳路办事处新华路十五万楼等商业用房房地产市场价值进行了预评估。</v>
      </c>
    </row>
    <row r="5" spans="1:1" ht="18.75">
      <c r="A5" s="1945" t="s">
        <v>1606</v>
      </c>
    </row>
    <row r="6" spans="1:1" ht="18.75">
      <c r="A6" s="1946" t="s">
        <v>1607</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黄石市大冶市东岳路办事处新华路十五万楼等商业用房房地产，为大冶市龙发物业管理有限公司、大冶市城区房管所所有。根据《国有土地使用证》[]，估价对象（分摊）出让国有建设用地使用权面积为0平方米。根据《房屋所有权证》[大冶市房权证01字第30439号]，估价对象建筑面积为424.2平方米。</v>
      </c>
    </row>
    <row r="8" spans="1:1" ht="57.75">
      <c r="A8" s="1947" t="s">
        <v>1608</v>
      </c>
    </row>
    <row r="9" spans="1:1" ht="18.75">
      <c r="A9" s="1946" t="s">
        <v>1609</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黄石市大冶市东岳路办事处新华路十五万楼等商业用房房地产,属大冶市龙发物业管理有限公司、大冶市城区房管所开发建设的，该项目尚在开发建设中。根据《国有土地使用证》[]，估价对象（分摊）出让国有建设用地使用权面积为0平方米。根据《房屋所有权证》[大冶市房权证01字第30439号]，估价对象规划建筑面积为424.2平方米。</v>
      </c>
    </row>
    <row r="11" spans="1:1" ht="76.5">
      <c r="A11" s="1947" t="s">
        <v>1610</v>
      </c>
    </row>
    <row r="12" spans="1:1" ht="18.75">
      <c r="A12" s="1945" t="s">
        <v>1611</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1612</v>
      </c>
    </row>
    <row r="15" spans="1:1" ht="18">
      <c r="A15" s="1950" t="str">
        <f>TEXT(项目基本情况!D3,"yyyy年m月d日;;")&amp;IF(项目基本情况!D3=项目基本情况!B3,"（评估专业人员实地查勘之日）","")</f>
        <v>2019年7月30日（评估专业人员实地查勘之日）</v>
      </c>
    </row>
    <row r="16" spans="1:1" ht="18.75">
      <c r="A16" s="1949" t="s">
        <v>1613</v>
      </c>
    </row>
    <row r="17" spans="1:1" ht="75">
      <c r="A17" s="1944" t="s">
        <v>1614</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1603</v>
      </c>
    </row>
    <row r="24" spans="1:1" ht="18">
      <c r="A24" s="1951" t="str">
        <f>"本次评估采用的主估价方法为"&amp;结果表!K4&amp;"和"&amp;结果表!L4&amp;"。"</f>
        <v>本次评估采用的主估价方法为比较法和收益法。</v>
      </c>
    </row>
    <row r="25" spans="1:1" ht="18">
      <c r="A25" s="1951"/>
    </row>
    <row r="26" spans="1:1" ht="18.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3" t="s">
        <v>2699</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6" t="e">
        <f ca="1">IF(C2="——",ROUND(C43*D3/10000,0),ROUND(C43*D3/10000,0)-D2)</f>
        <v>#DIV/0!</v>
      </c>
      <c r="C2" s="2580"/>
      <c r="D2" s="1122" t="e">
        <f ca="1">SUMIF(INDIRECT("'"&amp;F2&amp;"'"&amp;"!A:A"),"承租人权益价值",INDIRECT("'"&amp;F2&amp;"'"&amp;"!c:c"))</f>
        <v>#REF!</v>
      </c>
      <c r="E2" s="2581" t="s">
        <v>2325</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424.2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14" t="s">
        <v>2643</v>
      </c>
      <c r="D4" s="3227"/>
      <c r="E4" s="3228" t="s">
        <v>2644</v>
      </c>
      <c r="F4" s="3229"/>
      <c r="G4" s="3214" t="s">
        <v>2645</v>
      </c>
      <c r="H4" s="3227"/>
      <c r="I4" s="3214" t="s">
        <v>2646</v>
      </c>
      <c r="J4" s="3227"/>
      <c r="K4" s="609" t="s">
        <v>2647</v>
      </c>
      <c r="L4" s="1128"/>
      <c r="M4" s="1129"/>
      <c r="N4" s="1129"/>
      <c r="O4" s="1129"/>
      <c r="P4" s="3230" t="s">
        <v>2648</v>
      </c>
      <c r="Q4" s="3231"/>
      <c r="R4" s="3236" t="s">
        <v>2644</v>
      </c>
      <c r="S4" s="3237"/>
      <c r="T4" s="3236" t="s">
        <v>2645</v>
      </c>
      <c r="U4" s="3237"/>
      <c r="V4" s="3223" t="s">
        <v>2646</v>
      </c>
      <c r="W4" s="3223"/>
      <c r="X4" s="1810"/>
      <c r="Y4" s="3236" t="s">
        <v>2648</v>
      </c>
      <c r="Z4" s="3237"/>
      <c r="AA4" s="3224" t="s">
        <v>2644</v>
      </c>
      <c r="AB4" s="3225" t="s">
        <v>2645</v>
      </c>
      <c r="AC4" s="3224" t="s">
        <v>2646</v>
      </c>
    </row>
    <row r="5" spans="1:29" ht="15">
      <c r="A5" s="403"/>
      <c r="B5" s="404"/>
      <c r="C5" s="3244" t="s">
        <v>2539</v>
      </c>
      <c r="D5" s="3245"/>
      <c r="E5" s="3251" t="s">
        <v>2540</v>
      </c>
      <c r="F5" s="3252"/>
      <c r="G5" s="3244" t="s">
        <v>2541</v>
      </c>
      <c r="H5" s="3245"/>
      <c r="I5" s="3244" t="s">
        <v>2542</v>
      </c>
      <c r="J5" s="3245"/>
      <c r="K5" s="609"/>
      <c r="L5" s="1128"/>
      <c r="M5" s="1129"/>
      <c r="N5" s="1129"/>
      <c r="O5" s="1129"/>
      <c r="P5" s="3232"/>
      <c r="Q5" s="3233"/>
      <c r="R5" s="3238"/>
      <c r="S5" s="3239"/>
      <c r="T5" s="3238"/>
      <c r="U5" s="3239"/>
      <c r="V5" s="3223"/>
      <c r="W5" s="3223"/>
      <c r="X5" s="1810"/>
      <c r="Y5" s="3238"/>
      <c r="Z5" s="3239"/>
      <c r="AA5" s="3225"/>
      <c r="AB5" s="3225"/>
      <c r="AC5" s="3225"/>
    </row>
    <row r="6" spans="1:29" ht="15.75" thickBot="1">
      <c r="A6" s="405"/>
      <c r="B6" s="406"/>
      <c r="C6" s="3242" t="s">
        <v>2543</v>
      </c>
      <c r="D6" s="3243"/>
      <c r="E6" s="3249" t="s">
        <v>2543</v>
      </c>
      <c r="F6" s="3250"/>
      <c r="G6" s="3242" t="s">
        <v>2543</v>
      </c>
      <c r="H6" s="3243"/>
      <c r="I6" s="3242" t="s">
        <v>2543</v>
      </c>
      <c r="J6" s="3243"/>
      <c r="K6" s="609" t="s">
        <v>2544</v>
      </c>
      <c r="L6" s="1128"/>
      <c r="M6" s="1129"/>
      <c r="N6" s="1129"/>
      <c r="O6" s="1129"/>
      <c r="P6" s="3234"/>
      <c r="Q6" s="3235"/>
      <c r="R6" s="3238"/>
      <c r="S6" s="3239"/>
      <c r="T6" s="3240"/>
      <c r="U6" s="3241"/>
      <c r="V6" s="3223"/>
      <c r="W6" s="3223"/>
      <c r="X6" s="1810"/>
      <c r="Y6" s="3240"/>
      <c r="Z6" s="3241"/>
      <c r="AA6" s="3226"/>
      <c r="AB6" s="3226"/>
      <c r="AC6" s="3226"/>
    </row>
    <row r="7" spans="1:29" s="117" customFormat="1" ht="15.75" thickBot="1">
      <c r="A7" s="407" t="s">
        <v>2545</v>
      </c>
      <c r="B7" s="408"/>
      <c r="C7" s="409">
        <f>'数据-取费表'!B2</f>
        <v>43676</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6" t="s">
        <v>2546</v>
      </c>
      <c r="Q7" s="3248"/>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772" t="e">
        <f>D7/J7</f>
        <v>#DIV/0!</v>
      </c>
    </row>
    <row r="8" spans="1:29" s="117"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6" t="s">
        <v>2549</v>
      </c>
      <c r="Q8" s="3247"/>
      <c r="R8" s="769" t="s">
        <v>17</v>
      </c>
      <c r="S8" s="770">
        <f t="shared" si="0"/>
        <v>0</v>
      </c>
      <c r="T8" s="769" t="s">
        <v>17</v>
      </c>
      <c r="U8" s="770">
        <f t="shared" si="1"/>
        <v>0</v>
      </c>
      <c r="V8" s="769" t="s">
        <v>17</v>
      </c>
      <c r="W8" s="770">
        <f t="shared" si="2"/>
        <v>0</v>
      </c>
      <c r="X8" s="771"/>
      <c r="Y8" s="3246" t="s">
        <v>2549</v>
      </c>
      <c r="Z8" s="3247"/>
      <c r="AA8" s="772" t="e">
        <f t="shared" ref="AA8:AA40" si="3">D8/F8</f>
        <v>#DIV/0!</v>
      </c>
      <c r="AB8" s="772" t="e">
        <f t="shared" ref="AB8:AB40" si="4">D8/H8</f>
        <v>#DIV/0!</v>
      </c>
      <c r="AC8" s="772" t="e">
        <f t="shared" ref="AC8:AC40" si="5">D8/J8</f>
        <v>#DIV/0!</v>
      </c>
    </row>
    <row r="9" spans="1:29" s="117"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7" t="s">
        <v>2552</v>
      </c>
      <c r="Q9" s="1792" t="str">
        <f t="shared" ref="Q9:Q15" si="6">B9</f>
        <v>用途</v>
      </c>
      <c r="R9" s="769" t="s">
        <v>17</v>
      </c>
      <c r="S9" s="770">
        <f t="shared" si="0"/>
        <v>100</v>
      </c>
      <c r="T9" s="769" t="s">
        <v>17</v>
      </c>
      <c r="U9" s="770">
        <f t="shared" si="1"/>
        <v>100</v>
      </c>
      <c r="V9" s="769" t="s">
        <v>17</v>
      </c>
      <c r="W9" s="770">
        <f t="shared" si="2"/>
        <v>100</v>
      </c>
      <c r="X9" s="771"/>
      <c r="Y9" s="3065"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7"/>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7"/>
      <c r="Q11" s="1792"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772" t="e">
        <f t="shared" si="5"/>
        <v>#N/A</v>
      </c>
    </row>
    <row r="12" spans="1:29" s="117"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217"/>
      <c r="Q12" s="1792">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217"/>
      <c r="Q13" s="1792">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217"/>
      <c r="Q14" s="1792">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772">
        <f t="shared" si="5"/>
        <v>1</v>
      </c>
    </row>
    <row r="15" spans="1:29" ht="57">
      <c r="A15" s="439" t="s">
        <v>2556</v>
      </c>
      <c r="B15" s="69" t="s">
        <v>2700</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9" t="s">
        <v>2557</v>
      </c>
      <c r="Q15" s="1807" t="str">
        <f t="shared" si="6"/>
        <v>产业集聚程度</v>
      </c>
      <c r="R15" s="773" t="s">
        <v>17</v>
      </c>
      <c r="S15" s="774">
        <f t="shared" si="0"/>
        <v>100</v>
      </c>
      <c r="T15" s="773" t="s">
        <v>17</v>
      </c>
      <c r="U15" s="774">
        <f t="shared" si="1"/>
        <v>100</v>
      </c>
      <c r="V15" s="773" t="s">
        <v>17</v>
      </c>
      <c r="W15" s="774">
        <f t="shared" si="2"/>
        <v>100</v>
      </c>
      <c r="X15" s="1810"/>
      <c r="Y15" s="3219" t="s">
        <v>2557</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20"/>
      <c r="Q16" s="1807"/>
      <c r="R16" s="773"/>
      <c r="S16" s="774"/>
      <c r="T16" s="773"/>
      <c r="U16" s="774"/>
      <c r="V16" s="773"/>
      <c r="W16" s="774"/>
      <c r="X16" s="1810"/>
      <c r="Y16" s="3220"/>
      <c r="Z16" s="1811"/>
      <c r="AA16" s="1808">
        <v>1</v>
      </c>
      <c r="AB16" s="1808">
        <v>1</v>
      </c>
      <c r="AC16" s="1808">
        <v>1</v>
      </c>
    </row>
    <row r="17" spans="1:29" ht="85.5">
      <c r="A17" s="427"/>
      <c r="B17" s="450" t="s">
        <v>2093</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0"/>
      <c r="Q17" s="1807" t="str">
        <f>B17</f>
        <v>交通便捷度</v>
      </c>
      <c r="R17" s="773" t="s">
        <v>17</v>
      </c>
      <c r="S17" s="774">
        <f>F17</f>
        <v>100</v>
      </c>
      <c r="T17" s="773" t="s">
        <v>17</v>
      </c>
      <c r="U17" s="774">
        <f>H17</f>
        <v>100</v>
      </c>
      <c r="V17" s="773" t="s">
        <v>17</v>
      </c>
      <c r="W17" s="774">
        <f>J17</f>
        <v>100</v>
      </c>
      <c r="X17" s="1810"/>
      <c r="Y17" s="3220"/>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8"/>
      <c r="M18" s="1129"/>
      <c r="N18" s="1129"/>
      <c r="O18" s="1137"/>
      <c r="P18" s="3220"/>
      <c r="Q18" s="1807"/>
      <c r="R18" s="773"/>
      <c r="S18" s="774"/>
      <c r="T18" s="773"/>
      <c r="U18" s="774"/>
      <c r="V18" s="773"/>
      <c r="W18" s="774"/>
      <c r="X18" s="1810"/>
      <c r="Y18" s="3220"/>
      <c r="Z18" s="1811"/>
      <c r="AA18" s="1808">
        <v>1</v>
      </c>
      <c r="AB18" s="1808">
        <v>1</v>
      </c>
      <c r="AC18" s="1808">
        <v>1</v>
      </c>
    </row>
    <row r="19" spans="1:29" ht="42.75">
      <c r="A19" s="427"/>
      <c r="B19" s="450" t="s">
        <v>2685</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0"/>
      <c r="Q19" s="1807" t="str">
        <f>B19</f>
        <v>公共配套设施</v>
      </c>
      <c r="R19" s="773" t="s">
        <v>17</v>
      </c>
      <c r="S19" s="774">
        <f>F19</f>
        <v>100</v>
      </c>
      <c r="T19" s="773" t="s">
        <v>17</v>
      </c>
      <c r="U19" s="774">
        <f>H19</f>
        <v>100</v>
      </c>
      <c r="V19" s="773" t="s">
        <v>17</v>
      </c>
      <c r="W19" s="774">
        <f>J19</f>
        <v>100</v>
      </c>
      <c r="X19" s="1810"/>
      <c r="Y19" s="3220"/>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8"/>
      <c r="M20" s="1129"/>
      <c r="N20" s="1129"/>
      <c r="O20" s="1137"/>
      <c r="P20" s="3220"/>
      <c r="Q20" s="1807"/>
      <c r="R20" s="773"/>
      <c r="S20" s="774"/>
      <c r="T20" s="773"/>
      <c r="U20" s="774"/>
      <c r="V20" s="773"/>
      <c r="W20" s="774"/>
      <c r="X20" s="1810"/>
      <c r="Y20" s="3220"/>
      <c r="Z20" s="1811"/>
      <c r="AA20" s="1808">
        <v>1</v>
      </c>
      <c r="AB20" s="1808">
        <v>1</v>
      </c>
      <c r="AC20" s="1808">
        <v>1</v>
      </c>
    </row>
    <row r="21" spans="1:29" ht="28.5">
      <c r="A21" s="427"/>
      <c r="B21" s="1382" t="s">
        <v>2686</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0"/>
      <c r="Q21" s="1807" t="str">
        <f>B21</f>
        <v>基础设施水平</v>
      </c>
      <c r="R21" s="773" t="s">
        <v>17</v>
      </c>
      <c r="S21" s="774">
        <f>F21</f>
        <v>100</v>
      </c>
      <c r="T21" s="773" t="s">
        <v>17</v>
      </c>
      <c r="U21" s="774">
        <f>H21</f>
        <v>100</v>
      </c>
      <c r="V21" s="773" t="s">
        <v>17</v>
      </c>
      <c r="W21" s="774">
        <f>J21</f>
        <v>100</v>
      </c>
      <c r="X21" s="1810"/>
      <c r="Y21" s="3220"/>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8"/>
      <c r="G22" s="446"/>
      <c r="H22" s="447"/>
      <c r="I22" s="446"/>
      <c r="J22" s="447"/>
      <c r="K22" s="1381"/>
      <c r="L22" s="1138"/>
      <c r="M22" s="1129"/>
      <c r="N22" s="1129"/>
      <c r="O22" s="1137"/>
      <c r="P22" s="3220"/>
      <c r="Q22" s="1807"/>
      <c r="R22" s="773"/>
      <c r="S22" s="774"/>
      <c r="T22" s="773"/>
      <c r="U22" s="774"/>
      <c r="V22" s="773"/>
      <c r="W22" s="774"/>
      <c r="X22" s="1810"/>
      <c r="Y22" s="3220"/>
      <c r="Z22" s="1811"/>
      <c r="AA22" s="1808">
        <v>1</v>
      </c>
      <c r="AB22" s="1808">
        <v>1</v>
      </c>
      <c r="AC22" s="1808">
        <v>1</v>
      </c>
    </row>
    <row r="23" spans="1:29" ht="71.25">
      <c r="A23" s="427"/>
      <c r="B23" s="450" t="s">
        <v>2687</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0"/>
      <c r="Q23" s="1807" t="str">
        <f>B23</f>
        <v>环境质量</v>
      </c>
      <c r="R23" s="773" t="s">
        <v>17</v>
      </c>
      <c r="S23" s="774">
        <f>F23</f>
        <v>100</v>
      </c>
      <c r="T23" s="773" t="s">
        <v>17</v>
      </c>
      <c r="U23" s="774">
        <f>H23</f>
        <v>100</v>
      </c>
      <c r="V23" s="773" t="s">
        <v>17</v>
      </c>
      <c r="W23" s="774">
        <f>J23</f>
        <v>100</v>
      </c>
      <c r="X23" s="1810"/>
      <c r="Y23" s="3220"/>
      <c r="Z23" s="1811" t="str">
        <f>Q23</f>
        <v>环境质量</v>
      </c>
      <c r="AA23" s="1808">
        <f t="shared" si="3"/>
        <v>1</v>
      </c>
      <c r="AB23" s="1808">
        <f t="shared" si="4"/>
        <v>1</v>
      </c>
      <c r="AC23" s="1808">
        <f t="shared" si="5"/>
        <v>1</v>
      </c>
    </row>
    <row r="24" spans="1:29" ht="15">
      <c r="A24" s="427"/>
      <c r="B24" s="1382"/>
      <c r="C24" s="446"/>
      <c r="D24" s="447"/>
      <c r="E24" s="2599"/>
      <c r="F24" s="448"/>
      <c r="G24" s="2598"/>
      <c r="H24" s="447"/>
      <c r="I24" s="2599"/>
      <c r="J24" s="447"/>
      <c r="K24" s="614"/>
      <c r="L24" s="1138"/>
      <c r="M24" s="1129"/>
      <c r="N24" s="1129"/>
      <c r="O24" s="1137"/>
      <c r="P24" s="3220"/>
      <c r="Q24" s="1807"/>
      <c r="R24" s="773"/>
      <c r="S24" s="774"/>
      <c r="T24" s="773"/>
      <c r="U24" s="774"/>
      <c r="V24" s="773"/>
      <c r="W24" s="774"/>
      <c r="X24" s="1810"/>
      <c r="Y24" s="3220"/>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0"/>
      <c r="Q25" s="1807">
        <f>B25</f>
        <v>111</v>
      </c>
      <c r="R25" s="773" t="s">
        <v>17</v>
      </c>
      <c r="S25" s="774">
        <f>F25</f>
        <v>100</v>
      </c>
      <c r="T25" s="773" t="s">
        <v>17</v>
      </c>
      <c r="U25" s="774">
        <f>H25</f>
        <v>100</v>
      </c>
      <c r="V25" s="773" t="s">
        <v>17</v>
      </c>
      <c r="W25" s="774">
        <f>J25</f>
        <v>100</v>
      </c>
      <c r="X25" s="1810"/>
      <c r="Y25" s="3220"/>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0"/>
      <c r="Q26" s="1807">
        <f t="shared" ref="Q26:Q40" si="11">B26</f>
        <v>111</v>
      </c>
      <c r="R26" s="773" t="s">
        <v>17</v>
      </c>
      <c r="S26" s="774">
        <f>F26</f>
        <v>100</v>
      </c>
      <c r="T26" s="773" t="s">
        <v>17</v>
      </c>
      <c r="U26" s="774">
        <f>H26</f>
        <v>100</v>
      </c>
      <c r="V26" s="773" t="s">
        <v>17</v>
      </c>
      <c r="W26" s="774">
        <f>J26</f>
        <v>100</v>
      </c>
      <c r="X26" s="1810"/>
      <c r="Y26" s="3220"/>
      <c r="Z26" s="1811">
        <f>Q26</f>
        <v>111</v>
      </c>
      <c r="AA26" s="1808">
        <f t="shared" si="3"/>
        <v>1</v>
      </c>
      <c r="AB26" s="1808">
        <f t="shared" si="4"/>
        <v>1</v>
      </c>
      <c r="AC26" s="1808">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0"/>
      <c r="Q27" s="1792">
        <f t="shared" si="11"/>
        <v>111</v>
      </c>
      <c r="R27" s="769" t="s">
        <v>17</v>
      </c>
      <c r="S27" s="770">
        <f>F27</f>
        <v>100</v>
      </c>
      <c r="T27" s="769" t="s">
        <v>17</v>
      </c>
      <c r="U27" s="770">
        <f>H27</f>
        <v>100</v>
      </c>
      <c r="V27" s="769" t="s">
        <v>17</v>
      </c>
      <c r="W27" s="770">
        <f>J27</f>
        <v>100</v>
      </c>
      <c r="X27" s="771"/>
      <c r="Y27" s="3220"/>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0"/>
      <c r="Q28" s="1807">
        <f t="shared" si="11"/>
        <v>111</v>
      </c>
      <c r="R28" s="773" t="s">
        <v>17</v>
      </c>
      <c r="S28" s="774">
        <f t="shared" ref="S28:S40" si="12">F28</f>
        <v>100</v>
      </c>
      <c r="T28" s="773" t="s">
        <v>17</v>
      </c>
      <c r="U28" s="774">
        <f t="shared" ref="U28:U40" si="13">H28</f>
        <v>100</v>
      </c>
      <c r="V28" s="773" t="s">
        <v>17</v>
      </c>
      <c r="W28" s="774">
        <f t="shared" ref="W28:W40" si="14">J28</f>
        <v>100</v>
      </c>
      <c r="X28" s="1810"/>
      <c r="Y28" s="3220"/>
      <c r="Z28" s="1811">
        <f t="shared" ref="Z28:Z40" si="15">Q28</f>
        <v>111</v>
      </c>
      <c r="AA28" s="1808">
        <f t="shared" si="3"/>
        <v>1</v>
      </c>
      <c r="AB28" s="1808">
        <f t="shared" si="4"/>
        <v>1</v>
      </c>
      <c r="AC28" s="1808">
        <f t="shared" si="5"/>
        <v>1</v>
      </c>
    </row>
    <row r="29" spans="1:29" ht="28.5">
      <c r="A29" s="465" t="s">
        <v>2560</v>
      </c>
      <c r="B29" s="71" t="s">
        <v>2690</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221" t="s">
        <v>2562</v>
      </c>
      <c r="Q29" s="1807" t="str">
        <f t="shared" si="11"/>
        <v>建筑类型</v>
      </c>
      <c r="R29" s="773" t="s">
        <v>17</v>
      </c>
      <c r="S29" s="774">
        <f t="shared" si="12"/>
        <v>100</v>
      </c>
      <c r="T29" s="773" t="s">
        <v>17</v>
      </c>
      <c r="U29" s="774">
        <f t="shared" si="13"/>
        <v>100</v>
      </c>
      <c r="V29" s="773" t="s">
        <v>17</v>
      </c>
      <c r="W29" s="774">
        <f t="shared" si="14"/>
        <v>100</v>
      </c>
      <c r="X29" s="1810"/>
      <c r="Y29" s="3222" t="s">
        <v>2562</v>
      </c>
      <c r="Z29" s="1811" t="str">
        <f t="shared" si="15"/>
        <v>建筑类型</v>
      </c>
      <c r="AA29" s="1808">
        <f t="shared" si="3"/>
        <v>1</v>
      </c>
      <c r="AB29" s="1808">
        <f t="shared" si="4"/>
        <v>1</v>
      </c>
      <c r="AC29" s="1808">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2"/>
      <c r="Q30" s="775" t="str">
        <f t="shared" si="11"/>
        <v>项目建筑规模</v>
      </c>
      <c r="R30" s="776" t="s">
        <v>17</v>
      </c>
      <c r="S30" s="777" t="e">
        <f t="shared" si="12"/>
        <v>#N/A</v>
      </c>
      <c r="T30" s="776" t="s">
        <v>17</v>
      </c>
      <c r="U30" s="777" t="e">
        <f t="shared" si="13"/>
        <v>#N/A</v>
      </c>
      <c r="V30" s="776" t="s">
        <v>17</v>
      </c>
      <c r="W30" s="777" t="e">
        <f t="shared" si="14"/>
        <v>#N/A</v>
      </c>
      <c r="X30" s="778"/>
      <c r="Y30" s="3222"/>
      <c r="Z30" s="779" t="str">
        <f t="shared" si="15"/>
        <v>项目建筑规模</v>
      </c>
      <c r="AA30" s="1808" t="e">
        <f t="shared" si="3"/>
        <v>#N/A</v>
      </c>
      <c r="AB30" s="1808" t="e">
        <f t="shared" si="4"/>
        <v>#N/A</v>
      </c>
      <c r="AC30" s="1808"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2"/>
      <c r="Q31" s="1807" t="str">
        <f t="shared" si="11"/>
        <v>建筑结构</v>
      </c>
      <c r="R31" s="773" t="s">
        <v>17</v>
      </c>
      <c r="S31" s="774">
        <f t="shared" si="12"/>
        <v>100</v>
      </c>
      <c r="T31" s="773" t="s">
        <v>17</v>
      </c>
      <c r="U31" s="774">
        <f t="shared" si="13"/>
        <v>100</v>
      </c>
      <c r="V31" s="773" t="s">
        <v>17</v>
      </c>
      <c r="W31" s="774">
        <f t="shared" si="14"/>
        <v>100</v>
      </c>
      <c r="X31" s="1810"/>
      <c r="Y31" s="3222"/>
      <c r="Z31" s="1811" t="str">
        <f t="shared" si="15"/>
        <v>建筑结构</v>
      </c>
      <c r="AA31" s="1808">
        <f t="shared" si="3"/>
        <v>1</v>
      </c>
      <c r="AB31" s="1808">
        <f t="shared" si="4"/>
        <v>1</v>
      </c>
      <c r="AC31" s="1808">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2"/>
      <c r="Q32" s="1807" t="str">
        <f t="shared" si="11"/>
        <v>公共部分装修</v>
      </c>
      <c r="R32" s="773" t="s">
        <v>17</v>
      </c>
      <c r="S32" s="774">
        <f t="shared" si="12"/>
        <v>100</v>
      </c>
      <c r="T32" s="773" t="s">
        <v>17</v>
      </c>
      <c r="U32" s="774">
        <f t="shared" si="13"/>
        <v>100</v>
      </c>
      <c r="V32" s="773" t="s">
        <v>17</v>
      </c>
      <c r="W32" s="774">
        <f t="shared" si="14"/>
        <v>100</v>
      </c>
      <c r="X32" s="1810"/>
      <c r="Y32" s="3222"/>
      <c r="Z32" s="1811" t="str">
        <f t="shared" si="15"/>
        <v>公共部分装修</v>
      </c>
      <c r="AA32" s="1808">
        <f t="shared" si="3"/>
        <v>1</v>
      </c>
      <c r="AB32" s="1808">
        <f t="shared" si="4"/>
        <v>1</v>
      </c>
      <c r="AC32" s="1808">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2"/>
      <c r="Q33" s="1807" t="str">
        <f t="shared" si="11"/>
        <v>成新度</v>
      </c>
      <c r="R33" s="773" t="s">
        <v>17</v>
      </c>
      <c r="S33" s="774" t="e">
        <f t="shared" si="12"/>
        <v>#N/A</v>
      </c>
      <c r="T33" s="773" t="s">
        <v>17</v>
      </c>
      <c r="U33" s="774" t="e">
        <f t="shared" si="13"/>
        <v>#N/A</v>
      </c>
      <c r="V33" s="773" t="s">
        <v>17</v>
      </c>
      <c r="W33" s="774" t="e">
        <f t="shared" si="14"/>
        <v>#N/A</v>
      </c>
      <c r="X33" s="1810"/>
      <c r="Y33" s="3222"/>
      <c r="Z33" s="1811" t="str">
        <f t="shared" si="15"/>
        <v>成新度</v>
      </c>
      <c r="AA33" s="1808" t="e">
        <f t="shared" si="3"/>
        <v>#N/A</v>
      </c>
      <c r="AB33" s="1808" t="e">
        <f t="shared" si="4"/>
        <v>#N/A</v>
      </c>
      <c r="AC33" s="1808" t="e">
        <f t="shared" si="5"/>
        <v>#N/A</v>
      </c>
    </row>
    <row r="34" spans="1:29" s="117"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2"/>
      <c r="Q34" s="1792" t="str">
        <f t="shared" si="11"/>
        <v>物业管理</v>
      </c>
      <c r="R34" s="769" t="s">
        <v>17</v>
      </c>
      <c r="S34" s="770">
        <f t="shared" si="12"/>
        <v>100</v>
      </c>
      <c r="T34" s="769" t="s">
        <v>17</v>
      </c>
      <c r="U34" s="770">
        <f t="shared" si="13"/>
        <v>100</v>
      </c>
      <c r="V34" s="769" t="s">
        <v>17</v>
      </c>
      <c r="W34" s="770">
        <f t="shared" si="14"/>
        <v>100</v>
      </c>
      <c r="X34" s="771"/>
      <c r="Y34" s="3222"/>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2" t="s">
        <v>2562</v>
      </c>
      <c r="Q35" s="1807" t="str">
        <f t="shared" si="11"/>
        <v>市政基础设施</v>
      </c>
      <c r="R35" s="773" t="s">
        <v>17</v>
      </c>
      <c r="S35" s="774">
        <f t="shared" si="12"/>
        <v>100</v>
      </c>
      <c r="T35" s="773" t="s">
        <v>17</v>
      </c>
      <c r="U35" s="774">
        <f t="shared" si="13"/>
        <v>100</v>
      </c>
      <c r="V35" s="773" t="s">
        <v>17</v>
      </c>
      <c r="W35" s="774">
        <f t="shared" si="14"/>
        <v>100</v>
      </c>
      <c r="X35" s="1810"/>
      <c r="Y35" s="3222" t="s">
        <v>2562</v>
      </c>
      <c r="Z35" s="1811" t="str">
        <f t="shared" si="15"/>
        <v>市政基础设施</v>
      </c>
      <c r="AA35" s="1808">
        <f t="shared" si="3"/>
        <v>1</v>
      </c>
      <c r="AB35" s="1808">
        <f t="shared" si="4"/>
        <v>1</v>
      </c>
      <c r="AC35" s="1808">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2"/>
      <c r="Q36" s="1807" t="str">
        <f t="shared" si="11"/>
        <v>内部装修</v>
      </c>
      <c r="R36" s="773" t="s">
        <v>17</v>
      </c>
      <c r="S36" s="774">
        <f t="shared" si="12"/>
        <v>100</v>
      </c>
      <c r="T36" s="773" t="s">
        <v>17</v>
      </c>
      <c r="U36" s="774">
        <f t="shared" si="13"/>
        <v>100</v>
      </c>
      <c r="V36" s="773" t="s">
        <v>17</v>
      </c>
      <c r="W36" s="774">
        <f t="shared" si="14"/>
        <v>100</v>
      </c>
      <c r="X36" s="1810"/>
      <c r="Y36" s="3222"/>
      <c r="Z36" s="1811" t="str">
        <f t="shared" si="15"/>
        <v>内部装修</v>
      </c>
      <c r="AA36" s="1808">
        <f t="shared" si="3"/>
        <v>1</v>
      </c>
      <c r="AB36" s="1808">
        <f t="shared" si="4"/>
        <v>1</v>
      </c>
      <c r="AC36" s="1808">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2"/>
      <c r="Q37" s="1807" t="str">
        <f t="shared" si="11"/>
        <v>内部装修状况</v>
      </c>
      <c r="R37" s="773" t="s">
        <v>17</v>
      </c>
      <c r="S37" s="774">
        <f t="shared" si="12"/>
        <v>100</v>
      </c>
      <c r="T37" s="773" t="s">
        <v>17</v>
      </c>
      <c r="U37" s="774">
        <f t="shared" si="13"/>
        <v>100</v>
      </c>
      <c r="V37" s="773" t="s">
        <v>17</v>
      </c>
      <c r="W37" s="774">
        <f t="shared" si="14"/>
        <v>100</v>
      </c>
      <c r="X37" s="1810"/>
      <c r="Y37" s="3222"/>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2"/>
      <c r="Q38" s="775">
        <f t="shared" si="11"/>
        <v>111</v>
      </c>
      <c r="R38" s="776" t="s">
        <v>17</v>
      </c>
      <c r="S38" s="777">
        <f t="shared" si="12"/>
        <v>100</v>
      </c>
      <c r="T38" s="776" t="s">
        <v>17</v>
      </c>
      <c r="U38" s="777">
        <f t="shared" si="13"/>
        <v>100</v>
      </c>
      <c r="V38" s="776" t="s">
        <v>17</v>
      </c>
      <c r="W38" s="777">
        <f t="shared" si="14"/>
        <v>100</v>
      </c>
      <c r="X38" s="778"/>
      <c r="Y38" s="3222"/>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2"/>
      <c r="Q39" s="1807">
        <f t="shared" si="11"/>
        <v>111</v>
      </c>
      <c r="R39" s="773" t="s">
        <v>17</v>
      </c>
      <c r="S39" s="774">
        <f t="shared" si="12"/>
        <v>100</v>
      </c>
      <c r="T39" s="773" t="s">
        <v>17</v>
      </c>
      <c r="U39" s="774">
        <f t="shared" si="13"/>
        <v>100</v>
      </c>
      <c r="V39" s="773" t="s">
        <v>17</v>
      </c>
      <c r="W39" s="774">
        <f t="shared" si="14"/>
        <v>100</v>
      </c>
      <c r="X39" s="1810"/>
      <c r="Y39" s="3222"/>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0"/>
      <c r="Q40" s="1807">
        <f t="shared" si="11"/>
        <v>111</v>
      </c>
      <c r="R40" s="773" t="s">
        <v>17</v>
      </c>
      <c r="S40" s="774">
        <f t="shared" si="12"/>
        <v>100</v>
      </c>
      <c r="T40" s="773" t="s">
        <v>17</v>
      </c>
      <c r="U40" s="774">
        <f t="shared" si="13"/>
        <v>100</v>
      </c>
      <c r="V40" s="773" t="s">
        <v>17</v>
      </c>
      <c r="W40" s="774">
        <f t="shared" si="14"/>
        <v>100</v>
      </c>
      <c r="X40" s="1810"/>
      <c r="Y40" s="3260"/>
      <c r="Z40" s="1811">
        <f t="shared" si="15"/>
        <v>111</v>
      </c>
      <c r="AA40" s="1808">
        <f t="shared" si="3"/>
        <v>1</v>
      </c>
      <c r="AB40" s="1808">
        <f t="shared" si="4"/>
        <v>1</v>
      </c>
      <c r="AC40" s="1808">
        <f t="shared" si="5"/>
        <v>1</v>
      </c>
    </row>
    <row r="41" spans="1:29" ht="15">
      <c r="A41" s="478" t="s">
        <v>2574</v>
      </c>
      <c r="B41" s="479"/>
      <c r="C41" s="1405" t="s">
        <v>1</v>
      </c>
      <c r="D41" s="1406"/>
      <c r="E41" s="1407"/>
      <c r="F41" s="1408"/>
      <c r="G41" s="1409"/>
      <c r="H41" s="1410"/>
      <c r="I41" s="1407"/>
      <c r="J41" s="1410"/>
      <c r="K41" s="782"/>
      <c r="L41" s="1141"/>
      <c r="M41" s="1142"/>
      <c r="N41" s="1129"/>
      <c r="O41" s="1142"/>
      <c r="P41" s="3217" t="str">
        <f>A41</f>
        <v>成交单价（元/平方米）</v>
      </c>
      <c r="Q41" s="3217"/>
      <c r="R41" s="3253">
        <f>E41</f>
        <v>0</v>
      </c>
      <c r="S41" s="3253"/>
      <c r="T41" s="3253">
        <f>G41</f>
        <v>0</v>
      </c>
      <c r="U41" s="3253"/>
      <c r="V41" s="3253">
        <f>I41</f>
        <v>0</v>
      </c>
      <c r="W41" s="3253"/>
      <c r="X41" s="758"/>
      <c r="Y41" s="780"/>
      <c r="Z41" s="758"/>
      <c r="AA41" s="758"/>
      <c r="AB41" s="758"/>
      <c r="AC41" s="758"/>
    </row>
    <row r="42" spans="1:29" ht="15.75" thickBot="1">
      <c r="A42" s="485" t="s">
        <v>2666</v>
      </c>
      <c r="B42" s="486"/>
      <c r="C42" s="1411" t="e">
        <f>R43</f>
        <v>#DIV/0!</v>
      </c>
      <c r="D42" s="1412"/>
      <c r="E42" s="1413" t="e">
        <f>R42</f>
        <v>#DIV/0!</v>
      </c>
      <c r="F42" s="1413"/>
      <c r="G42" s="1411" t="e">
        <f>T42</f>
        <v>#DIV/0!</v>
      </c>
      <c r="H42" s="1412"/>
      <c r="I42" s="1413" t="e">
        <f>V42</f>
        <v>#DIV/0!</v>
      </c>
      <c r="J42" s="1412"/>
      <c r="K42" s="783"/>
      <c r="L42" s="1141"/>
      <c r="M42" s="1142"/>
      <c r="N42" s="1129"/>
      <c r="O42" s="1142"/>
      <c r="P42" s="3217" t="str">
        <f>A42</f>
        <v>比较价值（元/平方米）</v>
      </c>
      <c r="Q42" s="3217"/>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8"/>
      <c r="Y42" s="758"/>
      <c r="Z42" s="758"/>
      <c r="AA42" s="758"/>
      <c r="AB42" s="758"/>
      <c r="AC42" s="758"/>
    </row>
    <row r="43" spans="1:29" ht="15.75" thickBot="1">
      <c r="A43" s="491" t="s">
        <v>2667</v>
      </c>
      <c r="B43" s="492"/>
      <c r="C43" s="1415" t="e">
        <f>R43</f>
        <v>#DIV/0!</v>
      </c>
      <c r="D43" s="1415"/>
      <c r="E43" s="1415"/>
      <c r="F43" s="1415"/>
      <c r="G43" s="1415"/>
      <c r="H43" s="1415"/>
      <c r="I43" s="1415"/>
      <c r="J43" s="1415"/>
      <c r="K43" s="784"/>
      <c r="L43" s="1141"/>
      <c r="M43" s="1142"/>
      <c r="N43" s="1142"/>
      <c r="O43" s="1142"/>
      <c r="P43" s="3211" t="str">
        <f>A43</f>
        <v>估价对象XX用房的比较价值（楼面单价，元/平方米）</v>
      </c>
      <c r="Q43" s="3212"/>
      <c r="R43" s="3254" t="e">
        <f>IF(F1="售价",ROUND(AVERAGE(R42:V42),0),ROUND(AVERAGE(R42:V42),1))</f>
        <v>#DIV/0!</v>
      </c>
      <c r="S43" s="3254"/>
      <c r="T43" s="3254"/>
      <c r="U43" s="3254"/>
      <c r="V43" s="3254"/>
      <c r="W43" s="3254"/>
      <c r="X43" s="758"/>
      <c r="Y43" s="758"/>
      <c r="Z43" s="758"/>
      <c r="AA43" s="758"/>
      <c r="AB43" s="758"/>
      <c r="AC43" s="758"/>
    </row>
    <row r="44" spans="1:29">
      <c r="A44" s="1142"/>
      <c r="B44" s="1142"/>
      <c r="C44" s="1142"/>
      <c r="D44" s="1142"/>
      <c r="E44" s="1142"/>
      <c r="F44" s="1142"/>
      <c r="G44" s="1145"/>
      <c r="H44" s="1142"/>
      <c r="I44" s="1142"/>
      <c r="J44" s="1142"/>
      <c r="K44" s="1104"/>
      <c r="L44" s="1105"/>
      <c r="M44" s="1142"/>
      <c r="N44" s="1142"/>
      <c r="O44" s="1142"/>
    </row>
    <row r="45" spans="1:29">
      <c r="A45" s="1142"/>
      <c r="B45" s="1142"/>
      <c r="C45" s="1142"/>
      <c r="D45" s="1142"/>
      <c r="E45" s="1142"/>
      <c r="F45" s="1142"/>
      <c r="G45" s="1142"/>
      <c r="H45" s="1142"/>
      <c r="I45" s="1142"/>
      <c r="J45" s="1142"/>
      <c r="K45" s="1104"/>
      <c r="L45" s="1105"/>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4"/>
      <c r="L50" s="1105"/>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2"/>
      <c r="Q51" s="503"/>
    </row>
    <row r="52" spans="1:17" s="507" customFormat="1" ht="15">
      <c r="A52" s="504" t="s">
        <v>2545</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2582</v>
      </c>
      <c r="B54" s="515"/>
      <c r="C54" s="516"/>
      <c r="D54" s="517"/>
      <c r="E54" s="517"/>
      <c r="F54" s="517"/>
      <c r="G54" s="517"/>
      <c r="H54" s="517"/>
      <c r="I54" s="517"/>
      <c r="J54" s="517"/>
      <c r="K54" s="517"/>
      <c r="L54" s="517"/>
      <c r="M54" s="518"/>
      <c r="N54" s="517"/>
      <c r="O54" s="519"/>
      <c r="P54" s="503"/>
      <c r="Q54" s="503"/>
    </row>
    <row r="55" spans="1:17" s="117" customFormat="1" ht="15">
      <c r="A55" s="520" t="s">
        <v>2547</v>
      </c>
      <c r="B55" s="509"/>
      <c r="C55" s="521" t="s">
        <v>2649</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2585</v>
      </c>
      <c r="B57" s="527" t="s">
        <v>2551</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2560</v>
      </c>
      <c r="B88" s="527" t="s">
        <v>2609</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2613</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2617</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0"/>
      <c r="F1" s="2578"/>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2324</v>
      </c>
      <c r="B2" s="1416" t="e">
        <f ca="1">IF(C2="——",IF(B37="元/平方米",ROUND(C39*D3/10000,0),ROUND(F3*C39/10000,0)),IF(B37="元/平方米",ROUND(C39*D3/10000,0),ROUND(F3*C39/10000,0))-D2)</f>
        <v>#DIV/0!</v>
      </c>
      <c r="C2" s="2580"/>
      <c r="D2" s="1122" t="e">
        <f ca="1">SUMIF(INDIRECT("'"&amp;F2&amp;"'"&amp;"!A:A"),"承租人权益价值",INDIRECT("'"&amp;F2&amp;"'"&amp;"!c:c"))</f>
        <v>#REF!</v>
      </c>
      <c r="E2" s="2581" t="s">
        <v>2325</v>
      </c>
      <c r="F2" s="2582"/>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2642</v>
      </c>
      <c r="B4" s="401"/>
      <c r="C4" s="3214" t="s">
        <v>2643</v>
      </c>
      <c r="D4" s="3227"/>
      <c r="E4" s="3228" t="s">
        <v>2644</v>
      </c>
      <c r="F4" s="3229"/>
      <c r="G4" s="3214" t="s">
        <v>2645</v>
      </c>
      <c r="H4" s="3227"/>
      <c r="I4" s="3214" t="s">
        <v>2646</v>
      </c>
      <c r="J4" s="3227"/>
      <c r="K4" s="609" t="s">
        <v>2647</v>
      </c>
      <c r="L4" s="1128"/>
      <c r="M4" s="1129"/>
      <c r="N4" s="1129"/>
      <c r="O4" s="1129"/>
      <c r="P4" s="3230" t="s">
        <v>2648</v>
      </c>
      <c r="Q4" s="3231"/>
      <c r="R4" s="3236" t="s">
        <v>2644</v>
      </c>
      <c r="S4" s="3237"/>
      <c r="T4" s="3236" t="s">
        <v>2645</v>
      </c>
      <c r="U4" s="3237"/>
      <c r="V4" s="3223" t="s">
        <v>2646</v>
      </c>
      <c r="W4" s="3223"/>
      <c r="X4" s="1810"/>
      <c r="Y4" s="3236" t="s">
        <v>2648</v>
      </c>
      <c r="Z4" s="3237"/>
      <c r="AA4" s="3224" t="s">
        <v>2644</v>
      </c>
      <c r="AB4" s="3225" t="s">
        <v>2645</v>
      </c>
      <c r="AC4" s="3224" t="s">
        <v>2646</v>
      </c>
    </row>
    <row r="5" spans="1:29" ht="15">
      <c r="A5" s="403"/>
      <c r="B5" s="404"/>
      <c r="C5" s="3244" t="s">
        <v>2539</v>
      </c>
      <c r="D5" s="3245"/>
      <c r="E5" s="3251" t="s">
        <v>2540</v>
      </c>
      <c r="F5" s="3252"/>
      <c r="G5" s="3244" t="s">
        <v>2541</v>
      </c>
      <c r="H5" s="3245"/>
      <c r="I5" s="3244" t="s">
        <v>2542</v>
      </c>
      <c r="J5" s="3245"/>
      <c r="K5" s="609"/>
      <c r="L5" s="1128"/>
      <c r="M5" s="1129"/>
      <c r="N5" s="1129"/>
      <c r="O5" s="1129"/>
      <c r="P5" s="3232"/>
      <c r="Q5" s="3233"/>
      <c r="R5" s="3238"/>
      <c r="S5" s="3239"/>
      <c r="T5" s="3238"/>
      <c r="U5" s="3239"/>
      <c r="V5" s="3223"/>
      <c r="W5" s="3223"/>
      <c r="X5" s="1810"/>
      <c r="Y5" s="3238"/>
      <c r="Z5" s="3239"/>
      <c r="AA5" s="3225"/>
      <c r="AB5" s="3225"/>
      <c r="AC5" s="3225"/>
    </row>
    <row r="6" spans="1:29" ht="15.75" thickBot="1">
      <c r="A6" s="405"/>
      <c r="B6" s="406"/>
      <c r="C6" s="3242" t="s">
        <v>2543</v>
      </c>
      <c r="D6" s="3243"/>
      <c r="E6" s="3249" t="s">
        <v>2543</v>
      </c>
      <c r="F6" s="3250"/>
      <c r="G6" s="3242" t="s">
        <v>2543</v>
      </c>
      <c r="H6" s="3243"/>
      <c r="I6" s="3242" t="s">
        <v>2543</v>
      </c>
      <c r="J6" s="3243"/>
      <c r="K6" s="609" t="s">
        <v>2544</v>
      </c>
      <c r="L6" s="1128"/>
      <c r="M6" s="1129"/>
      <c r="N6" s="1129"/>
      <c r="O6" s="1129"/>
      <c r="P6" s="3234"/>
      <c r="Q6" s="3235"/>
      <c r="R6" s="3238"/>
      <c r="S6" s="3239"/>
      <c r="T6" s="3240"/>
      <c r="U6" s="3241"/>
      <c r="V6" s="3223"/>
      <c r="W6" s="3223"/>
      <c r="X6" s="1810"/>
      <c r="Y6" s="3240"/>
      <c r="Z6" s="3241"/>
      <c r="AA6" s="3226"/>
      <c r="AB6" s="3226"/>
      <c r="AC6" s="3226"/>
    </row>
    <row r="7" spans="1:29" s="117" customFormat="1" ht="15.75" thickBot="1">
      <c r="A7" s="407" t="s">
        <v>2545</v>
      </c>
      <c r="B7" s="408"/>
      <c r="C7" s="409">
        <f>'数据-取费表'!B2</f>
        <v>43676</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6" t="s">
        <v>2546</v>
      </c>
      <c r="Q7" s="3248"/>
      <c r="R7" s="769" t="s">
        <v>17</v>
      </c>
      <c r="S7" s="770">
        <f t="shared" ref="S7:S14" si="0">F7</f>
        <v>0</v>
      </c>
      <c r="T7" s="769" t="s">
        <v>17</v>
      </c>
      <c r="U7" s="770">
        <f t="shared" ref="U7:U14" si="1">H7</f>
        <v>0</v>
      </c>
      <c r="V7" s="769" t="s">
        <v>17</v>
      </c>
      <c r="W7" s="770">
        <f t="shared" ref="W7:W14" si="2">J7</f>
        <v>0</v>
      </c>
      <c r="X7" s="771"/>
      <c r="Y7" s="3246" t="s">
        <v>2546</v>
      </c>
      <c r="Z7" s="3247"/>
      <c r="AA7" s="772" t="e">
        <f>D7/F7</f>
        <v>#DIV/0!</v>
      </c>
      <c r="AB7" s="772" t="e">
        <f>D7/H7</f>
        <v>#DIV/0!</v>
      </c>
      <c r="AC7" s="772" t="e">
        <f>D7/J7</f>
        <v>#DIV/0!</v>
      </c>
    </row>
    <row r="8" spans="1:29" s="117"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6" t="s">
        <v>2549</v>
      </c>
      <c r="Q8" s="3247"/>
      <c r="R8" s="769" t="s">
        <v>17</v>
      </c>
      <c r="S8" s="770">
        <f t="shared" si="0"/>
        <v>0</v>
      </c>
      <c r="T8" s="769" t="s">
        <v>17</v>
      </c>
      <c r="U8" s="770">
        <f t="shared" si="1"/>
        <v>0</v>
      </c>
      <c r="V8" s="769" t="s">
        <v>17</v>
      </c>
      <c r="W8" s="770">
        <f t="shared" si="2"/>
        <v>0</v>
      </c>
      <c r="X8" s="771"/>
      <c r="Y8" s="3246" t="s">
        <v>2549</v>
      </c>
      <c r="Z8" s="3247"/>
      <c r="AA8" s="772" t="e">
        <f t="shared" ref="AA8:AA36" si="3">D8/F8</f>
        <v>#DIV/0!</v>
      </c>
      <c r="AB8" s="772" t="e">
        <f t="shared" ref="AB8:AB36" si="4">D8/H8</f>
        <v>#DIV/0!</v>
      </c>
      <c r="AC8" s="772" t="e">
        <f t="shared" ref="AC8:AC36" si="5">D8/J8</f>
        <v>#DIV/0!</v>
      </c>
    </row>
    <row r="9" spans="1:29" s="117"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7" t="s">
        <v>2552</v>
      </c>
      <c r="Q9" s="1792" t="str">
        <f t="shared" ref="Q9:Q14" si="6">B9</f>
        <v>用途</v>
      </c>
      <c r="R9" s="769" t="s">
        <v>17</v>
      </c>
      <c r="S9" s="770">
        <f t="shared" si="0"/>
        <v>100</v>
      </c>
      <c r="T9" s="769" t="s">
        <v>17</v>
      </c>
      <c r="U9" s="770">
        <f t="shared" si="1"/>
        <v>100</v>
      </c>
      <c r="V9" s="769" t="s">
        <v>17</v>
      </c>
      <c r="W9" s="770">
        <f t="shared" si="2"/>
        <v>100</v>
      </c>
      <c r="X9" s="771"/>
      <c r="Y9" s="3065" t="s">
        <v>2553</v>
      </c>
      <c r="Z9" s="55"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7"/>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7"/>
      <c r="Q11" s="1792">
        <f t="shared" si="6"/>
        <v>111</v>
      </c>
      <c r="R11" s="769" t="s">
        <v>17</v>
      </c>
      <c r="S11" s="770">
        <f t="shared" si="0"/>
        <v>100</v>
      </c>
      <c r="T11" s="769" t="s">
        <v>17</v>
      </c>
      <c r="U11" s="770">
        <f t="shared" si="1"/>
        <v>100</v>
      </c>
      <c r="V11" s="769" t="s">
        <v>17</v>
      </c>
      <c r="W11" s="770">
        <f t="shared" si="2"/>
        <v>100</v>
      </c>
      <c r="X11" s="771"/>
      <c r="Y11" s="306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7"/>
      <c r="Q12" s="1792">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7"/>
      <c r="Q13" s="1792">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85.5">
      <c r="A14" s="400" t="s">
        <v>2556</v>
      </c>
      <c r="B14" s="628" t="s">
        <v>2706</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9" t="s">
        <v>2557</v>
      </c>
      <c r="Q14" s="1807" t="str">
        <f t="shared" si="6"/>
        <v>交通便捷度</v>
      </c>
      <c r="R14" s="773" t="s">
        <v>17</v>
      </c>
      <c r="S14" s="774">
        <f t="shared" si="0"/>
        <v>100</v>
      </c>
      <c r="T14" s="773" t="s">
        <v>17</v>
      </c>
      <c r="U14" s="774">
        <f t="shared" si="1"/>
        <v>100</v>
      </c>
      <c r="V14" s="773" t="s">
        <v>17</v>
      </c>
      <c r="W14" s="774">
        <f t="shared" si="2"/>
        <v>100</v>
      </c>
      <c r="X14" s="1810"/>
      <c r="Y14" s="3219" t="s">
        <v>2557</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20"/>
      <c r="Q15" s="1807"/>
      <c r="R15" s="773"/>
      <c r="S15" s="774"/>
      <c r="T15" s="773"/>
      <c r="U15" s="774"/>
      <c r="V15" s="773"/>
      <c r="W15" s="774"/>
      <c r="X15" s="1810"/>
      <c r="Y15" s="3220"/>
      <c r="Z15" s="1811"/>
      <c r="AA15" s="1808">
        <v>1</v>
      </c>
      <c r="AB15" s="1808">
        <v>1</v>
      </c>
      <c r="AC15" s="1808">
        <v>1</v>
      </c>
    </row>
    <row r="16" spans="1:29" ht="42.75">
      <c r="A16" s="403"/>
      <c r="B16" s="630" t="s">
        <v>2685</v>
      </c>
      <c r="C16" s="260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0"/>
      <c r="Q16" s="1807" t="str">
        <f>B16</f>
        <v>公共配套设施</v>
      </c>
      <c r="R16" s="773" t="s">
        <v>17</v>
      </c>
      <c r="S16" s="774">
        <f>F16</f>
        <v>100</v>
      </c>
      <c r="T16" s="773" t="s">
        <v>17</v>
      </c>
      <c r="U16" s="774">
        <f>H16</f>
        <v>100</v>
      </c>
      <c r="V16" s="773" t="s">
        <v>17</v>
      </c>
      <c r="W16" s="774">
        <f>J16</f>
        <v>100</v>
      </c>
      <c r="X16" s="1810"/>
      <c r="Y16" s="3220"/>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8"/>
      <c r="M17" s="1129"/>
      <c r="N17" s="1129"/>
      <c r="O17" s="1129"/>
      <c r="P17" s="3220"/>
      <c r="Q17" s="1807"/>
      <c r="R17" s="773"/>
      <c r="S17" s="774"/>
      <c r="T17" s="773"/>
      <c r="U17" s="774"/>
      <c r="V17" s="773"/>
      <c r="W17" s="774"/>
      <c r="X17" s="1810"/>
      <c r="Y17" s="3220"/>
      <c r="Z17" s="1811"/>
      <c r="AA17" s="1808">
        <v>1</v>
      </c>
      <c r="AB17" s="1808">
        <v>1</v>
      </c>
      <c r="AC17" s="1808">
        <v>1</v>
      </c>
    </row>
    <row r="18" spans="1:29" ht="28.5">
      <c r="A18" s="403"/>
      <c r="B18" s="632" t="s">
        <v>2686</v>
      </c>
      <c r="C18" s="260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0"/>
      <c r="Q18" s="1807" t="str">
        <f>B18</f>
        <v>基础设施水平</v>
      </c>
      <c r="R18" s="773" t="s">
        <v>17</v>
      </c>
      <c r="S18" s="774">
        <f>F18</f>
        <v>100</v>
      </c>
      <c r="T18" s="773" t="s">
        <v>17</v>
      </c>
      <c r="U18" s="774">
        <f>H18</f>
        <v>100</v>
      </c>
      <c r="V18" s="773" t="s">
        <v>17</v>
      </c>
      <c r="W18" s="774">
        <f>J18</f>
        <v>100</v>
      </c>
      <c r="X18" s="1810"/>
      <c r="Y18" s="3220"/>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1"/>
      <c r="L19" s="1138"/>
      <c r="M19" s="1129"/>
      <c r="N19" s="1129"/>
      <c r="O19" s="1129"/>
      <c r="P19" s="3220"/>
      <c r="Q19" s="1807"/>
      <c r="R19" s="773"/>
      <c r="S19" s="774"/>
      <c r="T19" s="773"/>
      <c r="U19" s="774"/>
      <c r="V19" s="773"/>
      <c r="W19" s="774"/>
      <c r="X19" s="1810"/>
      <c r="Y19" s="3220"/>
      <c r="Z19" s="1811"/>
      <c r="AA19" s="1808">
        <v>1</v>
      </c>
      <c r="AB19" s="1808">
        <v>1</v>
      </c>
      <c r="AC19" s="1808">
        <v>1</v>
      </c>
    </row>
    <row r="20" spans="1:29" ht="57">
      <c r="A20" s="403"/>
      <c r="B20" s="630" t="s">
        <v>2707</v>
      </c>
      <c r="C20" s="260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0"/>
      <c r="Q20" s="1807" t="str">
        <f>B20</f>
        <v>自然及人文环境</v>
      </c>
      <c r="R20" s="773" t="s">
        <v>17</v>
      </c>
      <c r="S20" s="774">
        <f>F20</f>
        <v>100</v>
      </c>
      <c r="T20" s="773" t="s">
        <v>17</v>
      </c>
      <c r="U20" s="774">
        <f>H20</f>
        <v>100</v>
      </c>
      <c r="V20" s="773" t="s">
        <v>17</v>
      </c>
      <c r="W20" s="774">
        <f>J20</f>
        <v>100</v>
      </c>
      <c r="X20" s="1810"/>
      <c r="Y20" s="3220"/>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20"/>
      <c r="Q21" s="1807"/>
      <c r="R21" s="773"/>
      <c r="S21" s="774"/>
      <c r="T21" s="773"/>
      <c r="U21" s="774"/>
      <c r="V21" s="773"/>
      <c r="W21" s="774"/>
      <c r="X21" s="1810"/>
      <c r="Y21" s="3220"/>
      <c r="Z21" s="1811"/>
      <c r="AA21" s="1808">
        <v>1</v>
      </c>
      <c r="AB21" s="1808">
        <v>1</v>
      </c>
      <c r="AC21" s="1808">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0"/>
      <c r="Q22" s="1807" t="str">
        <f>B22</f>
        <v>楼层</v>
      </c>
      <c r="R22" s="773" t="s">
        <v>17</v>
      </c>
      <c r="S22" s="774">
        <f>F22</f>
        <v>100</v>
      </c>
      <c r="T22" s="773" t="s">
        <v>17</v>
      </c>
      <c r="U22" s="774">
        <f>H22</f>
        <v>100</v>
      </c>
      <c r="V22" s="773" t="s">
        <v>17</v>
      </c>
      <c r="W22" s="774">
        <f>J22</f>
        <v>100</v>
      </c>
      <c r="X22" s="1810"/>
      <c r="Y22" s="3220"/>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0"/>
      <c r="Q23" s="1807">
        <f>B23</f>
        <v>111</v>
      </c>
      <c r="R23" s="773" t="s">
        <v>17</v>
      </c>
      <c r="S23" s="774">
        <f>F23</f>
        <v>100</v>
      </c>
      <c r="T23" s="773" t="s">
        <v>17</v>
      </c>
      <c r="U23" s="774">
        <f>H23</f>
        <v>100</v>
      </c>
      <c r="V23" s="773" t="s">
        <v>17</v>
      </c>
      <c r="W23" s="774">
        <f>J23</f>
        <v>100</v>
      </c>
      <c r="X23" s="1810"/>
      <c r="Y23" s="3220"/>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0"/>
      <c r="Q24" s="1807">
        <f t="shared" ref="Q24:Q36" si="11">B24</f>
        <v>111</v>
      </c>
      <c r="R24" s="773" t="s">
        <v>17</v>
      </c>
      <c r="S24" s="774">
        <f>F24</f>
        <v>100</v>
      </c>
      <c r="T24" s="773" t="s">
        <v>17</v>
      </c>
      <c r="U24" s="774">
        <f>H24</f>
        <v>100</v>
      </c>
      <c r="V24" s="773" t="s">
        <v>17</v>
      </c>
      <c r="W24" s="774">
        <f>J24</f>
        <v>100</v>
      </c>
      <c r="X24" s="1810"/>
      <c r="Y24" s="3220"/>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0"/>
      <c r="Q25" s="1792">
        <f t="shared" si="11"/>
        <v>111</v>
      </c>
      <c r="R25" s="769" t="s">
        <v>17</v>
      </c>
      <c r="S25" s="770">
        <f>F25</f>
        <v>100</v>
      </c>
      <c r="T25" s="769" t="s">
        <v>17</v>
      </c>
      <c r="U25" s="770">
        <f>H25</f>
        <v>100</v>
      </c>
      <c r="V25" s="769" t="s">
        <v>17</v>
      </c>
      <c r="W25" s="770">
        <f>J25</f>
        <v>100</v>
      </c>
      <c r="X25" s="771"/>
      <c r="Y25" s="3220"/>
      <c r="Z25" s="55">
        <f>Q25</f>
        <v>111</v>
      </c>
      <c r="AA25" s="1808">
        <f>D25/F25</f>
        <v>1</v>
      </c>
      <c r="AB25" s="1808">
        <f>D25/H25</f>
        <v>1</v>
      </c>
      <c r="AC25" s="1808">
        <f>D25/J25</f>
        <v>1</v>
      </c>
    </row>
    <row r="26" spans="1:29" ht="28.5">
      <c r="A26" s="651" t="s">
        <v>2560</v>
      </c>
      <c r="B26" s="70" t="s">
        <v>2709</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21" t="s">
        <v>2562</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22" t="s">
        <v>2562</v>
      </c>
      <c r="Z26" s="1811" t="str">
        <f t="shared" ref="Z26:Z36" si="15">Q26</f>
        <v>配套类型</v>
      </c>
      <c r="AA26" s="1808">
        <f t="shared" si="3"/>
        <v>1</v>
      </c>
      <c r="AB26" s="1808">
        <f t="shared" si="4"/>
        <v>1</v>
      </c>
      <c r="AC26" s="1808">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2"/>
      <c r="Q27" s="775" t="str">
        <f t="shared" si="11"/>
        <v>项目停车位配比</v>
      </c>
      <c r="R27" s="776" t="s">
        <v>17</v>
      </c>
      <c r="S27" s="777">
        <f t="shared" si="12"/>
        <v>100</v>
      </c>
      <c r="T27" s="776" t="s">
        <v>17</v>
      </c>
      <c r="U27" s="777">
        <f t="shared" si="13"/>
        <v>100</v>
      </c>
      <c r="V27" s="776" t="s">
        <v>17</v>
      </c>
      <c r="W27" s="777">
        <f t="shared" si="14"/>
        <v>100</v>
      </c>
      <c r="X27" s="778"/>
      <c r="Y27" s="3222"/>
      <c r="Z27" s="779" t="str">
        <f t="shared" si="15"/>
        <v>项目停车位配比</v>
      </c>
      <c r="AA27" s="1808">
        <f t="shared" si="3"/>
        <v>1</v>
      </c>
      <c r="AB27" s="1808">
        <f t="shared" si="4"/>
        <v>1</v>
      </c>
      <c r="AC27" s="1808">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2"/>
      <c r="Q28" s="1807" t="str">
        <f t="shared" si="11"/>
        <v>公共部分装修</v>
      </c>
      <c r="R28" s="773" t="s">
        <v>17</v>
      </c>
      <c r="S28" s="774">
        <f t="shared" si="12"/>
        <v>100</v>
      </c>
      <c r="T28" s="773" t="s">
        <v>17</v>
      </c>
      <c r="U28" s="774">
        <f t="shared" si="13"/>
        <v>100</v>
      </c>
      <c r="V28" s="773" t="s">
        <v>17</v>
      </c>
      <c r="W28" s="774">
        <f t="shared" si="14"/>
        <v>100</v>
      </c>
      <c r="X28" s="1810"/>
      <c r="Y28" s="3222"/>
      <c r="Z28" s="1811" t="str">
        <f t="shared" si="15"/>
        <v>公共部分装修</v>
      </c>
      <c r="AA28" s="1808">
        <f t="shared" si="3"/>
        <v>1</v>
      </c>
      <c r="AB28" s="1808">
        <f t="shared" si="4"/>
        <v>1</v>
      </c>
      <c r="AC28" s="1808">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2"/>
      <c r="Q29" s="1807" t="str">
        <f t="shared" si="11"/>
        <v>成新率</v>
      </c>
      <c r="R29" s="773" t="s">
        <v>17</v>
      </c>
      <c r="S29" s="774" t="e">
        <f t="shared" si="12"/>
        <v>#N/A</v>
      </c>
      <c r="T29" s="773" t="s">
        <v>17</v>
      </c>
      <c r="U29" s="774" t="e">
        <f t="shared" si="13"/>
        <v>#N/A</v>
      </c>
      <c r="V29" s="773" t="s">
        <v>17</v>
      </c>
      <c r="W29" s="774" t="e">
        <f t="shared" si="14"/>
        <v>#N/A</v>
      </c>
      <c r="X29" s="1810"/>
      <c r="Y29" s="3222"/>
      <c r="Z29" s="1811" t="str">
        <f t="shared" si="15"/>
        <v>成新率</v>
      </c>
      <c r="AA29" s="1808" t="e">
        <f t="shared" si="3"/>
        <v>#N/A</v>
      </c>
      <c r="AB29" s="1808" t="e">
        <f t="shared" si="4"/>
        <v>#N/A</v>
      </c>
      <c r="AC29" s="1808"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2"/>
      <c r="Q30" s="1807" t="str">
        <f t="shared" si="11"/>
        <v>物业等级</v>
      </c>
      <c r="R30" s="773" t="s">
        <v>17</v>
      </c>
      <c r="S30" s="774">
        <f t="shared" si="12"/>
        <v>100</v>
      </c>
      <c r="T30" s="773" t="s">
        <v>17</v>
      </c>
      <c r="U30" s="774">
        <f t="shared" si="13"/>
        <v>100</v>
      </c>
      <c r="V30" s="773" t="s">
        <v>17</v>
      </c>
      <c r="W30" s="774">
        <f t="shared" si="14"/>
        <v>100</v>
      </c>
      <c r="X30" s="1810"/>
      <c r="Y30" s="3222"/>
      <c r="Z30" s="1811" t="str">
        <f t="shared" si="15"/>
        <v>物业等级</v>
      </c>
      <c r="AA30" s="1808">
        <f t="shared" si="3"/>
        <v>1</v>
      </c>
      <c r="AB30" s="1808">
        <f t="shared" si="4"/>
        <v>1</v>
      </c>
      <c r="AC30" s="1808">
        <f t="shared" si="5"/>
        <v>1</v>
      </c>
    </row>
    <row r="31" spans="1:29" s="117"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2"/>
      <c r="Q31" s="1792" t="str">
        <f t="shared" si="11"/>
        <v>停车位面积</v>
      </c>
      <c r="R31" s="769" t="s">
        <v>17</v>
      </c>
      <c r="S31" s="770" t="e">
        <f t="shared" si="12"/>
        <v>#N/A</v>
      </c>
      <c r="T31" s="769" t="s">
        <v>17</v>
      </c>
      <c r="U31" s="770" t="e">
        <f t="shared" si="13"/>
        <v>#N/A</v>
      </c>
      <c r="V31" s="769" t="s">
        <v>17</v>
      </c>
      <c r="W31" s="770" t="e">
        <f t="shared" si="14"/>
        <v>#N/A</v>
      </c>
      <c r="X31" s="771"/>
      <c r="Y31" s="3222"/>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2" t="s">
        <v>2562</v>
      </c>
      <c r="Q32" s="1807" t="str">
        <f t="shared" si="11"/>
        <v>车位类型</v>
      </c>
      <c r="R32" s="773" t="s">
        <v>17</v>
      </c>
      <c r="S32" s="774">
        <f t="shared" si="12"/>
        <v>100</v>
      </c>
      <c r="T32" s="773" t="s">
        <v>17</v>
      </c>
      <c r="U32" s="774">
        <f t="shared" si="13"/>
        <v>100</v>
      </c>
      <c r="V32" s="773" t="s">
        <v>17</v>
      </c>
      <c r="W32" s="774">
        <f t="shared" si="14"/>
        <v>100</v>
      </c>
      <c r="X32" s="1810"/>
      <c r="Y32" s="3222" t="s">
        <v>2562</v>
      </c>
      <c r="Z32" s="1811" t="str">
        <f t="shared" si="15"/>
        <v>车位类型</v>
      </c>
      <c r="AA32" s="1808">
        <f t="shared" si="3"/>
        <v>1</v>
      </c>
      <c r="AB32" s="1808">
        <f t="shared" si="4"/>
        <v>1</v>
      </c>
      <c r="AC32" s="1808">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2"/>
      <c r="Q33" s="1807" t="str">
        <f t="shared" si="11"/>
        <v>是否直接入户</v>
      </c>
      <c r="R33" s="773" t="s">
        <v>17</v>
      </c>
      <c r="S33" s="774">
        <f t="shared" si="12"/>
        <v>100</v>
      </c>
      <c r="T33" s="773" t="s">
        <v>17</v>
      </c>
      <c r="U33" s="774">
        <f t="shared" si="13"/>
        <v>100</v>
      </c>
      <c r="V33" s="773" t="s">
        <v>17</v>
      </c>
      <c r="W33" s="774">
        <f t="shared" si="14"/>
        <v>100</v>
      </c>
      <c r="X33" s="1810"/>
      <c r="Y33" s="3222"/>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2"/>
      <c r="Q34" s="1807">
        <f t="shared" si="11"/>
        <v>111</v>
      </c>
      <c r="R34" s="773" t="s">
        <v>17</v>
      </c>
      <c r="S34" s="774">
        <f t="shared" si="12"/>
        <v>100</v>
      </c>
      <c r="T34" s="773" t="s">
        <v>17</v>
      </c>
      <c r="U34" s="774">
        <f t="shared" si="13"/>
        <v>100</v>
      </c>
      <c r="V34" s="773" t="s">
        <v>17</v>
      </c>
      <c r="W34" s="774">
        <f t="shared" si="14"/>
        <v>100</v>
      </c>
      <c r="X34" s="1810"/>
      <c r="Y34" s="3222"/>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2"/>
      <c r="Q35" s="775">
        <f t="shared" si="11"/>
        <v>111</v>
      </c>
      <c r="R35" s="776" t="s">
        <v>17</v>
      </c>
      <c r="S35" s="777">
        <f t="shared" si="12"/>
        <v>100</v>
      </c>
      <c r="T35" s="776" t="s">
        <v>17</v>
      </c>
      <c r="U35" s="777">
        <f t="shared" si="13"/>
        <v>100</v>
      </c>
      <c r="V35" s="776" t="s">
        <v>17</v>
      </c>
      <c r="W35" s="777">
        <f t="shared" si="14"/>
        <v>100</v>
      </c>
      <c r="X35" s="778"/>
      <c r="Y35" s="3222"/>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2"/>
      <c r="Q36" s="1807">
        <f t="shared" si="11"/>
        <v>111</v>
      </c>
      <c r="R36" s="773" t="s">
        <v>17</v>
      </c>
      <c r="S36" s="774">
        <f t="shared" si="12"/>
        <v>100</v>
      </c>
      <c r="T36" s="773" t="s">
        <v>17</v>
      </c>
      <c r="U36" s="774">
        <f t="shared" si="13"/>
        <v>100</v>
      </c>
      <c r="V36" s="773" t="s">
        <v>17</v>
      </c>
      <c r="W36" s="774">
        <f t="shared" si="14"/>
        <v>100</v>
      </c>
      <c r="X36" s="1810"/>
      <c r="Y36" s="3222"/>
      <c r="Z36" s="1811">
        <f t="shared" si="15"/>
        <v>111</v>
      </c>
      <c r="AA36" s="1808">
        <f t="shared" si="3"/>
        <v>1</v>
      </c>
      <c r="AB36" s="1808">
        <f t="shared" si="4"/>
        <v>1</v>
      </c>
      <c r="AC36" s="1808">
        <f t="shared" si="5"/>
        <v>1</v>
      </c>
    </row>
    <row r="37" spans="1:29" ht="15">
      <c r="A37" s="478" t="s">
        <v>2717</v>
      </c>
      <c r="B37" s="2689" t="s">
        <v>2718</v>
      </c>
      <c r="C37" s="1405" t="s">
        <v>1</v>
      </c>
      <c r="D37" s="1406"/>
      <c r="E37" s="1407"/>
      <c r="F37" s="1408"/>
      <c r="G37" s="1409"/>
      <c r="H37" s="1410"/>
      <c r="I37" s="1407"/>
      <c r="J37" s="1410"/>
      <c r="K37" s="618"/>
      <c r="L37" s="1141"/>
      <c r="M37" s="1142"/>
      <c r="N37" s="1129"/>
      <c r="O37" s="1142"/>
      <c r="P37" s="3217" t="str">
        <f>A37</f>
        <v>成交单价</v>
      </c>
      <c r="Q37" s="3217"/>
      <c r="R37" s="3253">
        <f>E37</f>
        <v>0</v>
      </c>
      <c r="S37" s="3253"/>
      <c r="T37" s="3253">
        <f>G37</f>
        <v>0</v>
      </c>
      <c r="U37" s="3253"/>
      <c r="V37" s="3253">
        <f>I37</f>
        <v>0</v>
      </c>
      <c r="W37" s="3253"/>
      <c r="X37" s="758"/>
      <c r="Y37" s="780"/>
      <c r="Z37" s="758"/>
      <c r="AA37" s="758"/>
      <c r="AB37" s="758"/>
      <c r="AC37" s="758"/>
    </row>
    <row r="38" spans="1:29" ht="15.75" thickBot="1">
      <c r="A38" s="485" t="s">
        <v>2719</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17" t="str">
        <f>A38</f>
        <v>比较价值（元/平方米）</v>
      </c>
      <c r="Q38" s="3217"/>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8"/>
      <c r="Y38" s="758"/>
      <c r="Z38" s="758"/>
      <c r="AA38" s="758"/>
      <c r="AB38" s="758"/>
      <c r="AC38" s="758"/>
    </row>
    <row r="39" spans="1:29" ht="15.75" thickBot="1">
      <c r="A39" s="491" t="s">
        <v>2720</v>
      </c>
      <c r="B39" s="492"/>
      <c r="C39" s="1415" t="e">
        <f>R39</f>
        <v>#DIV/0!</v>
      </c>
      <c r="D39" s="1415"/>
      <c r="E39" s="1415"/>
      <c r="F39" s="1415"/>
      <c r="G39" s="1415"/>
      <c r="H39" s="1415"/>
      <c r="I39" s="1415"/>
      <c r="J39" s="1415"/>
      <c r="K39" s="620"/>
      <c r="L39" s="1141"/>
      <c r="M39" s="1142"/>
      <c r="N39" s="1142"/>
      <c r="O39" s="1142"/>
      <c r="P39" s="3211" t="str">
        <f>A39</f>
        <v>估价对象XX用房的比较价值（楼面单价，元/平方米）</v>
      </c>
      <c r="Q39" s="3212"/>
      <c r="R39" s="3254" t="e">
        <f>IF(F1="售价",ROUND(AVERAGE(R38:V38),0),ROUND(AVERAGE(R38:V38),1))</f>
        <v>#DIV/0!</v>
      </c>
      <c r="S39" s="3254"/>
      <c r="T39" s="3254"/>
      <c r="U39" s="3254"/>
      <c r="V39" s="3254"/>
      <c r="W39" s="3254"/>
      <c r="X39" s="758"/>
      <c r="Y39" s="758"/>
      <c r="Z39" s="758"/>
      <c r="AA39" s="758"/>
      <c r="AB39" s="758"/>
      <c r="AC39" s="758"/>
    </row>
    <row r="40" spans="1:29">
      <c r="A40" s="1142"/>
      <c r="B40" s="1142"/>
      <c r="C40" s="1142"/>
      <c r="D40" s="1142"/>
      <c r="E40" s="1142"/>
      <c r="F40" s="1142"/>
      <c r="G40" s="1145"/>
      <c r="H40" s="1142"/>
      <c r="I40" s="1142"/>
      <c r="J40" s="1142"/>
      <c r="K40" s="1104"/>
      <c r="L40" s="1105"/>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4"/>
      <c r="L41" s="1105"/>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4"/>
      <c r="L46" s="1105"/>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2725</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2582</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2547</v>
      </c>
      <c r="B51" s="509"/>
      <c r="C51" s="521" t="s">
        <v>2649</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2585</v>
      </c>
      <c r="B53" s="527" t="s">
        <v>2551</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2600</v>
      </c>
      <c r="C65" s="577" t="s">
        <v>2594</v>
      </c>
      <c r="D65" s="577" t="s">
        <v>2595</v>
      </c>
      <c r="E65" s="577" t="s">
        <v>2596</v>
      </c>
      <c r="F65" s="577" t="s">
        <v>2597</v>
      </c>
      <c r="G65" s="577" t="s">
        <v>2598</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2686</v>
      </c>
      <c r="C67" s="659" t="s">
        <v>2672</v>
      </c>
      <c r="D67" s="659" t="s">
        <v>2673</v>
      </c>
      <c r="E67" s="659" t="s">
        <v>2674</v>
      </c>
      <c r="F67" s="659" t="s">
        <v>2675</v>
      </c>
      <c r="G67" s="659" t="s">
        <v>2676</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2606</v>
      </c>
      <c r="C69" s="577" t="s">
        <v>2594</v>
      </c>
      <c r="D69" s="577" t="s">
        <v>2595</v>
      </c>
      <c r="E69" s="577" t="s">
        <v>2596</v>
      </c>
      <c r="F69" s="577" t="s">
        <v>2597</v>
      </c>
      <c r="G69" s="577" t="s">
        <v>2598</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2726</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2560</v>
      </c>
      <c r="B79" s="527" t="s">
        <v>2727</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2728</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2613</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2730</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2732</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6" t="e">
        <f ca="1">IF(C2="——",ROUND(C37*D3/10000,0),ROUND(C37*D3/10000,0)-D2)</f>
        <v>#DIV/0!</v>
      </c>
      <c r="C2" s="2580"/>
      <c r="D2" s="1122" t="e">
        <f ca="1">SUMIF(INDIRECT("'"&amp;F2&amp;"'"&amp;"!A:A"),"承租人权益价值",INDIRECT("'"&amp;F2&amp;"'"&amp;"!c:c"))</f>
        <v>#REF!</v>
      </c>
      <c r="E2" s="2581" t="s">
        <v>2325</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14" t="s">
        <v>2643</v>
      </c>
      <c r="D4" s="3227"/>
      <c r="E4" s="3228" t="s">
        <v>2644</v>
      </c>
      <c r="F4" s="3229"/>
      <c r="G4" s="3214" t="s">
        <v>2645</v>
      </c>
      <c r="H4" s="3227"/>
      <c r="I4" s="3214" t="s">
        <v>2646</v>
      </c>
      <c r="J4" s="3227"/>
      <c r="K4" s="609" t="s">
        <v>2647</v>
      </c>
      <c r="L4" s="1128"/>
      <c r="M4" s="1129"/>
      <c r="N4" s="1129"/>
      <c r="O4" s="1129"/>
      <c r="P4" s="3230" t="s">
        <v>2648</v>
      </c>
      <c r="Q4" s="3231"/>
      <c r="R4" s="3236" t="s">
        <v>2644</v>
      </c>
      <c r="S4" s="3237"/>
      <c r="T4" s="3236" t="s">
        <v>2645</v>
      </c>
      <c r="U4" s="3237"/>
      <c r="V4" s="3223" t="s">
        <v>2646</v>
      </c>
      <c r="W4" s="3223"/>
      <c r="X4" s="1810"/>
      <c r="Y4" s="3236" t="s">
        <v>2648</v>
      </c>
      <c r="Z4" s="3237"/>
      <c r="AA4" s="3224" t="s">
        <v>2644</v>
      </c>
      <c r="AB4" s="3225" t="s">
        <v>2645</v>
      </c>
      <c r="AC4" s="3224" t="s">
        <v>2646</v>
      </c>
    </row>
    <row r="5" spans="1:29" ht="15">
      <c r="A5" s="403"/>
      <c r="B5" s="404"/>
      <c r="C5" s="3244" t="s">
        <v>2539</v>
      </c>
      <c r="D5" s="3245"/>
      <c r="E5" s="3251" t="s">
        <v>2540</v>
      </c>
      <c r="F5" s="3252"/>
      <c r="G5" s="3244" t="s">
        <v>2541</v>
      </c>
      <c r="H5" s="3245"/>
      <c r="I5" s="3244" t="s">
        <v>2542</v>
      </c>
      <c r="J5" s="3245"/>
      <c r="K5" s="609"/>
      <c r="L5" s="1128"/>
      <c r="M5" s="1129"/>
      <c r="N5" s="1129"/>
      <c r="O5" s="1129"/>
      <c r="P5" s="3232"/>
      <c r="Q5" s="3233"/>
      <c r="R5" s="3238"/>
      <c r="S5" s="3239"/>
      <c r="T5" s="3238"/>
      <c r="U5" s="3239"/>
      <c r="V5" s="3223"/>
      <c r="W5" s="3223"/>
      <c r="X5" s="1810"/>
      <c r="Y5" s="3238"/>
      <c r="Z5" s="3239"/>
      <c r="AA5" s="3225"/>
      <c r="AB5" s="3225"/>
      <c r="AC5" s="3225"/>
    </row>
    <row r="6" spans="1:29" ht="15.75" thickBot="1">
      <c r="A6" s="405"/>
      <c r="B6" s="406"/>
      <c r="C6" s="3242" t="s">
        <v>2543</v>
      </c>
      <c r="D6" s="3243"/>
      <c r="E6" s="3249" t="s">
        <v>2543</v>
      </c>
      <c r="F6" s="3250"/>
      <c r="G6" s="3242" t="s">
        <v>2543</v>
      </c>
      <c r="H6" s="3243"/>
      <c r="I6" s="3242" t="s">
        <v>2543</v>
      </c>
      <c r="J6" s="3243"/>
      <c r="K6" s="609" t="s">
        <v>2544</v>
      </c>
      <c r="L6" s="1128"/>
      <c r="M6" s="1129"/>
      <c r="N6" s="1129"/>
      <c r="O6" s="1129"/>
      <c r="P6" s="3234"/>
      <c r="Q6" s="3235"/>
      <c r="R6" s="3238"/>
      <c r="S6" s="3239"/>
      <c r="T6" s="3240"/>
      <c r="U6" s="3241"/>
      <c r="V6" s="3223"/>
      <c r="W6" s="3223"/>
      <c r="X6" s="1810"/>
      <c r="Y6" s="3240"/>
      <c r="Z6" s="3241"/>
      <c r="AA6" s="3226"/>
      <c r="AB6" s="3226"/>
      <c r="AC6" s="3226"/>
    </row>
    <row r="7" spans="1:29" s="117" customFormat="1" ht="15.75" thickBot="1">
      <c r="A7" s="407" t="s">
        <v>2545</v>
      </c>
      <c r="B7" s="408"/>
      <c r="C7" s="409">
        <f>'数据-取费表'!B2</f>
        <v>43676</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246" t="s">
        <v>2546</v>
      </c>
      <c r="Q7" s="3248"/>
      <c r="R7" s="769" t="s">
        <v>17</v>
      </c>
      <c r="S7" s="770">
        <f t="shared" ref="S7:S14" si="0">F7</f>
        <v>0</v>
      </c>
      <c r="T7" s="769" t="s">
        <v>17</v>
      </c>
      <c r="U7" s="770">
        <f t="shared" ref="U7:U14" si="1">H7</f>
        <v>0</v>
      </c>
      <c r="V7" s="769" t="s">
        <v>17</v>
      </c>
      <c r="W7" s="770">
        <f t="shared" ref="W7:W14" si="2">J7</f>
        <v>0</v>
      </c>
      <c r="X7" s="771"/>
      <c r="Y7" s="3246" t="s">
        <v>2546</v>
      </c>
      <c r="Z7" s="3247"/>
      <c r="AA7" s="772" t="e">
        <f>D7/F7</f>
        <v>#DIV/0!</v>
      </c>
      <c r="AB7" s="772" t="e">
        <f>D7/H7</f>
        <v>#DIV/0!</v>
      </c>
      <c r="AC7" s="772" t="e">
        <f>D7/J7</f>
        <v>#DIV/0!</v>
      </c>
    </row>
    <row r="8" spans="1:29" s="117"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6" t="s">
        <v>2549</v>
      </c>
      <c r="Q8" s="3247"/>
      <c r="R8" s="769" t="s">
        <v>17</v>
      </c>
      <c r="S8" s="770">
        <f t="shared" si="0"/>
        <v>0</v>
      </c>
      <c r="T8" s="769" t="s">
        <v>17</v>
      </c>
      <c r="U8" s="770">
        <f t="shared" si="1"/>
        <v>0</v>
      </c>
      <c r="V8" s="769" t="s">
        <v>17</v>
      </c>
      <c r="W8" s="770">
        <f t="shared" si="2"/>
        <v>0</v>
      </c>
      <c r="X8" s="771"/>
      <c r="Y8" s="3246" t="s">
        <v>2549</v>
      </c>
      <c r="Z8" s="3247"/>
      <c r="AA8" s="772" t="e">
        <f t="shared" ref="AA8:AA34" si="3">D8/F8</f>
        <v>#DIV/0!</v>
      </c>
      <c r="AB8" s="772" t="e">
        <f t="shared" ref="AB8:AB34" si="4">D8/H8</f>
        <v>#DIV/0!</v>
      </c>
      <c r="AC8" s="772" t="e">
        <f t="shared" ref="AC8:AC34" si="5">D8/J8</f>
        <v>#DIV/0!</v>
      </c>
    </row>
    <row r="9" spans="1:29" s="117"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7" t="s">
        <v>2552</v>
      </c>
      <c r="Q9" s="1792" t="str">
        <f t="shared" ref="Q9:Q14" si="6">B9</f>
        <v>用途</v>
      </c>
      <c r="R9" s="769" t="s">
        <v>17</v>
      </c>
      <c r="S9" s="770">
        <f t="shared" si="0"/>
        <v>100</v>
      </c>
      <c r="T9" s="769" t="s">
        <v>17</v>
      </c>
      <c r="U9" s="770">
        <f t="shared" si="1"/>
        <v>100</v>
      </c>
      <c r="V9" s="769" t="s">
        <v>17</v>
      </c>
      <c r="W9" s="770">
        <f t="shared" si="2"/>
        <v>100</v>
      </c>
      <c r="X9" s="771"/>
      <c r="Y9" s="3065"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7"/>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7"/>
      <c r="Q11" s="1792">
        <f t="shared" si="6"/>
        <v>111</v>
      </c>
      <c r="R11" s="769" t="s">
        <v>17</v>
      </c>
      <c r="S11" s="770">
        <f t="shared" si="0"/>
        <v>100</v>
      </c>
      <c r="T11" s="769" t="s">
        <v>17</v>
      </c>
      <c r="U11" s="770">
        <f t="shared" si="1"/>
        <v>100</v>
      </c>
      <c r="V11" s="769" t="s">
        <v>17</v>
      </c>
      <c r="W11" s="770">
        <f t="shared" si="2"/>
        <v>100</v>
      </c>
      <c r="X11" s="771"/>
      <c r="Y11" s="3065"/>
      <c r="Z11" s="55">
        <f t="shared" si="7"/>
        <v>111</v>
      </c>
      <c r="AA11" s="772">
        <f t="shared" si="3"/>
        <v>1</v>
      </c>
      <c r="AB11" s="772">
        <f t="shared" si="4"/>
        <v>1</v>
      </c>
      <c r="AC11" s="772">
        <f t="shared" si="5"/>
        <v>1</v>
      </c>
    </row>
    <row r="12" spans="1:29" s="117"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7"/>
      <c r="Q12" s="1792">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217"/>
      <c r="Q13" s="1792">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85.5">
      <c r="A14" s="439" t="s">
        <v>2556</v>
      </c>
      <c r="B14" s="69" t="s">
        <v>2706</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9" t="s">
        <v>2557</v>
      </c>
      <c r="Q14" s="1807" t="str">
        <f t="shared" si="6"/>
        <v>交通便捷度</v>
      </c>
      <c r="R14" s="773" t="s">
        <v>17</v>
      </c>
      <c r="S14" s="774">
        <f t="shared" si="0"/>
        <v>100</v>
      </c>
      <c r="T14" s="773" t="s">
        <v>17</v>
      </c>
      <c r="U14" s="774">
        <f t="shared" si="1"/>
        <v>100</v>
      </c>
      <c r="V14" s="773" t="s">
        <v>17</v>
      </c>
      <c r="W14" s="774">
        <f t="shared" si="2"/>
        <v>100</v>
      </c>
      <c r="X14" s="1810"/>
      <c r="Y14" s="3219" t="s">
        <v>2557</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20"/>
      <c r="Q15" s="1807"/>
      <c r="R15" s="773"/>
      <c r="S15" s="774"/>
      <c r="T15" s="773"/>
      <c r="U15" s="774"/>
      <c r="V15" s="773"/>
      <c r="W15" s="774"/>
      <c r="X15" s="1810"/>
      <c r="Y15" s="3220"/>
      <c r="Z15" s="1811"/>
      <c r="AA15" s="1808">
        <v>1</v>
      </c>
      <c r="AB15" s="1808">
        <v>1</v>
      </c>
      <c r="AC15" s="1808">
        <v>1</v>
      </c>
    </row>
    <row r="16" spans="1:29" ht="42.75">
      <c r="A16" s="427"/>
      <c r="B16" s="450" t="s">
        <v>2685</v>
      </c>
      <c r="C16" s="260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0"/>
      <c r="Q16" s="1807" t="str">
        <f>B16</f>
        <v>公共配套设施</v>
      </c>
      <c r="R16" s="773" t="s">
        <v>17</v>
      </c>
      <c r="S16" s="774">
        <f>F16</f>
        <v>100</v>
      </c>
      <c r="T16" s="773" t="s">
        <v>17</v>
      </c>
      <c r="U16" s="774">
        <f>H16</f>
        <v>100</v>
      </c>
      <c r="V16" s="773" t="s">
        <v>17</v>
      </c>
      <c r="W16" s="774">
        <f>J16</f>
        <v>100</v>
      </c>
      <c r="X16" s="1810"/>
      <c r="Y16" s="3220"/>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8"/>
      <c r="M17" s="1129"/>
      <c r="N17" s="1129"/>
      <c r="O17" s="1137"/>
      <c r="P17" s="3220"/>
      <c r="Q17" s="1807"/>
      <c r="R17" s="773"/>
      <c r="S17" s="774"/>
      <c r="T17" s="773"/>
      <c r="U17" s="774"/>
      <c r="V17" s="773"/>
      <c r="W17" s="774"/>
      <c r="X17" s="1810"/>
      <c r="Y17" s="3220"/>
      <c r="Z17" s="1811"/>
      <c r="AA17" s="1808">
        <v>1</v>
      </c>
      <c r="AB17" s="1808">
        <v>1</v>
      </c>
      <c r="AC17" s="1808">
        <v>1</v>
      </c>
    </row>
    <row r="18" spans="1:29" ht="28.5">
      <c r="A18" s="427"/>
      <c r="B18" s="1382" t="s">
        <v>2686</v>
      </c>
      <c r="C18" s="260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0"/>
      <c r="Q18" s="1807" t="str">
        <f>B18</f>
        <v>基础设施水平</v>
      </c>
      <c r="R18" s="773" t="s">
        <v>17</v>
      </c>
      <c r="S18" s="774">
        <f>F18</f>
        <v>100</v>
      </c>
      <c r="T18" s="773" t="s">
        <v>17</v>
      </c>
      <c r="U18" s="774">
        <f>H18</f>
        <v>100</v>
      </c>
      <c r="V18" s="773" t="s">
        <v>17</v>
      </c>
      <c r="W18" s="774">
        <f>J18</f>
        <v>100</v>
      </c>
      <c r="X18" s="1810"/>
      <c r="Y18" s="3220"/>
      <c r="Z18" s="1811" t="str">
        <f>Q18</f>
        <v>基础设施水平</v>
      </c>
      <c r="AA18" s="1808">
        <f t="shared" ref="AA18" si="8">D18/F18</f>
        <v>1</v>
      </c>
      <c r="AB18" s="1808">
        <f t="shared" ref="AB18" si="9">D18/H18</f>
        <v>1</v>
      </c>
      <c r="AC18" s="1808">
        <f t="shared" ref="AC18" si="10">D18/J18</f>
        <v>1</v>
      </c>
    </row>
    <row r="19" spans="1:29" ht="15">
      <c r="A19" s="427"/>
      <c r="B19" s="1382"/>
      <c r="C19" s="2602"/>
      <c r="D19" s="449"/>
      <c r="E19" s="2602"/>
      <c r="F19" s="452"/>
      <c r="G19" s="2602"/>
      <c r="H19" s="447"/>
      <c r="I19" s="446"/>
      <c r="J19" s="447"/>
      <c r="K19" s="1381"/>
      <c r="L19" s="1138"/>
      <c r="M19" s="1129"/>
      <c r="N19" s="1129"/>
      <c r="O19" s="1137"/>
      <c r="P19" s="3220"/>
      <c r="Q19" s="1807"/>
      <c r="R19" s="773"/>
      <c r="S19" s="774"/>
      <c r="T19" s="773"/>
      <c r="U19" s="774"/>
      <c r="V19" s="773"/>
      <c r="W19" s="774"/>
      <c r="X19" s="1810"/>
      <c r="Y19" s="3220"/>
      <c r="Z19" s="1811"/>
      <c r="AA19" s="1808">
        <v>1</v>
      </c>
      <c r="AB19" s="1808">
        <v>1</v>
      </c>
      <c r="AC19" s="1808">
        <v>1</v>
      </c>
    </row>
    <row r="20" spans="1:29" ht="57">
      <c r="A20" s="427"/>
      <c r="B20" s="450" t="s">
        <v>2707</v>
      </c>
      <c r="C20" s="260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0"/>
      <c r="Q20" s="1807" t="str">
        <f>B20</f>
        <v>自然及人文环境</v>
      </c>
      <c r="R20" s="773" t="s">
        <v>17</v>
      </c>
      <c r="S20" s="774">
        <f>F20</f>
        <v>100</v>
      </c>
      <c r="T20" s="773" t="s">
        <v>17</v>
      </c>
      <c r="U20" s="774">
        <f>H20</f>
        <v>100</v>
      </c>
      <c r="V20" s="773" t="s">
        <v>17</v>
      </c>
      <c r="W20" s="774">
        <f>J20</f>
        <v>100</v>
      </c>
      <c r="X20" s="1810"/>
      <c r="Y20" s="3220"/>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20"/>
      <c r="Q21" s="1807"/>
      <c r="R21" s="773"/>
      <c r="S21" s="774"/>
      <c r="T21" s="773"/>
      <c r="U21" s="774"/>
      <c r="V21" s="773"/>
      <c r="W21" s="774"/>
      <c r="X21" s="1810"/>
      <c r="Y21" s="3220"/>
      <c r="Z21" s="1811"/>
      <c r="AA21" s="1808">
        <v>1</v>
      </c>
      <c r="AB21" s="1808">
        <v>1</v>
      </c>
      <c r="AC21" s="1808">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0"/>
      <c r="Q22" s="1807" t="str">
        <f>B22</f>
        <v>楼层</v>
      </c>
      <c r="R22" s="773" t="s">
        <v>17</v>
      </c>
      <c r="S22" s="774">
        <f>F22</f>
        <v>100</v>
      </c>
      <c r="T22" s="773" t="s">
        <v>17</v>
      </c>
      <c r="U22" s="774">
        <f>H22</f>
        <v>100</v>
      </c>
      <c r="V22" s="773" t="s">
        <v>17</v>
      </c>
      <c r="W22" s="774">
        <f>J22</f>
        <v>100</v>
      </c>
      <c r="X22" s="1810"/>
      <c r="Y22" s="3220"/>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0"/>
      <c r="Q23" s="1807">
        <f>B23</f>
        <v>111</v>
      </c>
      <c r="R23" s="773" t="s">
        <v>17</v>
      </c>
      <c r="S23" s="774">
        <f>F23</f>
        <v>100</v>
      </c>
      <c r="T23" s="773" t="s">
        <v>17</v>
      </c>
      <c r="U23" s="774">
        <f>H23</f>
        <v>100</v>
      </c>
      <c r="V23" s="773" t="s">
        <v>17</v>
      </c>
      <c r="W23" s="774">
        <f>J23</f>
        <v>100</v>
      </c>
      <c r="X23" s="1810"/>
      <c r="Y23" s="3220"/>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0"/>
      <c r="Q24" s="1807">
        <f t="shared" ref="Q24:Q34" si="11">B24</f>
        <v>111</v>
      </c>
      <c r="R24" s="773" t="s">
        <v>17</v>
      </c>
      <c r="S24" s="774">
        <f>F24</f>
        <v>100</v>
      </c>
      <c r="T24" s="773" t="s">
        <v>17</v>
      </c>
      <c r="U24" s="774">
        <f>H24</f>
        <v>100</v>
      </c>
      <c r="V24" s="773" t="s">
        <v>17</v>
      </c>
      <c r="W24" s="774">
        <f>J24</f>
        <v>100</v>
      </c>
      <c r="X24" s="1810"/>
      <c r="Y24" s="3220"/>
      <c r="Z24" s="1811">
        <f>Q24</f>
        <v>111</v>
      </c>
      <c r="AA24" s="1808">
        <f t="shared" si="3"/>
        <v>1</v>
      </c>
      <c r="AB24" s="1808">
        <f t="shared" si="4"/>
        <v>1</v>
      </c>
      <c r="AC24" s="1808">
        <f t="shared" si="5"/>
        <v>1</v>
      </c>
    </row>
    <row r="25" spans="1:29" s="117"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220"/>
      <c r="Q25" s="1792">
        <f t="shared" si="11"/>
        <v>111</v>
      </c>
      <c r="R25" s="769" t="s">
        <v>17</v>
      </c>
      <c r="S25" s="770">
        <f>F25</f>
        <v>100</v>
      </c>
      <c r="T25" s="769" t="s">
        <v>17</v>
      </c>
      <c r="U25" s="770">
        <f>H25</f>
        <v>100</v>
      </c>
      <c r="V25" s="769" t="s">
        <v>17</v>
      </c>
      <c r="W25" s="770">
        <f>J25</f>
        <v>100</v>
      </c>
      <c r="X25" s="771"/>
      <c r="Y25" s="3220"/>
      <c r="Z25" s="55">
        <f>Q25</f>
        <v>111</v>
      </c>
      <c r="AA25" s="1808">
        <f>D25/F25</f>
        <v>1</v>
      </c>
      <c r="AB25" s="1808">
        <f>D25/H25</f>
        <v>1</v>
      </c>
      <c r="AC25" s="1808">
        <f>D25/J25</f>
        <v>1</v>
      </c>
    </row>
    <row r="26" spans="1:29" ht="28.5">
      <c r="A26" s="465" t="s">
        <v>2560</v>
      </c>
      <c r="B26" s="71" t="s">
        <v>2711</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221" t="s">
        <v>2562</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22" t="s">
        <v>2562</v>
      </c>
      <c r="Z26" s="1811" t="str">
        <f t="shared" ref="Z26:Z34" si="15">Q26</f>
        <v>公共部分装修</v>
      </c>
      <c r="AA26" s="1808">
        <f t="shared" si="3"/>
        <v>1</v>
      </c>
      <c r="AB26" s="1808">
        <f t="shared" si="4"/>
        <v>1</v>
      </c>
      <c r="AC26" s="1808">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2"/>
      <c r="Q27" s="775" t="str">
        <f t="shared" si="11"/>
        <v>成新率</v>
      </c>
      <c r="R27" s="776" t="s">
        <v>17</v>
      </c>
      <c r="S27" s="777" t="e">
        <f t="shared" si="12"/>
        <v>#N/A</v>
      </c>
      <c r="T27" s="776" t="s">
        <v>17</v>
      </c>
      <c r="U27" s="777" t="e">
        <f t="shared" si="13"/>
        <v>#N/A</v>
      </c>
      <c r="V27" s="776" t="s">
        <v>17</v>
      </c>
      <c r="W27" s="777" t="e">
        <f t="shared" si="14"/>
        <v>#N/A</v>
      </c>
      <c r="X27" s="778"/>
      <c r="Y27" s="3222"/>
      <c r="Z27" s="779" t="str">
        <f t="shared" si="15"/>
        <v>成新率</v>
      </c>
      <c r="AA27" s="1808" t="e">
        <f t="shared" si="3"/>
        <v>#N/A</v>
      </c>
      <c r="AB27" s="1808" t="e">
        <f t="shared" si="4"/>
        <v>#N/A</v>
      </c>
      <c r="AC27" s="1808"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2"/>
      <c r="Q28" s="1807" t="str">
        <f t="shared" si="11"/>
        <v>物业等级</v>
      </c>
      <c r="R28" s="773" t="s">
        <v>17</v>
      </c>
      <c r="S28" s="774">
        <f t="shared" si="12"/>
        <v>100</v>
      </c>
      <c r="T28" s="773" t="s">
        <v>17</v>
      </c>
      <c r="U28" s="774">
        <f t="shared" si="13"/>
        <v>100</v>
      </c>
      <c r="V28" s="773" t="s">
        <v>17</v>
      </c>
      <c r="W28" s="774">
        <f t="shared" si="14"/>
        <v>100</v>
      </c>
      <c r="X28" s="1810"/>
      <c r="Y28" s="3222"/>
      <c r="Z28" s="1811" t="str">
        <f t="shared" si="15"/>
        <v>物业等级</v>
      </c>
      <c r="AA28" s="1808">
        <f t="shared" si="3"/>
        <v>1</v>
      </c>
      <c r="AB28" s="1808">
        <f t="shared" si="4"/>
        <v>1</v>
      </c>
      <c r="AC28" s="1808">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2"/>
      <c r="Q29" s="1807" t="str">
        <f t="shared" si="11"/>
        <v>有无电梯</v>
      </c>
      <c r="R29" s="773" t="s">
        <v>17</v>
      </c>
      <c r="S29" s="774">
        <f t="shared" si="12"/>
        <v>100</v>
      </c>
      <c r="T29" s="773" t="s">
        <v>17</v>
      </c>
      <c r="U29" s="774">
        <f t="shared" si="13"/>
        <v>100</v>
      </c>
      <c r="V29" s="773" t="s">
        <v>17</v>
      </c>
      <c r="W29" s="774">
        <f t="shared" si="14"/>
        <v>100</v>
      </c>
      <c r="X29" s="1810"/>
      <c r="Y29" s="3222"/>
      <c r="Z29" s="1811" t="str">
        <f t="shared" si="15"/>
        <v>有无电梯</v>
      </c>
      <c r="AA29" s="1808">
        <f t="shared" si="3"/>
        <v>1</v>
      </c>
      <c r="AB29" s="1808">
        <f t="shared" si="4"/>
        <v>1</v>
      </c>
      <c r="AC29" s="1808">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2"/>
      <c r="Q30" s="1807" t="str">
        <f t="shared" si="11"/>
        <v>建筑面积</v>
      </c>
      <c r="R30" s="773" t="s">
        <v>17</v>
      </c>
      <c r="S30" s="774" t="e">
        <f t="shared" si="12"/>
        <v>#N/A</v>
      </c>
      <c r="T30" s="773" t="s">
        <v>17</v>
      </c>
      <c r="U30" s="774" t="e">
        <f t="shared" si="13"/>
        <v>#N/A</v>
      </c>
      <c r="V30" s="773" t="s">
        <v>17</v>
      </c>
      <c r="W30" s="774" t="e">
        <f t="shared" si="14"/>
        <v>#N/A</v>
      </c>
      <c r="X30" s="1810"/>
      <c r="Y30" s="3222"/>
      <c r="Z30" s="1811" t="str">
        <f t="shared" si="15"/>
        <v>建筑面积</v>
      </c>
      <c r="AA30" s="1808" t="e">
        <f t="shared" si="3"/>
        <v>#N/A</v>
      </c>
      <c r="AB30" s="1808" t="e">
        <f t="shared" si="4"/>
        <v>#N/A</v>
      </c>
      <c r="AC30" s="1808" t="e">
        <f t="shared" si="5"/>
        <v>#N/A</v>
      </c>
    </row>
    <row r="31" spans="1:29" s="117"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2"/>
      <c r="Q31" s="1792" t="str">
        <f t="shared" si="11"/>
        <v>是否封闭</v>
      </c>
      <c r="R31" s="769" t="s">
        <v>17</v>
      </c>
      <c r="S31" s="770">
        <f t="shared" si="12"/>
        <v>100</v>
      </c>
      <c r="T31" s="769" t="s">
        <v>17</v>
      </c>
      <c r="U31" s="770">
        <f t="shared" si="13"/>
        <v>100</v>
      </c>
      <c r="V31" s="769" t="s">
        <v>17</v>
      </c>
      <c r="W31" s="770">
        <f t="shared" si="14"/>
        <v>100</v>
      </c>
      <c r="X31" s="771"/>
      <c r="Y31" s="3222"/>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2" t="s">
        <v>2562</v>
      </c>
      <c r="Q32" s="1807">
        <f t="shared" si="11"/>
        <v>111</v>
      </c>
      <c r="R32" s="773" t="s">
        <v>17</v>
      </c>
      <c r="S32" s="774">
        <f t="shared" si="12"/>
        <v>100</v>
      </c>
      <c r="T32" s="773" t="s">
        <v>17</v>
      </c>
      <c r="U32" s="774">
        <f t="shared" si="13"/>
        <v>100</v>
      </c>
      <c r="V32" s="773" t="s">
        <v>17</v>
      </c>
      <c r="W32" s="774">
        <f t="shared" si="14"/>
        <v>100</v>
      </c>
      <c r="X32" s="1810"/>
      <c r="Y32" s="3222" t="s">
        <v>2562</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2"/>
      <c r="Q33" s="1807">
        <f t="shared" si="11"/>
        <v>111</v>
      </c>
      <c r="R33" s="773" t="s">
        <v>17</v>
      </c>
      <c r="S33" s="774">
        <f t="shared" si="12"/>
        <v>100</v>
      </c>
      <c r="T33" s="773" t="s">
        <v>17</v>
      </c>
      <c r="U33" s="774">
        <f t="shared" si="13"/>
        <v>100</v>
      </c>
      <c r="V33" s="773" t="s">
        <v>17</v>
      </c>
      <c r="W33" s="774">
        <f t="shared" si="14"/>
        <v>100</v>
      </c>
      <c r="X33" s="1810"/>
      <c r="Y33" s="3222"/>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222"/>
      <c r="Q34" s="1807">
        <f t="shared" si="11"/>
        <v>111</v>
      </c>
      <c r="R34" s="773" t="s">
        <v>17</v>
      </c>
      <c r="S34" s="774">
        <f t="shared" si="12"/>
        <v>100</v>
      </c>
      <c r="T34" s="773" t="s">
        <v>17</v>
      </c>
      <c r="U34" s="774">
        <f t="shared" si="13"/>
        <v>100</v>
      </c>
      <c r="V34" s="773" t="s">
        <v>17</v>
      </c>
      <c r="W34" s="774">
        <f t="shared" si="14"/>
        <v>100</v>
      </c>
      <c r="X34" s="1810"/>
      <c r="Y34" s="3222"/>
      <c r="Z34" s="1811">
        <f t="shared" si="15"/>
        <v>111</v>
      </c>
      <c r="AA34" s="1808">
        <f t="shared" si="3"/>
        <v>1</v>
      </c>
      <c r="AB34" s="1808">
        <f t="shared" si="4"/>
        <v>1</v>
      </c>
      <c r="AC34" s="1808">
        <f t="shared" si="5"/>
        <v>1</v>
      </c>
    </row>
    <row r="35" spans="1:29" ht="15">
      <c r="A35" s="478" t="s">
        <v>2574</v>
      </c>
      <c r="B35" s="479"/>
      <c r="C35" s="1405" t="s">
        <v>1</v>
      </c>
      <c r="D35" s="1406"/>
      <c r="E35" s="1407"/>
      <c r="F35" s="1408"/>
      <c r="G35" s="1409"/>
      <c r="H35" s="1410"/>
      <c r="I35" s="1407"/>
      <c r="J35" s="1410"/>
      <c r="K35" s="782"/>
      <c r="L35" s="1141"/>
      <c r="M35" s="1142"/>
      <c r="N35" s="1129"/>
      <c r="O35" s="1142"/>
      <c r="P35" s="3217" t="str">
        <f>A35</f>
        <v>成交单价（元/平方米）</v>
      </c>
      <c r="Q35" s="3217"/>
      <c r="R35" s="3253">
        <f>E35</f>
        <v>0</v>
      </c>
      <c r="S35" s="3253"/>
      <c r="T35" s="3253">
        <f>G35</f>
        <v>0</v>
      </c>
      <c r="U35" s="3253"/>
      <c r="V35" s="3253">
        <f>I35</f>
        <v>0</v>
      </c>
      <c r="W35" s="3253"/>
      <c r="X35" s="758"/>
      <c r="Y35" s="780"/>
      <c r="Z35" s="758"/>
      <c r="AA35" s="758"/>
      <c r="AB35" s="758"/>
      <c r="AC35" s="758"/>
    </row>
    <row r="36" spans="1:29" ht="15.75" thickBot="1">
      <c r="A36" s="485" t="s">
        <v>2666</v>
      </c>
      <c r="B36" s="486"/>
      <c r="C36" s="1411" t="e">
        <f>R37</f>
        <v>#DIV/0!</v>
      </c>
      <c r="D36" s="1412"/>
      <c r="E36" s="1413" t="e">
        <f>R36</f>
        <v>#DIV/0!</v>
      </c>
      <c r="F36" s="1413"/>
      <c r="G36" s="1411" t="e">
        <f>T36</f>
        <v>#DIV/0!</v>
      </c>
      <c r="H36" s="1412"/>
      <c r="I36" s="1413" t="e">
        <f>V36</f>
        <v>#DIV/0!</v>
      </c>
      <c r="J36" s="1412"/>
      <c r="K36" s="783"/>
      <c r="L36" s="1141"/>
      <c r="M36" s="1142"/>
      <c r="N36" s="1129"/>
      <c r="O36" s="1142"/>
      <c r="P36" s="3217" t="str">
        <f>A36</f>
        <v>比较价值（元/平方米）</v>
      </c>
      <c r="Q36" s="3217"/>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8"/>
      <c r="Y36" s="758"/>
      <c r="Z36" s="758"/>
      <c r="AA36" s="758"/>
      <c r="AB36" s="758"/>
      <c r="AC36" s="758"/>
    </row>
    <row r="37" spans="1:29" ht="15.75" thickBot="1">
      <c r="A37" s="491" t="s">
        <v>2667</v>
      </c>
      <c r="B37" s="492"/>
      <c r="C37" s="1415" t="e">
        <f>R37</f>
        <v>#DIV/0!</v>
      </c>
      <c r="D37" s="1415"/>
      <c r="E37" s="1415"/>
      <c r="F37" s="1415"/>
      <c r="G37" s="1415"/>
      <c r="H37" s="1415"/>
      <c r="I37" s="1415"/>
      <c r="J37" s="1415"/>
      <c r="K37" s="784"/>
      <c r="L37" s="1141"/>
      <c r="M37" s="1142"/>
      <c r="N37" s="1142"/>
      <c r="O37" s="1142"/>
      <c r="P37" s="3211" t="str">
        <f>A37</f>
        <v>估价对象XX用房的比较价值（楼面单价，元/平方米）</v>
      </c>
      <c r="Q37" s="3212"/>
      <c r="R37" s="3254" t="e">
        <f>IF(F1="售价",ROUND(AVERAGE(R36:V36),0),ROUND(AVERAGE(R36:V36),1))</f>
        <v>#DIV/0!</v>
      </c>
      <c r="S37" s="3254"/>
      <c r="T37" s="3254"/>
      <c r="U37" s="3254"/>
      <c r="V37" s="3254"/>
      <c r="W37" s="3254"/>
      <c r="X37" s="758"/>
      <c r="Y37" s="758"/>
      <c r="Z37" s="758"/>
      <c r="AA37" s="758"/>
      <c r="AB37" s="758"/>
      <c r="AC37" s="758"/>
    </row>
    <row r="38" spans="1:29">
      <c r="A38" s="1142"/>
      <c r="B38" s="1142"/>
      <c r="C38" s="1142"/>
      <c r="D38" s="1142"/>
      <c r="E38" s="1142"/>
      <c r="F38" s="1142"/>
      <c r="G38" s="1145"/>
      <c r="H38" s="1142"/>
      <c r="I38" s="1142"/>
      <c r="J38" s="1142"/>
      <c r="K38" s="1104"/>
      <c r="L38" s="1105"/>
      <c r="M38" s="1142"/>
      <c r="N38" s="1142"/>
      <c r="O38" s="1142"/>
    </row>
    <row r="39" spans="1:29">
      <c r="A39" s="1142"/>
      <c r="B39" s="1142"/>
      <c r="C39" s="1142"/>
      <c r="D39" s="1142"/>
      <c r="E39" s="1142"/>
      <c r="F39" s="1142"/>
      <c r="G39" s="1142"/>
      <c r="H39" s="1142"/>
      <c r="I39" s="1142"/>
      <c r="J39" s="1142"/>
      <c r="K39" s="1104"/>
      <c r="L39" s="1105"/>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4"/>
      <c r="L44" s="1105"/>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2582</v>
      </c>
      <c r="B48" s="515"/>
      <c r="C48" s="516"/>
      <c r="D48" s="517"/>
      <c r="E48" s="517"/>
      <c r="F48" s="517"/>
      <c r="G48" s="517"/>
      <c r="H48" s="517"/>
      <c r="I48" s="517"/>
      <c r="J48" s="517"/>
      <c r="K48" s="517"/>
      <c r="L48" s="517"/>
      <c r="M48" s="518"/>
      <c r="N48" s="517"/>
      <c r="O48" s="519"/>
      <c r="P48" s="503"/>
      <c r="Q48" s="503"/>
    </row>
    <row r="49" spans="1:17" s="117" customFormat="1" ht="15">
      <c r="A49" s="520" t="s">
        <v>2547</v>
      </c>
      <c r="B49" s="509"/>
      <c r="C49" s="521" t="s">
        <v>2649</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2585</v>
      </c>
      <c r="B51" s="527" t="s">
        <v>2551</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2726</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2738</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14" t="s">
        <v>2643</v>
      </c>
      <c r="D4" s="3227"/>
      <c r="E4" s="3228" t="s">
        <v>2644</v>
      </c>
      <c r="F4" s="3229"/>
      <c r="G4" s="3214" t="s">
        <v>2645</v>
      </c>
      <c r="H4" s="3227"/>
      <c r="I4" s="3214" t="s">
        <v>2646</v>
      </c>
      <c r="J4" s="3227"/>
      <c r="K4" s="609" t="s">
        <v>2647</v>
      </c>
      <c r="L4" s="1128"/>
      <c r="M4" s="1129"/>
      <c r="N4" s="1129"/>
      <c r="O4" s="1129"/>
      <c r="P4" s="3230" t="s">
        <v>2648</v>
      </c>
      <c r="Q4" s="3231"/>
      <c r="R4" s="3236" t="s">
        <v>2644</v>
      </c>
      <c r="S4" s="3237"/>
      <c r="T4" s="3236" t="s">
        <v>2645</v>
      </c>
      <c r="U4" s="3237"/>
      <c r="V4" s="3223" t="s">
        <v>2646</v>
      </c>
      <c r="W4" s="3223"/>
      <c r="X4" s="1810"/>
      <c r="Y4" s="3236" t="s">
        <v>2648</v>
      </c>
      <c r="Z4" s="3237"/>
      <c r="AA4" s="3224" t="s">
        <v>2644</v>
      </c>
      <c r="AB4" s="3225" t="s">
        <v>2645</v>
      </c>
      <c r="AC4" s="3224" t="s">
        <v>2646</v>
      </c>
    </row>
    <row r="5" spans="1:29" ht="15">
      <c r="A5" s="403"/>
      <c r="B5" s="404"/>
      <c r="C5" s="3244" t="s">
        <v>2539</v>
      </c>
      <c r="D5" s="3245"/>
      <c r="E5" s="3251" t="s">
        <v>2540</v>
      </c>
      <c r="F5" s="3252"/>
      <c r="G5" s="3244" t="s">
        <v>2541</v>
      </c>
      <c r="H5" s="3245"/>
      <c r="I5" s="3244" t="s">
        <v>2542</v>
      </c>
      <c r="J5" s="3245"/>
      <c r="K5" s="609"/>
      <c r="L5" s="1128"/>
      <c r="M5" s="1129"/>
      <c r="N5" s="1129"/>
      <c r="O5" s="1129"/>
      <c r="P5" s="3232"/>
      <c r="Q5" s="3233"/>
      <c r="R5" s="3238"/>
      <c r="S5" s="3239"/>
      <c r="T5" s="3238"/>
      <c r="U5" s="3239"/>
      <c r="V5" s="3223"/>
      <c r="W5" s="3223"/>
      <c r="X5" s="1810"/>
      <c r="Y5" s="3238"/>
      <c r="Z5" s="3239"/>
      <c r="AA5" s="3225"/>
      <c r="AB5" s="3225"/>
      <c r="AC5" s="3225"/>
    </row>
    <row r="6" spans="1:29" ht="15.75" thickBot="1">
      <c r="A6" s="405"/>
      <c r="B6" s="406"/>
      <c r="C6" s="3303" t="s">
        <v>2794</v>
      </c>
      <c r="D6" s="3304"/>
      <c r="E6" s="3305" t="s">
        <v>2794</v>
      </c>
      <c r="F6" s="3306"/>
      <c r="G6" s="3303" t="s">
        <v>2794</v>
      </c>
      <c r="H6" s="3304"/>
      <c r="I6" s="3303" t="s">
        <v>2794</v>
      </c>
      <c r="J6" s="3304"/>
      <c r="K6" s="609" t="s">
        <v>2544</v>
      </c>
      <c r="L6" s="1128"/>
      <c r="M6" s="1129"/>
      <c r="N6" s="1129"/>
      <c r="O6" s="1129"/>
      <c r="P6" s="3234"/>
      <c r="Q6" s="3235"/>
      <c r="R6" s="3238"/>
      <c r="S6" s="3239"/>
      <c r="T6" s="3240"/>
      <c r="U6" s="3241"/>
      <c r="V6" s="3223"/>
      <c r="W6" s="3223"/>
      <c r="X6" s="1810"/>
      <c r="Y6" s="3240"/>
      <c r="Z6" s="3241"/>
      <c r="AA6" s="3226"/>
      <c r="AB6" s="3226"/>
      <c r="AC6" s="3226"/>
    </row>
    <row r="7" spans="1:29" s="117" customFormat="1" ht="15.75" thickBot="1">
      <c r="A7" s="407" t="s">
        <v>2545</v>
      </c>
      <c r="B7" s="408"/>
      <c r="C7" s="409">
        <f>'数据-取费表'!B2</f>
        <v>43676</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246" t="s">
        <v>2546</v>
      </c>
      <c r="Q7" s="3248"/>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772" t="e">
        <f>D7/J7</f>
        <v>#DIV/0!</v>
      </c>
    </row>
    <row r="8" spans="1:29" s="117"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6" t="s">
        <v>2549</v>
      </c>
      <c r="Q8" s="3247"/>
      <c r="R8" s="769" t="s">
        <v>17</v>
      </c>
      <c r="S8" s="770">
        <f t="shared" si="0"/>
        <v>0</v>
      </c>
      <c r="T8" s="769" t="s">
        <v>17</v>
      </c>
      <c r="U8" s="770">
        <f t="shared" si="1"/>
        <v>0</v>
      </c>
      <c r="V8" s="769" t="s">
        <v>17</v>
      </c>
      <c r="W8" s="770">
        <f t="shared" si="2"/>
        <v>0</v>
      </c>
      <c r="X8" s="771"/>
      <c r="Y8" s="3246" t="s">
        <v>2549</v>
      </c>
      <c r="Z8" s="3247"/>
      <c r="AA8" s="772" t="e">
        <f t="shared" ref="AA8:AA40" si="3">D8/F8</f>
        <v>#DIV/0!</v>
      </c>
      <c r="AB8" s="772" t="e">
        <f t="shared" ref="AB8:AB40" si="4">D8/H8</f>
        <v>#DIV/0!</v>
      </c>
      <c r="AC8" s="772" t="e">
        <f t="shared" ref="AC8:AC40" si="5">D8/J8</f>
        <v>#DIV/0!</v>
      </c>
    </row>
    <row r="9" spans="1:29" s="117" customFormat="1">
      <c r="A9" s="414" t="s">
        <v>2550</v>
      </c>
      <c r="B9" s="71" t="s">
        <v>2551</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217" t="s">
        <v>2552</v>
      </c>
      <c r="Q9" s="1792" t="str">
        <f t="shared" ref="Q9:Q15" si="6">B9</f>
        <v>用途</v>
      </c>
      <c r="R9" s="769" t="s">
        <v>17</v>
      </c>
      <c r="S9" s="770">
        <f t="shared" si="0"/>
        <v>100</v>
      </c>
      <c r="T9" s="769" t="s">
        <v>17</v>
      </c>
      <c r="U9" s="770">
        <f t="shared" si="1"/>
        <v>100</v>
      </c>
      <c r="V9" s="769" t="s">
        <v>17</v>
      </c>
      <c r="W9" s="770">
        <f t="shared" si="2"/>
        <v>100</v>
      </c>
      <c r="X9" s="771"/>
      <c r="Y9" s="3065"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100</v>
      </c>
      <c r="G10" s="431"/>
      <c r="H10" s="135">
        <f>ROUND(100/'数据-取费表'!G16,0)</f>
        <v>100</v>
      </c>
      <c r="I10" s="431"/>
      <c r="J10" s="135">
        <f>ROUND(100/'数据-取费表'!G16,0)</f>
        <v>100</v>
      </c>
      <c r="K10" s="671"/>
      <c r="L10" s="1133"/>
      <c r="M10" s="1134"/>
      <c r="N10" s="1134"/>
      <c r="O10" s="1135"/>
      <c r="P10" s="3217"/>
      <c r="Q10" s="1792"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7"/>
      <c r="Q11" s="1792"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772" t="e">
        <f t="shared" si="5"/>
        <v>#N/A</v>
      </c>
    </row>
    <row r="12" spans="1:29" s="117"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7"/>
      <c r="Q12" s="1792">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7"/>
      <c r="Q13" s="1792">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7"/>
      <c r="Q14" s="1792">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772">
        <f t="shared" si="5"/>
        <v>1</v>
      </c>
    </row>
    <row r="15" spans="1:29" ht="57">
      <c r="A15" s="439" t="s">
        <v>2556</v>
      </c>
      <c r="B15" s="628" t="s">
        <v>2795</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9" t="s">
        <v>2557</v>
      </c>
      <c r="Q15" s="1807" t="str">
        <f t="shared" si="6"/>
        <v>产业集聚程度</v>
      </c>
      <c r="R15" s="773" t="s">
        <v>17</v>
      </c>
      <c r="S15" s="774">
        <f t="shared" si="0"/>
        <v>100</v>
      </c>
      <c r="T15" s="773" t="s">
        <v>17</v>
      </c>
      <c r="U15" s="774">
        <f t="shared" si="1"/>
        <v>100</v>
      </c>
      <c r="V15" s="773" t="s">
        <v>17</v>
      </c>
      <c r="W15" s="774">
        <f t="shared" si="2"/>
        <v>100</v>
      </c>
      <c r="X15" s="1810"/>
      <c r="Y15" s="3219" t="s">
        <v>2557</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8"/>
      <c r="M16" s="1129"/>
      <c r="N16" s="1129"/>
      <c r="O16" s="1137"/>
      <c r="P16" s="3220"/>
      <c r="Q16" s="1807"/>
      <c r="R16" s="773"/>
      <c r="S16" s="774"/>
      <c r="T16" s="773"/>
      <c r="U16" s="774"/>
      <c r="V16" s="773"/>
      <c r="W16" s="774"/>
      <c r="X16" s="1810"/>
      <c r="Y16" s="3220"/>
      <c r="Z16" s="1811"/>
      <c r="AA16" s="1808">
        <v>1</v>
      </c>
      <c r="AB16" s="1808">
        <v>1</v>
      </c>
      <c r="AC16" s="1808">
        <v>1</v>
      </c>
    </row>
    <row r="17" spans="1:29" ht="85.5">
      <c r="A17" s="427"/>
      <c r="B17" s="630" t="s">
        <v>2706</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0"/>
      <c r="Q17" s="1807" t="str">
        <f>B17</f>
        <v>交通便捷度</v>
      </c>
      <c r="R17" s="773" t="s">
        <v>17</v>
      </c>
      <c r="S17" s="774">
        <f>F17</f>
        <v>100</v>
      </c>
      <c r="T17" s="773" t="s">
        <v>17</v>
      </c>
      <c r="U17" s="774">
        <f>H17</f>
        <v>100</v>
      </c>
      <c r="V17" s="773" t="s">
        <v>17</v>
      </c>
      <c r="W17" s="774">
        <f>J17</f>
        <v>100</v>
      </c>
      <c r="X17" s="1810"/>
      <c r="Y17" s="3220"/>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8"/>
      <c r="M18" s="1129"/>
      <c r="N18" s="1129"/>
      <c r="O18" s="1137"/>
      <c r="P18" s="3220"/>
      <c r="Q18" s="1807"/>
      <c r="R18" s="773"/>
      <c r="S18" s="774"/>
      <c r="T18" s="773"/>
      <c r="U18" s="774"/>
      <c r="V18" s="773"/>
      <c r="W18" s="774"/>
      <c r="X18" s="1810"/>
      <c r="Y18" s="3220"/>
      <c r="Z18" s="1811"/>
      <c r="AA18" s="1808">
        <v>1</v>
      </c>
      <c r="AB18" s="1808">
        <v>1</v>
      </c>
      <c r="AC18" s="1808">
        <v>1</v>
      </c>
    </row>
    <row r="19" spans="1:29" ht="15">
      <c r="A19" s="427"/>
      <c r="B19" s="630" t="s">
        <v>2745</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0"/>
      <c r="Q19" s="1807" t="str">
        <f t="shared" ref="Q19:Q33" si="8">B19</f>
        <v>区域土地利用方向</v>
      </c>
      <c r="R19" s="773" t="s">
        <v>17</v>
      </c>
      <c r="S19" s="774">
        <f>F19</f>
        <v>100</v>
      </c>
      <c r="T19" s="773" t="s">
        <v>17</v>
      </c>
      <c r="U19" s="774">
        <f>H19</f>
        <v>100</v>
      </c>
      <c r="V19" s="773" t="s">
        <v>17</v>
      </c>
      <c r="W19" s="774">
        <f>J19</f>
        <v>100</v>
      </c>
      <c r="X19" s="1810"/>
      <c r="Y19" s="3220"/>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11"/>
      <c r="L20" s="1138"/>
      <c r="M20" s="1129"/>
      <c r="N20" s="1129"/>
      <c r="O20" s="1137"/>
      <c r="P20" s="3220"/>
      <c r="Q20" s="1807"/>
      <c r="R20" s="773"/>
      <c r="S20" s="774"/>
      <c r="T20" s="773"/>
      <c r="U20" s="774"/>
      <c r="V20" s="773"/>
      <c r="W20" s="774"/>
      <c r="X20" s="1810"/>
      <c r="Y20" s="3220"/>
      <c r="Z20" s="1811"/>
      <c r="AA20" s="1808"/>
      <c r="AB20" s="1808"/>
      <c r="AC20" s="1808"/>
    </row>
    <row r="21" spans="1:29" ht="71.25">
      <c r="A21" s="403"/>
      <c r="B21" s="630" t="s">
        <v>2796</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0"/>
      <c r="Q21" s="1807" t="str">
        <f t="shared" si="8"/>
        <v>环境状况</v>
      </c>
      <c r="R21" s="773" t="s">
        <v>17</v>
      </c>
      <c r="S21" s="774">
        <f>F21</f>
        <v>100</v>
      </c>
      <c r="T21" s="773" t="s">
        <v>17</v>
      </c>
      <c r="U21" s="774">
        <f>H21</f>
        <v>100</v>
      </c>
      <c r="V21" s="773" t="s">
        <v>17</v>
      </c>
      <c r="W21" s="774">
        <f>J21</f>
        <v>100</v>
      </c>
      <c r="X21" s="1810"/>
      <c r="Y21" s="3220"/>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8"/>
      <c r="M22" s="1129"/>
      <c r="N22" s="1129"/>
      <c r="O22" s="1137"/>
      <c r="P22" s="3220"/>
      <c r="Q22" s="1807"/>
      <c r="R22" s="773"/>
      <c r="S22" s="774"/>
      <c r="T22" s="773"/>
      <c r="U22" s="774"/>
      <c r="V22" s="773"/>
      <c r="W22" s="774"/>
      <c r="X22" s="1810"/>
      <c r="Y22" s="3220"/>
      <c r="Z22" s="1811"/>
      <c r="AA22" s="1808">
        <v>1</v>
      </c>
      <c r="AB22" s="1808">
        <v>1</v>
      </c>
      <c r="AC22" s="1808">
        <v>1</v>
      </c>
    </row>
    <row r="23" spans="1:29" s="117" customFormat="1" ht="42.75">
      <c r="A23" s="648"/>
      <c r="B23" s="632" t="s">
        <v>2651</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0"/>
      <c r="Q23" s="1792" t="str">
        <f t="shared" si="8"/>
        <v>公共配套设施</v>
      </c>
      <c r="R23" s="769" t="s">
        <v>17</v>
      </c>
      <c r="S23" s="770">
        <f>F23</f>
        <v>100</v>
      </c>
      <c r="T23" s="769" t="s">
        <v>17</v>
      </c>
      <c r="U23" s="770">
        <f>H23</f>
        <v>100</v>
      </c>
      <c r="V23" s="769" t="s">
        <v>17</v>
      </c>
      <c r="W23" s="770">
        <f>J23</f>
        <v>100</v>
      </c>
      <c r="X23" s="771"/>
      <c r="Y23" s="3220"/>
      <c r="Z23" s="55" t="str">
        <f>Q23</f>
        <v>公共配套设施</v>
      </c>
      <c r="AA23" s="1808">
        <f>D23/F23</f>
        <v>1</v>
      </c>
      <c r="AB23" s="1808">
        <f>D23/H23</f>
        <v>1</v>
      </c>
      <c r="AC23" s="1808">
        <f>D23/J23</f>
        <v>1</v>
      </c>
    </row>
    <row r="24" spans="1:29" s="117" customFormat="1" ht="15">
      <c r="A24" s="648"/>
      <c r="B24" s="631"/>
      <c r="C24" s="2694"/>
      <c r="D24" s="447"/>
      <c r="E24" s="2605"/>
      <c r="F24" s="447"/>
      <c r="G24" s="2605"/>
      <c r="H24" s="447"/>
      <c r="I24" s="446"/>
      <c r="J24" s="447"/>
      <c r="K24" s="671"/>
      <c r="L24" s="1130"/>
      <c r="M24" s="1131"/>
      <c r="N24" s="1131"/>
      <c r="O24" s="1132"/>
      <c r="P24" s="3220"/>
      <c r="Q24" s="1792"/>
      <c r="R24" s="769"/>
      <c r="S24" s="770"/>
      <c r="T24" s="769"/>
      <c r="U24" s="770"/>
      <c r="V24" s="769"/>
      <c r="W24" s="770"/>
      <c r="X24" s="771"/>
      <c r="Y24" s="3220"/>
      <c r="Z24" s="55"/>
      <c r="AA24" s="772">
        <v>1</v>
      </c>
      <c r="AB24" s="772">
        <v>1</v>
      </c>
      <c r="AC24" s="772">
        <v>1</v>
      </c>
    </row>
    <row r="25" spans="1:29" s="117" customFormat="1" ht="28.5">
      <c r="A25" s="648"/>
      <c r="B25" s="632" t="s">
        <v>2652</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0"/>
      <c r="Q25" s="1792" t="str">
        <f t="shared" ref="Q25" si="9">B25</f>
        <v>基础设施水平</v>
      </c>
      <c r="R25" s="769" t="s">
        <v>17</v>
      </c>
      <c r="S25" s="770">
        <f>F25</f>
        <v>100</v>
      </c>
      <c r="T25" s="769" t="s">
        <v>17</v>
      </c>
      <c r="U25" s="770">
        <f>H25</f>
        <v>100</v>
      </c>
      <c r="V25" s="769" t="s">
        <v>17</v>
      </c>
      <c r="W25" s="770">
        <f>J25</f>
        <v>100</v>
      </c>
      <c r="X25" s="771"/>
      <c r="Y25" s="3220"/>
      <c r="Z25" s="55" t="str">
        <f>Q25</f>
        <v>基础设施水平</v>
      </c>
      <c r="AA25" s="1808">
        <f>D25/F25</f>
        <v>1</v>
      </c>
      <c r="AB25" s="1808">
        <f>D25/H25</f>
        <v>1</v>
      </c>
      <c r="AC25" s="1808">
        <f>D25/J25</f>
        <v>1</v>
      </c>
    </row>
    <row r="26" spans="1:29" s="117" customFormat="1" ht="15">
      <c r="A26" s="648"/>
      <c r="B26" s="631"/>
      <c r="C26" s="2694"/>
      <c r="D26" s="447"/>
      <c r="E26" s="2695"/>
      <c r="F26" s="447"/>
      <c r="G26" s="2695"/>
      <c r="H26" s="447"/>
      <c r="I26" s="2695"/>
      <c r="J26" s="447"/>
      <c r="K26" s="671"/>
      <c r="L26" s="1130"/>
      <c r="M26" s="1131"/>
      <c r="N26" s="1131"/>
      <c r="O26" s="1132"/>
      <c r="P26" s="3220"/>
      <c r="Q26" s="1792"/>
      <c r="R26" s="769"/>
      <c r="S26" s="770"/>
      <c r="T26" s="769"/>
      <c r="U26" s="770"/>
      <c r="V26" s="769"/>
      <c r="W26" s="770"/>
      <c r="X26" s="771"/>
      <c r="Y26" s="3220"/>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0"/>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20"/>
      <c r="Z27" s="1811" t="str">
        <f t="shared" ref="Z27:Z40" si="13">Q27</f>
        <v>临街状况</v>
      </c>
      <c r="AA27" s="1808">
        <f t="shared" si="3"/>
        <v>1</v>
      </c>
      <c r="AB27" s="1808">
        <f t="shared" si="4"/>
        <v>1</v>
      </c>
      <c r="AC27" s="1808">
        <f t="shared" si="5"/>
        <v>1</v>
      </c>
    </row>
    <row r="28" spans="1:29" ht="27">
      <c r="A28" s="427"/>
      <c r="B28" s="632" t="s">
        <v>2688</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0"/>
      <c r="Q28" s="1807" t="str">
        <f t="shared" si="8"/>
        <v>毗邻道路的类型与等级</v>
      </c>
      <c r="R28" s="773" t="s">
        <v>17</v>
      </c>
      <c r="S28" s="774">
        <f t="shared" si="10"/>
        <v>100</v>
      </c>
      <c r="T28" s="773" t="s">
        <v>17</v>
      </c>
      <c r="U28" s="774">
        <f t="shared" si="11"/>
        <v>100</v>
      </c>
      <c r="V28" s="773" t="s">
        <v>17</v>
      </c>
      <c r="W28" s="774">
        <f t="shared" si="12"/>
        <v>100</v>
      </c>
      <c r="X28" s="1810"/>
      <c r="Y28" s="3220"/>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8"/>
      <c r="M29" s="1129"/>
      <c r="N29" s="1129"/>
      <c r="O29" s="1137"/>
      <c r="P29" s="3220"/>
      <c r="Q29" s="1807"/>
      <c r="R29" s="773"/>
      <c r="S29" s="774"/>
      <c r="T29" s="773"/>
      <c r="U29" s="774"/>
      <c r="V29" s="773"/>
      <c r="W29" s="774"/>
      <c r="X29" s="1810"/>
      <c r="Y29" s="3220"/>
      <c r="Z29" s="1811"/>
      <c r="AA29" s="1808">
        <v>1</v>
      </c>
      <c r="AB29" s="1808">
        <v>1</v>
      </c>
      <c r="AC29" s="1808">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0"/>
      <c r="Q30" s="1807" t="str">
        <f t="shared" si="8"/>
        <v>土地级别</v>
      </c>
      <c r="R30" s="773" t="s">
        <v>17</v>
      </c>
      <c r="S30" s="774">
        <f t="shared" si="10"/>
        <v>100</v>
      </c>
      <c r="T30" s="773" t="s">
        <v>17</v>
      </c>
      <c r="U30" s="774">
        <f t="shared" si="11"/>
        <v>100</v>
      </c>
      <c r="V30" s="773" t="s">
        <v>17</v>
      </c>
      <c r="W30" s="774">
        <f t="shared" si="12"/>
        <v>100</v>
      </c>
      <c r="X30" s="1810"/>
      <c r="Y30" s="3220"/>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0"/>
      <c r="Q31" s="1807">
        <f t="shared" si="8"/>
        <v>111</v>
      </c>
      <c r="R31" s="773" t="s">
        <v>17</v>
      </c>
      <c r="S31" s="774">
        <f t="shared" si="10"/>
        <v>100</v>
      </c>
      <c r="T31" s="773" t="s">
        <v>17</v>
      </c>
      <c r="U31" s="774">
        <f t="shared" si="11"/>
        <v>100</v>
      </c>
      <c r="V31" s="773" t="s">
        <v>17</v>
      </c>
      <c r="W31" s="774">
        <f t="shared" si="12"/>
        <v>100</v>
      </c>
      <c r="X31" s="1810"/>
      <c r="Y31" s="3220"/>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21" t="s">
        <v>2562</v>
      </c>
      <c r="Q32" s="1807">
        <f t="shared" si="8"/>
        <v>111</v>
      </c>
      <c r="R32" s="773" t="s">
        <v>17</v>
      </c>
      <c r="S32" s="774">
        <f t="shared" si="10"/>
        <v>100</v>
      </c>
      <c r="T32" s="773" t="s">
        <v>17</v>
      </c>
      <c r="U32" s="774">
        <f t="shared" si="11"/>
        <v>100</v>
      </c>
      <c r="V32" s="773" t="s">
        <v>17</v>
      </c>
      <c r="W32" s="774">
        <f t="shared" si="12"/>
        <v>100</v>
      </c>
      <c r="X32" s="1810"/>
      <c r="Y32" s="3222" t="s">
        <v>2562</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2"/>
      <c r="Q33" s="1807">
        <f t="shared" si="8"/>
        <v>111</v>
      </c>
      <c r="R33" s="776" t="s">
        <v>17</v>
      </c>
      <c r="S33" s="777">
        <f t="shared" si="10"/>
        <v>100</v>
      </c>
      <c r="T33" s="776" t="s">
        <v>17</v>
      </c>
      <c r="U33" s="777">
        <f t="shared" si="11"/>
        <v>100</v>
      </c>
      <c r="V33" s="776" t="s">
        <v>17</v>
      </c>
      <c r="W33" s="777">
        <f t="shared" si="12"/>
        <v>100</v>
      </c>
      <c r="X33" s="778"/>
      <c r="Y33" s="3222"/>
      <c r="Z33" s="779">
        <f t="shared" si="13"/>
        <v>111</v>
      </c>
      <c r="AA33" s="1808">
        <f t="shared" si="3"/>
        <v>1</v>
      </c>
      <c r="AB33" s="1808">
        <f t="shared" si="4"/>
        <v>1</v>
      </c>
      <c r="AC33" s="1808">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2"/>
      <c r="Q34" s="1807" t="str">
        <f>B34</f>
        <v>宗地面积</v>
      </c>
      <c r="R34" s="773" t="s">
        <v>17</v>
      </c>
      <c r="S34" s="774" t="e">
        <f t="shared" si="10"/>
        <v>#N/A</v>
      </c>
      <c r="T34" s="773" t="s">
        <v>17</v>
      </c>
      <c r="U34" s="774" t="e">
        <f t="shared" si="11"/>
        <v>#N/A</v>
      </c>
      <c r="V34" s="773" t="s">
        <v>17</v>
      </c>
      <c r="W34" s="774" t="e">
        <f t="shared" si="12"/>
        <v>#N/A</v>
      </c>
      <c r="X34" s="1810"/>
      <c r="Y34" s="3222"/>
      <c r="Z34" s="1811" t="str">
        <f t="shared" si="13"/>
        <v>宗地面积</v>
      </c>
      <c r="AA34" s="1808" t="e">
        <f t="shared" si="3"/>
        <v>#N/A</v>
      </c>
      <c r="AB34" s="1808" t="e">
        <f t="shared" si="4"/>
        <v>#N/A</v>
      </c>
      <c r="AC34" s="1808" t="e">
        <f t="shared" si="5"/>
        <v>#N/A</v>
      </c>
    </row>
    <row r="35" spans="1:29" ht="15">
      <c r="A35" s="471"/>
      <c r="B35" s="421" t="s">
        <v>2749</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8"/>
      <c r="M35" s="1129"/>
      <c r="N35" s="1129"/>
      <c r="O35" s="1137"/>
      <c r="P35" s="3222"/>
      <c r="Q35" s="1807" t="str">
        <f t="shared" ref="Q35:Q40" si="14">B35</f>
        <v>宗地形状</v>
      </c>
      <c r="R35" s="773" t="s">
        <v>17</v>
      </c>
      <c r="S35" s="774">
        <f t="shared" si="10"/>
        <v>100</v>
      </c>
      <c r="T35" s="773" t="s">
        <v>17</v>
      </c>
      <c r="U35" s="774">
        <f t="shared" si="11"/>
        <v>100</v>
      </c>
      <c r="V35" s="773" t="s">
        <v>17</v>
      </c>
      <c r="W35" s="774">
        <f t="shared" si="12"/>
        <v>100</v>
      </c>
      <c r="X35" s="1810"/>
      <c r="Y35" s="3222"/>
      <c r="Z35" s="1811" t="str">
        <f t="shared" si="13"/>
        <v>宗地形状</v>
      </c>
      <c r="AA35" s="1808">
        <f t="shared" si="3"/>
        <v>1</v>
      </c>
      <c r="AB35" s="1808">
        <f t="shared" si="4"/>
        <v>1</v>
      </c>
      <c r="AC35" s="1808">
        <f t="shared" si="5"/>
        <v>1</v>
      </c>
    </row>
    <row r="36" spans="1:29" s="117" customFormat="1" ht="15">
      <c r="A36" s="472"/>
      <c r="B36" s="421" t="s">
        <v>2751</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222"/>
      <c r="Q36" s="1807" t="str">
        <f t="shared" si="14"/>
        <v>宗地开发程度</v>
      </c>
      <c r="R36" s="769" t="s">
        <v>17</v>
      </c>
      <c r="S36" s="770">
        <f t="shared" si="10"/>
        <v>100</v>
      </c>
      <c r="T36" s="769" t="s">
        <v>17</v>
      </c>
      <c r="U36" s="770">
        <f t="shared" si="11"/>
        <v>100</v>
      </c>
      <c r="V36" s="769" t="s">
        <v>17</v>
      </c>
      <c r="W36" s="770">
        <f t="shared" si="12"/>
        <v>100</v>
      </c>
      <c r="X36" s="771"/>
      <c r="Y36" s="3222"/>
      <c r="Z36" s="55" t="str">
        <f t="shared" si="13"/>
        <v>宗地开发程度</v>
      </c>
      <c r="AA36" s="772">
        <f t="shared" si="3"/>
        <v>1</v>
      </c>
      <c r="AB36" s="772">
        <f t="shared" si="4"/>
        <v>1</v>
      </c>
      <c r="AC36" s="772">
        <f t="shared" si="5"/>
        <v>1</v>
      </c>
    </row>
    <row r="37" spans="1:29" ht="15">
      <c r="A37" s="471"/>
      <c r="B37" s="421" t="s">
        <v>2752</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8"/>
      <c r="M37" s="1129"/>
      <c r="N37" s="1129"/>
      <c r="O37" s="1137"/>
      <c r="P37" s="3222" t="s">
        <v>2562</v>
      </c>
      <c r="Q37" s="1807" t="str">
        <f t="shared" si="14"/>
        <v>工程地质条件</v>
      </c>
      <c r="R37" s="773" t="s">
        <v>17</v>
      </c>
      <c r="S37" s="774">
        <f t="shared" si="10"/>
        <v>100</v>
      </c>
      <c r="T37" s="773" t="s">
        <v>17</v>
      </c>
      <c r="U37" s="774">
        <f t="shared" si="11"/>
        <v>100</v>
      </c>
      <c r="V37" s="773" t="s">
        <v>17</v>
      </c>
      <c r="W37" s="774">
        <f t="shared" si="12"/>
        <v>100</v>
      </c>
      <c r="X37" s="1810"/>
      <c r="Y37" s="3222" t="s">
        <v>2562</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2"/>
      <c r="Q38" s="1807">
        <f t="shared" si="14"/>
        <v>111</v>
      </c>
      <c r="R38" s="773" t="s">
        <v>17</v>
      </c>
      <c r="S38" s="774">
        <f t="shared" si="10"/>
        <v>100</v>
      </c>
      <c r="T38" s="773" t="s">
        <v>17</v>
      </c>
      <c r="U38" s="774">
        <f t="shared" si="11"/>
        <v>100</v>
      </c>
      <c r="V38" s="773" t="s">
        <v>17</v>
      </c>
      <c r="W38" s="774">
        <f t="shared" si="12"/>
        <v>100</v>
      </c>
      <c r="X38" s="1810"/>
      <c r="Y38" s="3222"/>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2"/>
      <c r="Q39" s="1807">
        <f t="shared" si="14"/>
        <v>111</v>
      </c>
      <c r="R39" s="773" t="s">
        <v>17</v>
      </c>
      <c r="S39" s="774">
        <f t="shared" si="10"/>
        <v>100</v>
      </c>
      <c r="T39" s="773" t="s">
        <v>17</v>
      </c>
      <c r="U39" s="774">
        <f t="shared" si="11"/>
        <v>100</v>
      </c>
      <c r="V39" s="773" t="s">
        <v>17</v>
      </c>
      <c r="W39" s="774">
        <f t="shared" si="12"/>
        <v>100</v>
      </c>
      <c r="X39" s="1810"/>
      <c r="Y39" s="3222"/>
      <c r="Z39" s="1811">
        <f t="shared" si="13"/>
        <v>111</v>
      </c>
      <c r="AA39" s="1808">
        <f t="shared" si="3"/>
        <v>1</v>
      </c>
      <c r="AB39" s="1808">
        <f t="shared" si="4"/>
        <v>1</v>
      </c>
      <c r="AC39" s="1808">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2"/>
      <c r="Q40" s="1807">
        <f t="shared" si="14"/>
        <v>111</v>
      </c>
      <c r="R40" s="776" t="s">
        <v>17</v>
      </c>
      <c r="S40" s="777">
        <f t="shared" si="10"/>
        <v>100</v>
      </c>
      <c r="T40" s="776" t="s">
        <v>17</v>
      </c>
      <c r="U40" s="777">
        <f t="shared" si="11"/>
        <v>100</v>
      </c>
      <c r="V40" s="776" t="s">
        <v>17</v>
      </c>
      <c r="W40" s="777">
        <f t="shared" si="12"/>
        <v>100</v>
      </c>
      <c r="X40" s="778"/>
      <c r="Y40" s="3222"/>
      <c r="Z40" s="779">
        <f t="shared" si="13"/>
        <v>111</v>
      </c>
      <c r="AA40" s="1808">
        <f t="shared" si="3"/>
        <v>1</v>
      </c>
      <c r="AB40" s="1808">
        <f t="shared" si="4"/>
        <v>1</v>
      </c>
      <c r="AC40" s="1808">
        <f t="shared" si="5"/>
        <v>1</v>
      </c>
    </row>
    <row r="41" spans="1:29" ht="15">
      <c r="A41" s="478" t="s">
        <v>2717</v>
      </c>
      <c r="B41" s="2698" t="s">
        <v>2797</v>
      </c>
      <c r="C41" s="681" t="s">
        <v>1</v>
      </c>
      <c r="D41" s="480"/>
      <c r="E41" s="481"/>
      <c r="F41" s="482"/>
      <c r="G41" s="483"/>
      <c r="H41" s="484"/>
      <c r="I41" s="481"/>
      <c r="J41" s="484"/>
      <c r="K41" s="782"/>
      <c r="L41" s="1141"/>
      <c r="M41" s="1129"/>
      <c r="N41" s="1129"/>
      <c r="O41" s="1142"/>
      <c r="P41" s="3217" t="str">
        <f>A41</f>
        <v>成交单价</v>
      </c>
      <c r="Q41" s="3217"/>
      <c r="R41" s="3223">
        <f>E41</f>
        <v>0</v>
      </c>
      <c r="S41" s="3223"/>
      <c r="T41" s="3223">
        <f>G41</f>
        <v>0</v>
      </c>
      <c r="U41" s="3223"/>
      <c r="V41" s="3223">
        <f>I41</f>
        <v>0</v>
      </c>
      <c r="W41" s="3223"/>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1"/>
      <c r="M42" s="1129"/>
      <c r="N42" s="1129"/>
      <c r="O42" s="1142"/>
      <c r="P42" s="3217" t="str">
        <f>A42</f>
        <v>比较价值（元/平方米）</v>
      </c>
      <c r="Q42" s="3217"/>
      <c r="R42" s="3210" t="e">
        <f>ROUND(PRODUCT(R41,AA7:AA40),0)</f>
        <v>#DIV/0!</v>
      </c>
      <c r="S42" s="3210"/>
      <c r="T42" s="3210" t="e">
        <f>ROUND(PRODUCT(T41,AB7:AB40),0)</f>
        <v>#DIV/0!</v>
      </c>
      <c r="U42" s="3210"/>
      <c r="V42" s="3210" t="e">
        <f>ROUND(PRODUCT(V41,AC7:AC40),0)</f>
        <v>#DIV/0!</v>
      </c>
      <c r="W42" s="3210"/>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1"/>
      <c r="M43" s="1129"/>
      <c r="N43" s="1129"/>
      <c r="O43" s="1142"/>
      <c r="P43" s="3211" t="str">
        <f>A43</f>
        <v>估价对象XX用房的比较价值（楼面单价，元/平方米）</v>
      </c>
      <c r="Q43" s="3212"/>
      <c r="R43" s="3213" t="e">
        <f>ROUND(AVERAGE(R42:V42),0)</f>
        <v>#DIV/0!</v>
      </c>
      <c r="S43" s="3213"/>
      <c r="T43" s="3213"/>
      <c r="U43" s="3213"/>
      <c r="V43" s="3213"/>
      <c r="W43" s="3213"/>
      <c r="X43" s="758"/>
      <c r="Y43" s="758"/>
      <c r="Z43" s="758"/>
      <c r="AA43" s="758"/>
      <c r="AB43" s="758"/>
      <c r="AC43" s="758"/>
    </row>
    <row r="44" spans="1:29">
      <c r="A44" s="1142"/>
      <c r="B44" s="1142"/>
      <c r="C44" s="1142"/>
      <c r="D44" s="1142"/>
      <c r="E44" s="1142"/>
      <c r="F44" s="1142"/>
      <c r="G44" s="1145"/>
      <c r="H44" s="1142"/>
      <c r="I44" s="1142"/>
      <c r="J44" s="1142"/>
      <c r="K44" s="1104"/>
      <c r="L44" s="1105"/>
      <c r="M44" s="1129"/>
      <c r="N44" s="1129"/>
      <c r="O44" s="1142"/>
    </row>
    <row r="45" spans="1:29">
      <c r="A45" s="1142"/>
      <c r="B45" s="1142"/>
      <c r="C45" s="1142"/>
      <c r="D45" s="1142"/>
      <c r="E45" s="1142"/>
      <c r="F45" s="1142"/>
      <c r="G45" s="1142"/>
      <c r="H45" s="1142"/>
      <c r="I45" s="1142"/>
      <c r="J45" s="1142"/>
      <c r="K45" s="1104"/>
      <c r="L45" s="1105"/>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2755</v>
      </c>
      <c r="B50" s="684" t="s">
        <v>2756</v>
      </c>
      <c r="C50" s="2699" t="s">
        <v>2757</v>
      </c>
      <c r="D50" s="2700" t="s">
        <v>2758</v>
      </c>
      <c r="E50" s="685" t="s">
        <v>2759</v>
      </c>
      <c r="F50" s="686" t="s">
        <v>2760</v>
      </c>
      <c r="G50" s="3214" t="s">
        <v>2761</v>
      </c>
      <c r="H50" s="3215"/>
      <c r="I50" s="1811" t="s">
        <v>2798</v>
      </c>
      <c r="J50" s="1811" t="str">
        <f>项目基本情况!F35</f>
        <v>湖北省黄石市大冶市</v>
      </c>
      <c r="K50" s="2702" t="s">
        <v>2763</v>
      </c>
      <c r="L50" s="1105"/>
      <c r="M50" s="1142"/>
      <c r="N50" s="1142"/>
      <c r="O50" s="1142"/>
    </row>
    <row r="51" spans="1:17" s="691" customFormat="1">
      <c r="A51" s="687" t="s">
        <v>2764</v>
      </c>
      <c r="B51" s="688" t="e">
        <f>C43</f>
        <v>#DIV/0!</v>
      </c>
      <c r="C51" s="689">
        <v>1</v>
      </c>
      <c r="D51" s="1161">
        <v>1</v>
      </c>
      <c r="E51" s="689">
        <f>'数据-汇总表'!E8+'数据-汇总表'!E9</f>
        <v>424.2</v>
      </c>
      <c r="F51" s="690" t="e">
        <f t="shared" ref="F51:F60" si="15">ROUND(B51*E51/10000,0)</f>
        <v>#DIV/0!</v>
      </c>
      <c r="G51" s="3216"/>
      <c r="H51" s="3217"/>
      <c r="I51" s="941">
        <v>1</v>
      </c>
      <c r="J51" s="941">
        <v>1</v>
      </c>
      <c r="K51" s="1143"/>
      <c r="L51" s="940"/>
      <c r="M51" s="940"/>
      <c r="N51" s="940"/>
      <c r="O51" s="940"/>
    </row>
    <row r="52" spans="1:17" s="691" customFormat="1">
      <c r="A52" s="692" t="s">
        <v>2765</v>
      </c>
      <c r="B52" s="261" t="e">
        <f>ROUND($C$43*C52*D52,0)</f>
        <v>#DIV/0!</v>
      </c>
      <c r="C52" s="199">
        <f t="shared" ref="C52:C60" si="16">IF($C$50="北京市系数",I52,J52)</f>
        <v>0</v>
      </c>
      <c r="D52" s="1162">
        <v>0.25</v>
      </c>
      <c r="E52" s="693"/>
      <c r="F52" s="690" t="e">
        <f t="shared" si="15"/>
        <v>#DIV/0!</v>
      </c>
      <c r="G52" s="3218" t="s">
        <v>2766</v>
      </c>
      <c r="H52" s="1103">
        <f>项目基本情况!B37</f>
        <v>0</v>
      </c>
      <c r="I52" s="941">
        <f>SUMIF(修正!A45:A56,H52,修正!B45:B56)</f>
        <v>0</v>
      </c>
      <c r="J52" s="942"/>
      <c r="K52" s="1142"/>
      <c r="L52" s="940"/>
      <c r="M52" s="940"/>
      <c r="N52" s="940"/>
      <c r="O52" s="940"/>
    </row>
    <row r="53" spans="1:17" s="691" customFormat="1">
      <c r="A53" s="692" t="s">
        <v>2767</v>
      </c>
      <c r="B53" s="261" t="e">
        <f t="shared" ref="B53:B60" si="17">ROUND($C$43*C53*D53,0)</f>
        <v>#DIV/0!</v>
      </c>
      <c r="C53" s="199">
        <f t="shared" si="16"/>
        <v>0</v>
      </c>
      <c r="D53" s="1162">
        <v>0.25</v>
      </c>
      <c r="E53" s="693"/>
      <c r="F53" s="690" t="e">
        <f t="shared" si="15"/>
        <v>#DIV/0!</v>
      </c>
      <c r="G53" s="3218"/>
      <c r="H53" s="1103">
        <f>项目基本情况!B37</f>
        <v>0</v>
      </c>
      <c r="I53" s="941">
        <f>SUMIF(修正!A45:A56,H53,修正!C45:C56)</f>
        <v>0</v>
      </c>
      <c r="J53" s="942"/>
      <c r="K53" s="1143"/>
      <c r="L53" s="940"/>
      <c r="M53" s="940"/>
      <c r="N53" s="940"/>
      <c r="O53" s="940"/>
    </row>
    <row r="54" spans="1:17" s="691" customFormat="1">
      <c r="A54" s="692" t="s">
        <v>2768</v>
      </c>
      <c r="B54" s="261" t="e">
        <f t="shared" si="17"/>
        <v>#DIV/0!</v>
      </c>
      <c r="C54" s="199">
        <f t="shared" si="16"/>
        <v>0</v>
      </c>
      <c r="D54" s="1162">
        <v>0.25</v>
      </c>
      <c r="E54" s="693"/>
      <c r="F54" s="690" t="e">
        <f t="shared" si="15"/>
        <v>#DIV/0!</v>
      </c>
      <c r="G54" s="3218"/>
      <c r="H54" s="1103">
        <f>项目基本情况!B37</f>
        <v>0</v>
      </c>
      <c r="I54" s="941">
        <f>SUMIF(修正!A45:A56,H54,修正!D45:D56)</f>
        <v>0</v>
      </c>
      <c r="J54" s="942"/>
      <c r="K54" s="1142"/>
      <c r="L54" s="940"/>
      <c r="M54" s="940"/>
      <c r="N54" s="940"/>
      <c r="O54" s="940"/>
    </row>
    <row r="55" spans="1:17" s="691" customFormat="1">
      <c r="A55" s="692" t="s">
        <v>2769</v>
      </c>
      <c r="B55" s="261" t="e">
        <f t="shared" si="17"/>
        <v>#DIV/0!</v>
      </c>
      <c r="C55" s="199">
        <f t="shared" si="16"/>
        <v>0</v>
      </c>
      <c r="D55" s="1162">
        <v>0.25</v>
      </c>
      <c r="E55" s="693"/>
      <c r="F55" s="690" t="e">
        <f t="shared" si="15"/>
        <v>#DIV/0!</v>
      </c>
      <c r="G55" s="3218"/>
      <c r="H55" s="1103">
        <f>项目基本情况!B37</f>
        <v>0</v>
      </c>
      <c r="I55" s="941">
        <f>SUMIF(修正!A45:A56,H55,修正!E45:E56)</f>
        <v>0</v>
      </c>
      <c r="J55" s="942"/>
      <c r="K55" s="1143"/>
      <c r="L55" s="940"/>
      <c r="M55" s="940"/>
      <c r="N55" s="940"/>
      <c r="O55" s="940"/>
    </row>
    <row r="56" spans="1:17" s="691" customFormat="1">
      <c r="A56" s="692" t="s">
        <v>2770</v>
      </c>
      <c r="B56" s="261" t="e">
        <f t="shared" si="17"/>
        <v>#DIV/0!</v>
      </c>
      <c r="C56" s="199">
        <f t="shared" si="16"/>
        <v>0</v>
      </c>
      <c r="D56" s="1162">
        <v>0.25</v>
      </c>
      <c r="E56" s="260">
        <f>'数据-汇总表'!E11</f>
        <v>0</v>
      </c>
      <c r="F56" s="690" t="e">
        <f t="shared" si="15"/>
        <v>#DIV/0!</v>
      </c>
      <c r="G56" s="2703" t="s">
        <v>2771</v>
      </c>
      <c r="H56" s="1103">
        <f>项目基本情况!C37</f>
        <v>0</v>
      </c>
      <c r="I56" s="941">
        <f>SUMIF(修正!A45:A56,H56,修正!F45:F56)</f>
        <v>0</v>
      </c>
      <c r="J56" s="942"/>
      <c r="K56" s="1142"/>
      <c r="L56" s="940"/>
      <c r="M56" s="940"/>
      <c r="N56" s="940"/>
      <c r="O56" s="940"/>
    </row>
    <row r="57" spans="1:17" s="691" customFormat="1">
      <c r="A57" s="692" t="s">
        <v>2772</v>
      </c>
      <c r="B57" s="261" t="e">
        <f t="shared" si="17"/>
        <v>#DIV/0!</v>
      </c>
      <c r="C57" s="199">
        <f t="shared" si="16"/>
        <v>0</v>
      </c>
      <c r="D57" s="1162">
        <v>0.25</v>
      </c>
      <c r="E57" s="260">
        <f>'数据-汇总表'!E12</f>
        <v>0</v>
      </c>
      <c r="F57" s="690" t="e">
        <f t="shared" si="15"/>
        <v>#DIV/0!</v>
      </c>
      <c r="G57" s="1108" t="s">
        <v>2773</v>
      </c>
      <c r="H57" s="1103">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2774</v>
      </c>
      <c r="B58" s="261" t="e">
        <f t="shared" si="17"/>
        <v>#DIV/0!</v>
      </c>
      <c r="C58" s="199">
        <f t="shared" si="16"/>
        <v>0</v>
      </c>
      <c r="D58" s="1162">
        <v>0.25</v>
      </c>
      <c r="E58" s="260">
        <f>'数据-汇总表'!E13</f>
        <v>0</v>
      </c>
      <c r="F58" s="690" t="e">
        <f t="shared" si="15"/>
        <v>#DIV/0!</v>
      </c>
      <c r="G58" s="1108" t="s">
        <v>2775</v>
      </c>
      <c r="H58" s="1103">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2776</v>
      </c>
      <c r="B59" s="261" t="e">
        <f t="shared" si="17"/>
        <v>#DIV/0!</v>
      </c>
      <c r="C59" s="199">
        <f t="shared" si="16"/>
        <v>0</v>
      </c>
      <c r="D59" s="1162">
        <v>0.25</v>
      </c>
      <c r="E59" s="260">
        <f>'数据-汇总表'!E14</f>
        <v>0</v>
      </c>
      <c r="F59" s="690" t="e">
        <f t="shared" si="15"/>
        <v>#DIV/0!</v>
      </c>
      <c r="G59" s="2703" t="s">
        <v>2766</v>
      </c>
      <c r="H59" s="1103">
        <f>项目基本情况!B37</f>
        <v>0</v>
      </c>
      <c r="I59" s="941">
        <f>SUMIF(修正!A45:A56,H59,修正!H45:H56)</f>
        <v>0</v>
      </c>
      <c r="J59" s="942"/>
      <c r="K59" s="1143"/>
      <c r="L59" s="940"/>
      <c r="M59" s="940"/>
      <c r="N59" s="940"/>
      <c r="O59" s="940"/>
    </row>
    <row r="60" spans="1:17" s="691" customFormat="1" ht="15" thickBot="1">
      <c r="A60" s="692" t="s">
        <v>2777</v>
      </c>
      <c r="B60" s="261" t="e">
        <f t="shared" si="17"/>
        <v>#DIV/0!</v>
      </c>
      <c r="C60" s="199">
        <f t="shared" si="16"/>
        <v>0</v>
      </c>
      <c r="D60" s="1162">
        <v>0.25</v>
      </c>
      <c r="E60" s="260">
        <f>'数据-汇总表'!E15</f>
        <v>0</v>
      </c>
      <c r="F60" s="690" t="e">
        <f t="shared" si="15"/>
        <v>#DIV/0!</v>
      </c>
      <c r="G60" s="2704" t="s">
        <v>2771</v>
      </c>
      <c r="H60" s="1113">
        <f>项目基本情况!C37</f>
        <v>0</v>
      </c>
      <c r="I60" s="941">
        <f>SUMIF(修正!A45:A56,H60,修正!H45:H56)</f>
        <v>0</v>
      </c>
      <c r="J60" s="942"/>
      <c r="K60" s="1142"/>
      <c r="L60" s="940"/>
      <c r="M60" s="940"/>
      <c r="N60" s="940"/>
      <c r="O60" s="940"/>
    </row>
    <row r="61" spans="1:17" s="691" customFormat="1" ht="15" thickBot="1">
      <c r="A61" s="694" t="s">
        <v>2778</v>
      </c>
      <c r="B61" s="695" t="s">
        <v>28</v>
      </c>
      <c r="C61" s="695" t="s">
        <v>29</v>
      </c>
      <c r="D61" s="695" t="s">
        <v>1026</v>
      </c>
      <c r="E61" s="695">
        <f>IF(B41="楼面地价",SUM(E51:E60),'数据-汇总表'!D3)</f>
        <v>0</v>
      </c>
      <c r="F61" s="696" t="e">
        <f>IF(B41="楼面地价",SUM(F51:F60),ROUND(C43*E61/10000,0))</f>
        <v>#DIV/0!</v>
      </c>
      <c r="G61" s="1156"/>
      <c r="H61" s="1156"/>
      <c r="I61" s="1156"/>
      <c r="J61" s="1156"/>
      <c r="K61" s="1104"/>
      <c r="L61" s="940"/>
      <c r="M61" s="940"/>
      <c r="N61" s="940"/>
      <c r="O61" s="940"/>
    </row>
    <row r="62" spans="1:17">
      <c r="A62" s="1142"/>
      <c r="B62" s="1144"/>
      <c r="C62" s="1148"/>
      <c r="D62" s="1142"/>
      <c r="E62" s="1142"/>
      <c r="F62" s="1142"/>
      <c r="G62" s="1142"/>
      <c r="H62" s="1142"/>
      <c r="I62" s="1142"/>
      <c r="J62" s="1142"/>
      <c r="K62" s="1104"/>
      <c r="L62" s="1105"/>
      <c r="M62" s="1142"/>
      <c r="N62" s="1142"/>
      <c r="O62" s="1142"/>
    </row>
    <row r="63" spans="1:17">
      <c r="A63" s="1142"/>
      <c r="B63" s="1144"/>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2671</v>
      </c>
      <c r="B64" s="758"/>
      <c r="C64" s="763"/>
      <c r="D64" s="763"/>
      <c r="E64" s="763"/>
      <c r="F64" s="764"/>
      <c r="G64" s="764"/>
      <c r="H64" s="763"/>
      <c r="I64" s="763"/>
      <c r="J64" s="763"/>
      <c r="K64" s="765"/>
      <c r="L64" s="766"/>
      <c r="M64" s="763"/>
      <c r="N64" s="763"/>
      <c r="O64" s="1157"/>
      <c r="P64" s="502"/>
      <c r="Q64" s="503"/>
    </row>
    <row r="65" spans="1:17" s="507" customFormat="1" ht="15">
      <c r="A65" s="2705" t="s">
        <v>2779</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7" customFormat="1" ht="30.75" customHeight="1">
      <c r="A66" s="2710" t="s">
        <v>2799</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7" customFormat="1" ht="15.75" thickBot="1">
      <c r="A67" s="514" t="s">
        <v>2582</v>
      </c>
      <c r="B67" s="515"/>
      <c r="C67" s="516"/>
      <c r="D67" s="517"/>
      <c r="E67" s="517"/>
      <c r="F67" s="517"/>
      <c r="G67" s="517"/>
      <c r="H67" s="517"/>
      <c r="I67" s="517"/>
      <c r="J67" s="517"/>
      <c r="K67" s="517"/>
      <c r="L67" s="517"/>
      <c r="M67" s="518"/>
      <c r="N67" s="518"/>
      <c r="O67" s="519"/>
      <c r="P67" s="503"/>
      <c r="Q67" s="503"/>
    </row>
    <row r="68" spans="1:17" s="117" customFormat="1" ht="15">
      <c r="A68" s="520" t="s">
        <v>2547</v>
      </c>
      <c r="B68" s="509"/>
      <c r="C68" s="521" t="s">
        <v>2649</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2585</v>
      </c>
      <c r="B70" s="527" t="s">
        <v>2551</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2554</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2782</v>
      </c>
      <c r="C87" s="572" t="s">
        <v>2594</v>
      </c>
      <c r="D87" s="572" t="s">
        <v>2595</v>
      </c>
      <c r="E87" s="572" t="s">
        <v>2596</v>
      </c>
      <c r="F87" s="572" t="s">
        <v>2597</v>
      </c>
      <c r="G87" s="572" t="s">
        <v>2598</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2783</v>
      </c>
      <c r="C89" s="572" t="s">
        <v>2594</v>
      </c>
      <c r="D89" s="572" t="s">
        <v>2595</v>
      </c>
      <c r="E89" s="572" t="s">
        <v>2596</v>
      </c>
      <c r="F89" s="572" t="s">
        <v>2597</v>
      </c>
      <c r="G89" s="572" t="s">
        <v>2598</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2688</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2747</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2789</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0" customWidth="1"/>
    <col min="33" max="36" width="9.375" style="2782" customWidth="1"/>
    <col min="37" max="38" width="9.375" style="2714" customWidth="1"/>
    <col min="39" max="16384" width="12" style="2714"/>
  </cols>
  <sheetData>
    <row r="1" spans="1:36" ht="28.5">
      <c r="A1" s="239" t="s">
        <v>2801</v>
      </c>
      <c r="B1" s="240"/>
      <c r="C1" s="244" t="s">
        <v>2802</v>
      </c>
      <c r="D1" s="387">
        <f>SUM(D29:D30,D33:D39)</f>
        <v>0</v>
      </c>
      <c r="E1" s="2711"/>
      <c r="F1" s="2711"/>
      <c r="G1" s="2711"/>
      <c r="H1" s="2711"/>
      <c r="I1" s="2711"/>
      <c r="J1" s="2711"/>
      <c r="K1" s="1368"/>
      <c r="L1" s="2712" t="s">
        <v>2803</v>
      </c>
      <c r="M1" s="1079">
        <f>SUMPRODUCT((区片价!B5:B9=I2)*(区片价!C3:F3=E2)*(区片价!C5:F9))</f>
        <v>0</v>
      </c>
      <c r="N1" s="1082">
        <f>SUMPRODUCT((因素修正幅度!B5:B9=I2)*(因素修正幅度!C3:F3=E2)*(因素修正幅度!C5:F9))</f>
        <v>0</v>
      </c>
      <c r="O1" s="2713"/>
      <c r="P1" s="2713"/>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t="e">
        <f ca="1">C26</f>
        <v>#DIV/0!</v>
      </c>
      <c r="C2" s="2715" t="s">
        <v>2810</v>
      </c>
      <c r="D2" s="2716" t="s">
        <v>2811</v>
      </c>
      <c r="E2" s="2717" t="s">
        <v>1373</v>
      </c>
      <c r="F2" s="2716" t="s">
        <v>2812</v>
      </c>
      <c r="G2" s="2718">
        <f>IF(E2="商业",项目基本情况!B37,IF(E2="办公",项目基本情况!C37,IF(E2="住宅",项目基本情况!D37,项目基本情况!E37)))</f>
        <v>0</v>
      </c>
      <c r="H2" s="2716" t="s">
        <v>2813</v>
      </c>
      <c r="I2" s="2718">
        <f>IF(E2="商业",项目基本情况!B38,IF(E2="办公",项目基本情况!C38,IF(E2="住宅",项目基本情况!D38,项目基本情况!E38)))</f>
        <v>0</v>
      </c>
      <c r="J2" s="2719"/>
      <c r="K2" s="1368"/>
      <c r="L2" s="2720" t="s">
        <v>2814</v>
      </c>
      <c r="M2" s="1080">
        <f>SUMPRODUCT((区片价!B10:B28=I2)*(区片价!C3:F3=E2)*(区片价!C10:F28))</f>
        <v>0</v>
      </c>
      <c r="N2" s="1082">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 ca="1">ROUND($C$5*$C$18*$C$19*$C$20*S2*$C$24,0)</f>
        <v>#DIV/0!</v>
      </c>
      <c r="U2" s="1601"/>
      <c r="V2" s="1600" t="e">
        <f ca="1">ROUND(T2*U2/10000,0)</f>
        <v>#DIV/0!</v>
      </c>
      <c r="W2" s="1604"/>
      <c r="X2" s="1604"/>
      <c r="Y2" s="1604"/>
      <c r="Z2" s="1604"/>
      <c r="AA2" s="1604"/>
      <c r="AB2" s="1604"/>
      <c r="AC2" s="1605"/>
      <c r="AD2" s="1606"/>
      <c r="AE2" s="1606"/>
      <c r="AF2" s="1606"/>
      <c r="AG2" s="1606"/>
      <c r="AH2" s="1606"/>
      <c r="AI2" s="1606"/>
      <c r="AJ2" s="1607"/>
    </row>
    <row r="3" spans="1:36" ht="15.75">
      <c r="A3" s="246" t="s">
        <v>2815</v>
      </c>
      <c r="B3" s="247" t="e">
        <f ca="1">ROUND(B2*10000/D1,0)</f>
        <v>#DIV/0!</v>
      </c>
      <c r="C3" s="2715" t="s">
        <v>2816</v>
      </c>
      <c r="D3" s="2716" t="s">
        <v>2817</v>
      </c>
      <c r="E3" s="2721" t="s">
        <v>3078</v>
      </c>
      <c r="F3" s="2722" t="s">
        <v>3079</v>
      </c>
      <c r="G3" s="915">
        <f>IF(F3="宗地容积率",'数据-汇总表'!I4,IF(F3="估价对象容积率",'数据-汇总表'!I6,'数据-汇总表'!I7))</f>
        <v>0</v>
      </c>
      <c r="H3" s="197" t="s">
        <v>2818</v>
      </c>
      <c r="I3" s="943">
        <v>1</v>
      </c>
      <c r="J3" s="2719" t="s">
        <v>2819</v>
      </c>
      <c r="K3" s="1368"/>
      <c r="L3" s="2720" t="s">
        <v>2820</v>
      </c>
      <c r="M3" s="1080">
        <f>SUMPRODUCT((区片价!B29:B48=I2)*(区片价!C3:F3=E2)*(区片价!C29:F48))</f>
        <v>0</v>
      </c>
      <c r="N3" s="1082">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ca="1" si="0">ROUND($C$5*$C$18*$C$19*$C$20*S3*$C$24,0)</f>
        <v>#DIV/0!</v>
      </c>
      <c r="U3" s="1601"/>
      <c r="V3" s="1600" t="e">
        <f t="shared" ref="V3:V16" ca="1" si="1">ROUND(T3*U3/10000,0)</f>
        <v>#DIV/0!</v>
      </c>
      <c r="W3" s="1604"/>
      <c r="X3" s="1604"/>
      <c r="Y3" s="1604"/>
      <c r="Z3" s="1604"/>
      <c r="AA3" s="1604"/>
      <c r="AB3" s="1604"/>
      <c r="AC3" s="1605"/>
      <c r="AD3" s="1606"/>
      <c r="AE3" s="1606"/>
      <c r="AF3" s="1606"/>
      <c r="AG3" s="1606"/>
      <c r="AH3" s="1606"/>
      <c r="AI3" s="1606"/>
      <c r="AJ3" s="1607"/>
    </row>
    <row r="4" spans="1:36" ht="15.75">
      <c r="A4" s="3310"/>
      <c r="B4" s="3311"/>
      <c r="C4" s="3311"/>
      <c r="D4" s="3312"/>
      <c r="E4" s="3312"/>
      <c r="F4" s="3312"/>
      <c r="G4" s="3312"/>
      <c r="H4" s="3312"/>
      <c r="I4" s="3312"/>
      <c r="J4" s="3313"/>
      <c r="K4" s="1368"/>
      <c r="L4" s="2720" t="s">
        <v>2821</v>
      </c>
      <c r="M4" s="1080">
        <f>SUMPRODUCT((区片价!B49:B75=I2)*(区片价!C3:F3=E2)*(区片价!C49:F75))</f>
        <v>0</v>
      </c>
      <c r="N4" s="1082">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ca="1" si="0"/>
        <v>#DIV/0!</v>
      </c>
      <c r="U4" s="1601"/>
      <c r="V4" s="1600" t="e">
        <f t="shared" ca="1"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2822</v>
      </c>
      <c r="C5" s="916" t="e">
        <f>ROUND(IF(E2="商业",C6*C7+C16,(IF(E2="住宅",C6*C12+C16,C6+C16))),0)</f>
        <v>#DIV/0!</v>
      </c>
      <c r="D5" s="1784" t="e">
        <f>ROUND(C6+C16,0)</f>
        <v>#DIV/0!</v>
      </c>
      <c r="E5" s="1784"/>
      <c r="F5" s="2725"/>
      <c r="G5" s="2726"/>
      <c r="H5" s="2726"/>
      <c r="I5" s="2726"/>
      <c r="J5" s="2727"/>
      <c r="K5" s="2728"/>
      <c r="L5" s="2720" t="s">
        <v>2823</v>
      </c>
      <c r="M5" s="1080">
        <f>SUMPRODUCT((区片价!B76:B109=I2)*(区片价!C3:F3=E2)*(区片价!C76:F109))</f>
        <v>0</v>
      </c>
      <c r="N5" s="1082">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ca="1" si="0"/>
        <v>#DIV/0!</v>
      </c>
      <c r="U5" s="1601"/>
      <c r="V5" s="1600" t="e">
        <f t="shared" ca="1" si="1"/>
        <v>#DIV/0!</v>
      </c>
      <c r="W5" s="1604"/>
      <c r="X5" s="1604"/>
      <c r="Y5" s="1604"/>
      <c r="Z5" s="1604"/>
      <c r="AA5" s="1604"/>
      <c r="AB5" s="1604"/>
      <c r="AC5" s="2729"/>
      <c r="AD5" s="2730"/>
      <c r="AE5" s="2730"/>
      <c r="AF5" s="2730"/>
      <c r="AG5" s="2730"/>
      <c r="AH5" s="2730"/>
      <c r="AI5" s="2730"/>
      <c r="AJ5" s="2731"/>
    </row>
    <row r="6" spans="1:36" ht="15.75" thickBot="1">
      <c r="A6" s="2733" t="s">
        <v>2824</v>
      </c>
      <c r="B6" s="2734" t="s">
        <v>2825</v>
      </c>
      <c r="C6" s="917">
        <f>SUMIF(L1:L12,G2,M1:M12)</f>
        <v>0</v>
      </c>
      <c r="D6" s="2735" t="s">
        <v>2826</v>
      </c>
      <c r="E6" s="2736"/>
      <c r="F6" s="2736"/>
      <c r="G6" s="2737"/>
      <c r="H6" s="2737"/>
      <c r="I6" s="2737"/>
      <c r="J6" s="2738"/>
      <c r="K6" s="1839"/>
      <c r="L6" s="2720" t="s">
        <v>2827</v>
      </c>
      <c r="M6" s="1080">
        <f>SUMPRODUCT((区片价!B110:B157=I2)*(区片价!C3:F3=E2)*(区片价!C110:F157))</f>
        <v>0</v>
      </c>
      <c r="N6" s="1082">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ca="1" si="0"/>
        <v>#DIV/0!</v>
      </c>
      <c r="U6" s="1601"/>
      <c r="V6" s="1600" t="e">
        <f t="shared" ca="1" si="1"/>
        <v>#DIV/0!</v>
      </c>
      <c r="W6" s="1604"/>
      <c r="X6" s="1604"/>
      <c r="Y6" s="1604"/>
      <c r="Z6" s="1604"/>
      <c r="AA6" s="1604"/>
      <c r="AB6" s="1604"/>
      <c r="AC6" s="2729"/>
      <c r="AD6" s="2730"/>
      <c r="AE6" s="2730"/>
      <c r="AF6" s="2730"/>
      <c r="AG6" s="2730"/>
      <c r="AH6" s="2730"/>
      <c r="AI6" s="2730"/>
      <c r="AJ6" s="2731"/>
    </row>
    <row r="7" spans="1:36" ht="24">
      <c r="A7" s="3314">
        <f>IF(E2="商业",IF(C8="不临58条商业街","",2),"")</f>
        <v>2</v>
      </c>
      <c r="B7" s="2739" t="s">
        <v>2828</v>
      </c>
      <c r="C7" s="918" t="e">
        <f>IF(C8="不临58条商业街",1,ROUND(1+(1.6*E8+1.2*E9+0.8*E10+0.4*E11)*C9,4))</f>
        <v>#DIV/0!</v>
      </c>
      <c r="D7" s="2740" t="s">
        <v>2829</v>
      </c>
      <c r="E7" s="944"/>
      <c r="F7" s="2741"/>
      <c r="G7" s="2742"/>
      <c r="H7" s="2742"/>
      <c r="I7" s="2742"/>
      <c r="J7" s="2743"/>
      <c r="K7" s="1839"/>
      <c r="L7" s="2720" t="s">
        <v>2830</v>
      </c>
      <c r="M7" s="1080">
        <f>SUMPRODUCT((区片价!B158:B205=I2)*(区片价!C3:F3=E2)*(区片价!C158:F205))</f>
        <v>0</v>
      </c>
      <c r="N7" s="1082">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ca="1" si="0"/>
        <v>#DIV/0!</v>
      </c>
      <c r="U7" s="1601"/>
      <c r="V7" s="1600" t="e">
        <f t="shared" ca="1" si="1"/>
        <v>#DIV/0!</v>
      </c>
      <c r="W7" s="1813" t="s">
        <v>2831</v>
      </c>
      <c r="X7" s="1602">
        <f>G2</f>
        <v>0</v>
      </c>
      <c r="Y7" s="1602" t="s">
        <v>2832</v>
      </c>
      <c r="Z7" s="1603">
        <f>G3</f>
        <v>0</v>
      </c>
      <c r="AA7" s="1604"/>
      <c r="AB7" s="1604"/>
      <c r="AC7" s="1605"/>
      <c r="AD7" s="1606"/>
      <c r="AE7" s="1606"/>
      <c r="AF7" s="1606"/>
      <c r="AG7" s="1606"/>
      <c r="AH7" s="1606"/>
      <c r="AI7" s="1606"/>
      <c r="AJ7" s="1607"/>
    </row>
    <row r="8" spans="1:36" ht="15">
      <c r="A8" s="3315"/>
      <c r="B8" s="197" t="s">
        <v>2833</v>
      </c>
      <c r="C8" s="2744"/>
      <c r="D8" s="919" t="s">
        <v>139</v>
      </c>
      <c r="E8" s="920" t="e">
        <f>ROUND(C11/E7,4)</f>
        <v>#DIV/0!</v>
      </c>
      <c r="F8" s="2745" t="s">
        <v>2834</v>
      </c>
      <c r="G8" s="2746"/>
      <c r="H8" s="2746"/>
      <c r="I8" s="2746"/>
      <c r="J8" s="2747"/>
      <c r="K8" s="1368"/>
      <c r="L8" s="2720" t="s">
        <v>2835</v>
      </c>
      <c r="M8" s="1080">
        <f>SUMPRODUCT((区片价!B206:B244=I2)*(区片价!C3:F3=E2)*(区片价!C206:F244))</f>
        <v>0</v>
      </c>
      <c r="N8" s="1082">
        <f>SUMPRODUCT((因素修正幅度!B206:B244=I2)*(因素修正幅度!C3:F3=E2)*(因素修正幅度!C206:F244))</f>
        <v>0</v>
      </c>
      <c r="O8" s="1368"/>
      <c r="P8" s="1368"/>
      <c r="Q8" s="1368"/>
      <c r="R8" s="1600">
        <v>7</v>
      </c>
      <c r="S8" s="1601"/>
      <c r="T8" s="1600" t="e">
        <f t="shared" ca="1" si="0"/>
        <v>#DIV/0!</v>
      </c>
      <c r="U8" s="1601"/>
      <c r="V8" s="1600" t="e">
        <f t="shared" ca="1" si="1"/>
        <v>#DIV/0!</v>
      </c>
      <c r="W8" s="3307" t="s">
        <v>2836</v>
      </c>
      <c r="X8" s="3308"/>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315"/>
      <c r="B9" s="197" t="s">
        <v>2849</v>
      </c>
      <c r="C9" s="921">
        <f>SUMIF(修正!C59:C119,C8,修正!E59:E119)</f>
        <v>0</v>
      </c>
      <c r="D9" s="199" t="s">
        <v>140</v>
      </c>
      <c r="E9" s="199" t="e">
        <f>ROUND(C11/E7,4)</f>
        <v>#DIV/0!</v>
      </c>
      <c r="F9" s="2745" t="s">
        <v>2850</v>
      </c>
      <c r="G9" s="2746"/>
      <c r="H9" s="2746"/>
      <c r="I9" s="2746"/>
      <c r="J9" s="2747"/>
      <c r="K9" s="1368"/>
      <c r="L9" s="2720" t="s">
        <v>2851</v>
      </c>
      <c r="M9" s="1080">
        <f>SUMPRODUCT((区片价!B245:B289=I2)*(区片价!C3:F3=E2)*(区片价!C245:F289))</f>
        <v>0</v>
      </c>
      <c r="N9" s="1082">
        <f>SUMPRODUCT((因素修正幅度!B245:B289=I2)*(因素修正幅度!C3:F3=E2)*(因素修正幅度!C245:F289))</f>
        <v>0</v>
      </c>
      <c r="O9" s="1368"/>
      <c r="P9" s="1368"/>
      <c r="Q9" s="1368"/>
      <c r="R9" s="1600">
        <v>8</v>
      </c>
      <c r="S9" s="1601"/>
      <c r="T9" s="1600" t="e">
        <f t="shared" ca="1" si="0"/>
        <v>#DIV/0!</v>
      </c>
      <c r="U9" s="1601"/>
      <c r="V9" s="1600" t="e">
        <f t="shared" ca="1" si="1"/>
        <v>#DIV/0!</v>
      </c>
      <c r="W9" s="3309" t="s">
        <v>2852</v>
      </c>
      <c r="X9" s="1609" t="s">
        <v>2853</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5"/>
      <c r="B10" s="197" t="s">
        <v>2854</v>
      </c>
      <c r="C10" s="199">
        <f>SUMIF(修正!C59:C119,C8,修正!F59:F119)</f>
        <v>0</v>
      </c>
      <c r="D10" s="199" t="s">
        <v>141</v>
      </c>
      <c r="E10" s="199" t="e">
        <f>ROUND(C11/E7,4)</f>
        <v>#DIV/0!</v>
      </c>
      <c r="F10" s="2745" t="s">
        <v>2855</v>
      </c>
      <c r="G10" s="2746"/>
      <c r="H10" s="2746"/>
      <c r="I10" s="2746"/>
      <c r="J10" s="2747"/>
      <c r="K10" s="1368"/>
      <c r="L10" s="2720" t="s">
        <v>2856</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t="e">
        <f t="shared" ca="1" si="0"/>
        <v>#DIV/0!</v>
      </c>
      <c r="U10" s="1601"/>
      <c r="V10" s="1600" t="e">
        <f t="shared" ca="1" si="1"/>
        <v>#DIV/0!</v>
      </c>
      <c r="W10" s="330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5"/>
      <c r="B11" s="2748" t="s">
        <v>2857</v>
      </c>
      <c r="C11" s="922">
        <f>C10/4</f>
        <v>0</v>
      </c>
      <c r="D11" s="922" t="s">
        <v>142</v>
      </c>
      <c r="E11" s="922" t="e">
        <f>ROUND(C11/E7,4)</f>
        <v>#DIV/0!</v>
      </c>
      <c r="F11" s="2749" t="s">
        <v>2858</v>
      </c>
      <c r="G11" s="2750"/>
      <c r="H11" s="2750"/>
      <c r="I11" s="2750"/>
      <c r="J11" s="2751"/>
      <c r="K11" s="1368"/>
      <c r="L11" s="2720" t="s">
        <v>2859</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t="e">
        <f t="shared" ca="1" si="0"/>
        <v>#DIV/0!</v>
      </c>
      <c r="U11" s="1601"/>
      <c r="V11" s="1600" t="e">
        <f t="shared" ca="1" si="1"/>
        <v>#DIV/0!</v>
      </c>
      <c r="W11" s="3309" t="s">
        <v>2860</v>
      </c>
      <c r="X11" s="1612" t="s">
        <v>2861</v>
      </c>
      <c r="Y11" s="1613">
        <f>$G$3</f>
        <v>0</v>
      </c>
      <c r="Z11" s="1613">
        <f t="shared" ref="Z11:AJ11" si="3">$G$3</f>
        <v>0</v>
      </c>
      <c r="AA11" s="1613">
        <f t="shared" si="3"/>
        <v>0</v>
      </c>
      <c r="AB11" s="1613">
        <f t="shared" si="3"/>
        <v>0</v>
      </c>
      <c r="AC11" s="1613">
        <f t="shared" si="3"/>
        <v>0</v>
      </c>
      <c r="AD11" s="1613">
        <f t="shared" si="3"/>
        <v>0</v>
      </c>
      <c r="AE11" s="1613">
        <f t="shared" si="3"/>
        <v>0</v>
      </c>
      <c r="AF11" s="1613">
        <f t="shared" si="3"/>
        <v>0</v>
      </c>
      <c r="AG11" s="1613">
        <f t="shared" si="3"/>
        <v>0</v>
      </c>
      <c r="AH11" s="1613">
        <f t="shared" si="3"/>
        <v>0</v>
      </c>
      <c r="AI11" s="1613">
        <f t="shared" si="3"/>
        <v>0</v>
      </c>
      <c r="AJ11" s="1613">
        <f t="shared" si="3"/>
        <v>0</v>
      </c>
    </row>
    <row r="12" spans="1:36" ht="25.5" thickBot="1">
      <c r="A12" s="3314" t="s">
        <v>2862</v>
      </c>
      <c r="B12" s="2752" t="s">
        <v>2863</v>
      </c>
      <c r="C12" s="918">
        <f>ROUND(C15*D15*E15*F15*G15*H15*I15*J15,4)</f>
        <v>1</v>
      </c>
      <c r="D12" s="2753" t="s">
        <v>2864</v>
      </c>
      <c r="E12" s="2754"/>
      <c r="F12" s="2754"/>
      <c r="G12" s="2755"/>
      <c r="H12" s="2755"/>
      <c r="I12" s="2755"/>
      <c r="J12" s="2756"/>
      <c r="K12" s="1368"/>
      <c r="L12" s="2757" t="s">
        <v>2865</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t="e">
        <f t="shared" ca="1" si="0"/>
        <v>#DIV/0!</v>
      </c>
      <c r="U12" s="1601"/>
      <c r="V12" s="1600" t="e">
        <f t="shared" ca="1" si="1"/>
        <v>#DIV/0!</v>
      </c>
      <c r="W12" s="3309"/>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6"/>
      <c r="B13" s="2758" t="s">
        <v>2867</v>
      </c>
      <c r="C13" s="2759" t="s">
        <v>2868</v>
      </c>
      <c r="D13" s="1805" t="s">
        <v>2869</v>
      </c>
      <c r="E13" s="1805" t="s">
        <v>2870</v>
      </c>
      <c r="F13" s="30" t="s">
        <v>2871</v>
      </c>
      <c r="G13" s="2760" t="s">
        <v>2872</v>
      </c>
      <c r="H13" s="2760" t="s">
        <v>2872</v>
      </c>
      <c r="I13" s="2760" t="s">
        <v>2872</v>
      </c>
      <c r="J13" s="2761" t="s">
        <v>2872</v>
      </c>
      <c r="K13" s="1368"/>
      <c r="L13" s="1368"/>
      <c r="M13" s="1368"/>
      <c r="N13" s="1368"/>
      <c r="O13" s="1368"/>
      <c r="P13" s="1368"/>
      <c r="Q13" s="1368"/>
      <c r="R13" s="1600">
        <v>12</v>
      </c>
      <c r="S13" s="1601"/>
      <c r="T13" s="1600" t="e">
        <f t="shared" ca="1" si="0"/>
        <v>#DIV/0!</v>
      </c>
      <c r="U13" s="1601"/>
      <c r="V13" s="1600" t="e">
        <f t="shared" ca="1" si="1"/>
        <v>#DIV/0!</v>
      </c>
      <c r="W13" s="330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16"/>
      <c r="B14" s="2762"/>
      <c r="C14" s="2763"/>
      <c r="D14" s="2764"/>
      <c r="E14" s="2764"/>
      <c r="F14" s="2765"/>
      <c r="G14" s="2766" t="s">
        <v>2873</v>
      </c>
      <c r="H14" s="2767"/>
      <c r="I14" s="2768"/>
      <c r="J14" s="2769"/>
      <c r="K14" s="1368"/>
      <c r="L14" s="1368"/>
      <c r="M14" s="1368"/>
      <c r="N14" s="1368"/>
      <c r="O14" s="1368"/>
      <c r="P14" s="1368"/>
      <c r="Q14" s="1368"/>
      <c r="R14" s="1600">
        <v>13</v>
      </c>
      <c r="S14" s="1601"/>
      <c r="T14" s="1600" t="e">
        <f t="shared" ca="1" si="0"/>
        <v>#DIV/0!</v>
      </c>
      <c r="U14" s="1601"/>
      <c r="V14" s="1600" t="e">
        <f t="shared" ca="1" si="1"/>
        <v>#DIV/0!</v>
      </c>
      <c r="W14" s="1604"/>
      <c r="X14" s="1604"/>
      <c r="Y14" s="1604"/>
      <c r="Z14" s="1604"/>
      <c r="AA14" s="1604"/>
      <c r="AB14" s="1604"/>
      <c r="AC14" s="1605"/>
      <c r="AD14" s="1606"/>
      <c r="AE14" s="1606"/>
      <c r="AF14" s="1606"/>
      <c r="AG14" s="1606"/>
      <c r="AH14" s="1606"/>
      <c r="AI14" s="1606"/>
      <c r="AJ14" s="1607"/>
    </row>
    <row r="15" spans="1:36" ht="15.75" thickBot="1">
      <c r="A15" s="3317"/>
      <c r="B15" s="2770" t="s">
        <v>2874</v>
      </c>
      <c r="C15" s="228">
        <f>IF(C14="有",1.1,1)</f>
        <v>1</v>
      </c>
      <c r="D15" s="228">
        <f>IF(D14="有",1.1,1)</f>
        <v>1</v>
      </c>
      <c r="E15" s="228">
        <f>IF(E14="有",1.1,1)</f>
        <v>1</v>
      </c>
      <c r="F15" s="228">
        <f>IF(F14="500米范围内",1.2,IF(F14="500-1000米",1.1,1))</f>
        <v>1</v>
      </c>
      <c r="G15" s="945">
        <v>1</v>
      </c>
      <c r="H15" s="945">
        <v>1</v>
      </c>
      <c r="I15" s="945">
        <v>1</v>
      </c>
      <c r="J15" s="946">
        <v>1</v>
      </c>
      <c r="K15" s="1368"/>
      <c r="Q15" s="1368"/>
      <c r="R15" s="1600">
        <v>14</v>
      </c>
      <c r="S15" s="1601"/>
      <c r="T15" s="1600" t="e">
        <f t="shared" ca="1" si="0"/>
        <v>#DIV/0!</v>
      </c>
      <c r="U15" s="1601"/>
      <c r="V15" s="1600" t="e">
        <f t="shared" ca="1" si="1"/>
        <v>#DIV/0!</v>
      </c>
      <c r="W15" s="1604"/>
      <c r="X15" s="1604"/>
      <c r="Y15" s="1604"/>
      <c r="Z15" s="1604"/>
      <c r="AA15" s="1604"/>
      <c r="AB15" s="1604"/>
      <c r="AC15" s="1605"/>
      <c r="AD15" s="1606"/>
      <c r="AE15" s="1606"/>
      <c r="AF15" s="1606"/>
      <c r="AG15" s="1606"/>
      <c r="AH15" s="1606"/>
      <c r="AI15" s="1606"/>
      <c r="AJ15" s="1607"/>
    </row>
    <row r="16" spans="1:36" ht="24.6" customHeight="1">
      <c r="A16" s="3314" t="s">
        <v>2879</v>
      </c>
      <c r="B16" s="2739" t="s">
        <v>2880</v>
      </c>
      <c r="C16" s="2926" t="e">
        <f>ROUND(IF(F17="与级别开发程度一致",0,(G17-E17)/C17),0)</f>
        <v>#DIV/0!</v>
      </c>
      <c r="D16" s="3328" t="s">
        <v>2884</v>
      </c>
      <c r="E16" s="3329"/>
      <c r="F16" s="3328" t="s">
        <v>2881</v>
      </c>
      <c r="G16" s="3329"/>
      <c r="H16" s="2773"/>
      <c r="I16" s="2773"/>
      <c r="J16" s="2930"/>
      <c r="K16" s="2773"/>
      <c r="L16" s="2773"/>
      <c r="M16" s="2773"/>
      <c r="N16" s="2773"/>
      <c r="O16" s="2774"/>
      <c r="Q16" s="1368"/>
      <c r="R16" s="1600">
        <v>15</v>
      </c>
      <c r="S16" s="1601"/>
      <c r="T16" s="1600" t="e">
        <f t="shared" ca="1" si="0"/>
        <v>#DIV/0!</v>
      </c>
      <c r="U16" s="1601"/>
      <c r="V16" s="1600" t="e">
        <f t="shared" ca="1" si="1"/>
        <v>#DIV/0!</v>
      </c>
      <c r="W16" s="1604"/>
      <c r="X16" s="1604"/>
      <c r="Y16" s="1604"/>
      <c r="Z16" s="1604"/>
      <c r="AA16" s="1604"/>
      <c r="AB16" s="1604"/>
      <c r="AC16" s="1605"/>
      <c r="AD16" s="1606"/>
      <c r="AE16" s="1606"/>
      <c r="AF16" s="1606"/>
      <c r="AG16" s="1606"/>
      <c r="AH16" s="1606"/>
      <c r="AI16" s="1606"/>
      <c r="AJ16" s="1607"/>
    </row>
    <row r="17" spans="1:37" ht="13.5" thickBot="1">
      <c r="A17" s="3318"/>
      <c r="B17" s="2937" t="s">
        <v>2883</v>
      </c>
      <c r="C17" s="2938">
        <f>SUMPRODUCT((修正!A2:A5=E2)*(修正!B1:M1=G2)*(修正!B2:M5))</f>
        <v>0</v>
      </c>
      <c r="D17" s="228"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8"/>
      <c r="R17" s="1368"/>
      <c r="S17" s="1368"/>
      <c r="T17" s="1368"/>
      <c r="U17" s="1368"/>
      <c r="V17" s="1368"/>
      <c r="W17" s="1368"/>
      <c r="X17" s="1368"/>
      <c r="Y17" s="1368"/>
      <c r="Z17" s="1369"/>
      <c r="AE17" s="2777"/>
      <c r="AF17" s="2777"/>
      <c r="AG17" s="2714"/>
      <c r="AH17" s="2714"/>
      <c r="AI17" s="2714"/>
      <c r="AJ17" s="2714"/>
    </row>
    <row r="18" spans="1:37" s="2732" customFormat="1" ht="15.75" thickBot="1">
      <c r="A18" s="2931" t="s">
        <v>808</v>
      </c>
      <c r="B18" s="2932" t="s">
        <v>2886</v>
      </c>
      <c r="C18" s="2933">
        <f>SUMIF(修正!C18:C39,E3,修正!E18:E39)</f>
        <v>1</v>
      </c>
      <c r="D18" s="2934"/>
      <c r="E18" s="2935"/>
      <c r="F18" s="2935"/>
      <c r="G18" s="2935"/>
      <c r="H18" s="2935"/>
      <c r="I18" s="2935"/>
      <c r="J18" s="2936"/>
      <c r="K18" s="1375"/>
      <c r="O18" s="1373"/>
      <c r="P18" s="1373"/>
      <c r="Q18" s="1374"/>
      <c r="R18" s="1374"/>
      <c r="S18" s="1374"/>
      <c r="T18" s="1369"/>
      <c r="U18" s="1369"/>
      <c r="V18" s="1369"/>
      <c r="W18" s="1368"/>
      <c r="X18" s="1368"/>
      <c r="Y18" s="1368"/>
      <c r="Z18" s="1375"/>
      <c r="AA18" s="1376"/>
      <c r="AB18" s="1376"/>
      <c r="AC18" s="1376"/>
      <c r="AD18" s="1376"/>
      <c r="AE18" s="1370"/>
      <c r="AF18" s="1370"/>
      <c r="AG18" s="2782"/>
      <c r="AH18" s="2782"/>
      <c r="AI18" s="2782"/>
    </row>
    <row r="19" spans="1:37" s="2732" customFormat="1" ht="27.75" thickBot="1">
      <c r="A19" s="2778" t="s">
        <v>809</v>
      </c>
      <c r="B19" s="2779" t="s">
        <v>2887</v>
      </c>
      <c r="C19" s="923">
        <f>ROUND(IF(H19="按公示增长率计算",SUMPRODUCT((地价!A3:A27=YEAR(G19)&amp;"-"&amp;ROUNDUP(MONTH(G19)/3,0))*(地价!X2:AB2=E2)*(地价!X3:AB27)),IF(H19="地价指数",M20/M19,(1+I19)^O19)),4)</f>
        <v>1.3566</v>
      </c>
      <c r="D19" s="2783" t="s">
        <v>2888</v>
      </c>
      <c r="E19" s="924">
        <v>41640</v>
      </c>
      <c r="F19" s="2783" t="s">
        <v>2889</v>
      </c>
      <c r="G19" s="925">
        <f>'数据-取费表'!B2</f>
        <v>43676</v>
      </c>
      <c r="H19" s="2784" t="s">
        <v>3081</v>
      </c>
      <c r="I19" s="926" t="str">
        <f>IF(H19="季度增幅（自定义）",SUMIF(N21:N24,E2,O21:O24),"")</f>
        <v/>
      </c>
      <c r="J19" s="2781"/>
      <c r="K19" s="1375"/>
      <c r="L19" s="2785" t="s">
        <v>2890</v>
      </c>
      <c r="M19" s="1732">
        <f>ROUND(SUMIF(地价!B2:F2,E2,地价!B27:F27),0)</f>
        <v>258</v>
      </c>
      <c r="N19" s="2786" t="s">
        <v>2891</v>
      </c>
      <c r="O19" s="927">
        <f>ROUNDDOWN(DATEDIF(E19,G19,"M")/3,0)</f>
        <v>22</v>
      </c>
      <c r="P19" s="1372"/>
      <c r="Q19" s="1374"/>
      <c r="R19" s="1374"/>
      <c r="S19" s="1374"/>
      <c r="T19" s="1369"/>
      <c r="U19" s="1369"/>
      <c r="V19" s="1369"/>
      <c r="W19" s="1368"/>
      <c r="X19" s="1368"/>
      <c r="Y19" s="1368"/>
      <c r="Z19" s="1375"/>
      <c r="AA19" s="1376"/>
      <c r="AB19" s="1376"/>
      <c r="AC19" s="1376"/>
      <c r="AD19" s="1376"/>
      <c r="AE19" s="1376"/>
      <c r="AF19" s="2787"/>
      <c r="AG19" s="2788"/>
      <c r="AH19" s="2782"/>
      <c r="AI19" s="2789"/>
      <c r="AJ19" s="2789"/>
      <c r="AK19" s="2789"/>
    </row>
    <row r="20" spans="1:37" s="2732" customFormat="1" ht="27.75" thickBot="1">
      <c r="A20" s="2790" t="s">
        <v>810</v>
      </c>
      <c r="B20" s="2791" t="s">
        <v>2892</v>
      </c>
      <c r="C20" s="928">
        <f ca="1">ROUND(POWER(1+G20,J20-I20)*(POWER(1+G20,I20)-1)/(POWER(1+G20,J20)-1),4)</f>
        <v>1</v>
      </c>
      <c r="D20" s="2792" t="s">
        <v>2893</v>
      </c>
      <c r="E20" s="1766">
        <f ca="1">存贷款利率!D4/100</f>
        <v>4.3499999999999997E-2</v>
      </c>
      <c r="F20" s="2792" t="s">
        <v>2885</v>
      </c>
      <c r="G20" s="933">
        <f ca="1">SUMIF(M26:P26,E2,M28:P28)</f>
        <v>5.3999999999999999E-2</v>
      </c>
      <c r="H20" s="2792" t="s">
        <v>2894</v>
      </c>
      <c r="I20" s="934">
        <f>SUMIF('数据-取费表'!C6:C15,E2,'数据-取费表'!F6:F15)/COUNTIF('数据-取费表'!C6:C15,E2)</f>
        <v>40</v>
      </c>
      <c r="J20" s="935">
        <f>IF(E2="住宅",70,IF(E2="商业",40,50))</f>
        <v>40</v>
      </c>
      <c r="K20" s="1375"/>
      <c r="L20" s="2793" t="s">
        <v>2895</v>
      </c>
      <c r="M20" s="1733">
        <f>ROUND(SUMPRODUCT((地价!A4:A27=YEAR(G19)&amp;"-"&amp;ROUNDUP(MONTH(G19)/3,0))*(地价!B2:F2=E2)*(地价!B4:F27)),0)</f>
        <v>350</v>
      </c>
      <c r="N20" s="2794" t="s">
        <v>2896</v>
      </c>
      <c r="O20" s="2795" t="s">
        <v>2897</v>
      </c>
      <c r="P20" s="2796" t="s">
        <v>2898</v>
      </c>
      <c r="R20" s="1374"/>
      <c r="S20" s="1374"/>
      <c r="T20" s="1369"/>
      <c r="U20" s="1369"/>
      <c r="V20" s="1369"/>
      <c r="W20" s="1368"/>
      <c r="X20" s="1368"/>
      <c r="Y20" s="1368"/>
      <c r="Z20" s="1375"/>
      <c r="AA20" s="1376"/>
      <c r="AB20" s="1376"/>
      <c r="AC20" s="1376"/>
      <c r="AD20" s="1376"/>
      <c r="AE20" s="1376"/>
      <c r="AF20" s="1376"/>
    </row>
    <row r="21" spans="1:37" s="2732" customFormat="1" ht="15">
      <c r="A21" s="2797" t="s">
        <v>811</v>
      </c>
      <c r="B21" s="2798" t="s">
        <v>3080</v>
      </c>
      <c r="C21" s="936" t="e">
        <f>IF(B21="容积率修正",IF(G3&lt;=10,D22,J22),C23)</f>
        <v>#DIV/0!</v>
      </c>
      <c r="D21" s="2799"/>
      <c r="E21" s="2799"/>
      <c r="F21" s="2799"/>
      <c r="G21" s="2799"/>
      <c r="H21" s="2799"/>
      <c r="I21" s="2799"/>
      <c r="J21" s="2800"/>
      <c r="K21" s="1375"/>
      <c r="N21" s="2801" t="s">
        <v>2899</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2" customFormat="1" ht="14.25">
      <c r="A22" s="2658" t="s">
        <v>2900</v>
      </c>
      <c r="B22" s="2802" t="s">
        <v>2901</v>
      </c>
      <c r="C22" s="1807" t="s">
        <v>2902</v>
      </c>
      <c r="D22" s="1807">
        <f>IF(E22=G22,F22,IF(G3&lt;=10,ROUND(F22+(H22-F22)*(G3-E22)/(G22-E22),4),"——"))</f>
        <v>0</v>
      </c>
      <c r="E22" s="915">
        <f>ROUNDDOWN(G3,1)</f>
        <v>0</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1" t="s">
        <v>2903</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8" t="s">
        <v>2904</v>
      </c>
      <c r="B23" s="2803" t="s">
        <v>2905</v>
      </c>
      <c r="C23" s="1012" t="e">
        <f>ROUND(IF(G3&gt;1,IF(I3&lt;7,SUMPRODUCT((B93:B98=I3)*(C92:N92=G2)*(C93:N98)),SUMIF(C92:N92,G2,C100:N100)),IF(I3&lt;7,SUMPRODUCT((B102:B107=I3)*(C92:N92=G2)*(C102:N107)),SUMIF(C92:N92,G2,C109:N109))),4)</f>
        <v>#DIV/0!</v>
      </c>
      <c r="D23" s="2767"/>
      <c r="E23" s="2767"/>
      <c r="F23" s="2804"/>
      <c r="G23" s="2805"/>
      <c r="H23" s="2806"/>
      <c r="I23" s="2807"/>
      <c r="J23" s="2808"/>
      <c r="K23" s="1368"/>
      <c r="N23" s="2801" t="s">
        <v>2906</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2"/>
    </row>
    <row r="24" spans="1:37" s="2732" customFormat="1" ht="15.75" thickBot="1">
      <c r="A24" s="2790" t="s">
        <v>812</v>
      </c>
      <c r="B24" s="2779" t="s">
        <v>2907</v>
      </c>
      <c r="C24" s="923">
        <f>SUMIF(A45:A88,E2,B45:B88)</f>
        <v>1</v>
      </c>
      <c r="D24" s="2780"/>
      <c r="E24" s="2809"/>
      <c r="F24" s="2809"/>
      <c r="G24" s="2809"/>
      <c r="H24" s="2809"/>
      <c r="I24" s="2809"/>
      <c r="J24" s="2810"/>
      <c r="K24" s="1375"/>
      <c r="N24" s="2811" t="s">
        <v>2908</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0" t="s">
        <v>813</v>
      </c>
      <c r="B25" s="2812" t="s">
        <v>2909</v>
      </c>
      <c r="C25" s="929"/>
      <c r="D25" s="2742"/>
      <c r="E25" s="2742"/>
      <c r="F25" s="2813"/>
      <c r="G25" s="2742"/>
      <c r="H25" s="2742"/>
      <c r="I25" s="2742"/>
      <c r="J25" s="2743"/>
      <c r="K25" s="1368"/>
      <c r="N25" s="2814" t="s">
        <v>2910</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5"/>
      <c r="B26" s="2802" t="s">
        <v>2911</v>
      </c>
      <c r="C26" s="205" t="e">
        <f ca="1">E29+SUM(E33:E39)</f>
        <v>#DIV/0!</v>
      </c>
      <c r="D26" s="2816"/>
      <c r="E26" s="2767"/>
      <c r="F26" s="2817"/>
      <c r="G26" s="2767"/>
      <c r="H26" s="2767"/>
      <c r="I26" s="2767"/>
      <c r="J26" s="2818"/>
      <c r="K26" s="1368"/>
      <c r="L26" s="2771" t="s">
        <v>2811</v>
      </c>
      <c r="M26" s="919" t="s">
        <v>2875</v>
      </c>
      <c r="N26" s="919" t="s">
        <v>2876</v>
      </c>
      <c r="O26" s="919" t="s">
        <v>2877</v>
      </c>
      <c r="P26" s="2772" t="s">
        <v>2878</v>
      </c>
      <c r="R26" s="1374"/>
      <c r="S26" s="1374"/>
      <c r="T26" s="1369"/>
      <c r="U26" s="1369"/>
      <c r="V26" s="1369"/>
      <c r="W26" s="1368"/>
      <c r="X26" s="1368"/>
      <c r="Y26" s="1368"/>
      <c r="Z26" s="1375"/>
      <c r="AA26" s="1376"/>
      <c r="AB26" s="1376"/>
      <c r="AC26" s="1376"/>
      <c r="AD26" s="1376"/>
    </row>
    <row r="27" spans="1:37" ht="15.75" thickBot="1">
      <c r="A27" s="2815"/>
      <c r="B27" s="2819" t="s">
        <v>2912</v>
      </c>
      <c r="C27" s="930" t="e">
        <f ca="1">E30+SUM(I33:I39)</f>
        <v>#DIV/0!</v>
      </c>
      <c r="D27" s="2820"/>
      <c r="E27" s="2821"/>
      <c r="F27" s="2822"/>
      <c r="G27" s="2821"/>
      <c r="H27" s="2821"/>
      <c r="I27" s="2821"/>
      <c r="J27" s="2823"/>
      <c r="K27" s="1368"/>
      <c r="L27" s="2775" t="s">
        <v>2882</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4"/>
      <c r="B28" s="2825" t="s">
        <v>2913</v>
      </c>
      <c r="C28" s="2826" t="s">
        <v>2914</v>
      </c>
      <c r="D28" s="2826" t="s">
        <v>2915</v>
      </c>
      <c r="E28" s="2827" t="s">
        <v>2916</v>
      </c>
      <c r="F28" s="2828"/>
      <c r="G28" s="2755"/>
      <c r="H28" s="2755"/>
      <c r="I28" s="2755"/>
      <c r="J28" s="2756"/>
      <c r="K28" s="1368"/>
      <c r="L28" s="2776" t="s">
        <v>2885</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9"/>
      <c r="B29" s="2830" t="s">
        <v>2917</v>
      </c>
      <c r="C29" s="205" t="e">
        <f ca="1">ROUND(C5*C18*C19*C20*C21*C24,0)</f>
        <v>#DIV/0!</v>
      </c>
      <c r="D29" s="2831"/>
      <c r="E29" s="941" t="e">
        <f ca="1">ROUND(C29*D29/10000,0)</f>
        <v>#DIV/0!</v>
      </c>
      <c r="F29" s="2832" t="s">
        <v>2918</v>
      </c>
      <c r="G29" s="2833"/>
      <c r="H29" s="2833"/>
      <c r="I29" s="2833"/>
      <c r="J29" s="2834"/>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14"/>
      <c r="AH29" s="2714"/>
      <c r="AI29" s="2714"/>
      <c r="AJ29" s="2714"/>
    </row>
    <row r="30" spans="1:37" ht="25.5" thickBot="1">
      <c r="A30" s="2835"/>
      <c r="B30" s="2836" t="s">
        <v>2919</v>
      </c>
      <c r="C30" s="228" t="e">
        <f ca="1">ROUND(IF(E2="工业",C29*M39,C29*M38),0)</f>
        <v>#DIV/0!</v>
      </c>
      <c r="D30" s="2837"/>
      <c r="E30" s="941" t="e">
        <f ca="1">ROUND(C30*D30/10000,0)</f>
        <v>#DIV/0!</v>
      </c>
      <c r="F30" s="2838" t="s">
        <v>2920</v>
      </c>
      <c r="G30" s="2839"/>
      <c r="H30" s="2839"/>
      <c r="I30" s="2839"/>
      <c r="J30" s="2840"/>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14"/>
      <c r="AH30" s="2714"/>
      <c r="AI30" s="2714"/>
      <c r="AJ30" s="2714"/>
    </row>
    <row r="31" spans="1:37" ht="14.25">
      <c r="A31" s="2841"/>
      <c r="B31" s="2842" t="s">
        <v>2921</v>
      </c>
      <c r="C31" s="2843" t="s">
        <v>2922</v>
      </c>
      <c r="D31" s="2755"/>
      <c r="E31" s="2843"/>
      <c r="F31" s="2843"/>
      <c r="G31" s="2753" t="s">
        <v>2923</v>
      </c>
      <c r="H31" s="2755"/>
      <c r="I31" s="2844"/>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14"/>
      <c r="AH31" s="2714"/>
      <c r="AI31" s="2714"/>
      <c r="AJ31" s="2714"/>
    </row>
    <row r="32" spans="1:37" ht="24">
      <c r="A32" s="2829"/>
      <c r="B32" s="2845"/>
      <c r="C32" s="500" t="s">
        <v>2914</v>
      </c>
      <c r="D32" s="497" t="s">
        <v>2915</v>
      </c>
      <c r="E32" s="497" t="s">
        <v>2916</v>
      </c>
      <c r="F32" s="387" t="s">
        <v>2924</v>
      </c>
      <c r="G32" s="2846" t="s">
        <v>2914</v>
      </c>
      <c r="H32" s="2846" t="s">
        <v>2915</v>
      </c>
      <c r="I32" s="2846"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14"/>
      <c r="AH32" s="2714"/>
      <c r="AI32" s="2714"/>
      <c r="AJ32" s="2714"/>
    </row>
    <row r="33" spans="1:37" ht="36" customHeight="1">
      <c r="A33" s="3325" t="s">
        <v>2925</v>
      </c>
      <c r="B33" s="2847" t="s">
        <v>2926</v>
      </c>
      <c r="C33" s="205" t="e">
        <f ca="1">ROUND(D5*C19*C20*C24*F33,0)</f>
        <v>#DIV/0!</v>
      </c>
      <c r="D33" s="2831"/>
      <c r="E33" s="199" t="e">
        <f ca="1">ROUND(C33*D33/10000,0)</f>
        <v>#DIV/0!</v>
      </c>
      <c r="F33" s="199">
        <f>SUMIF(修正!A45:A56,G2,修正!B45:B56)</f>
        <v>0</v>
      </c>
      <c r="G33" s="199" t="e">
        <f t="shared" ref="G33" ca="1" si="6">ROUND(IF(E2="工业",C33*$M$39,C33*$M$38),0)</f>
        <v>#DIV/0!</v>
      </c>
      <c r="H33" s="199">
        <f>D33</f>
        <v>0</v>
      </c>
      <c r="I33" s="199" t="e">
        <f ca="1">ROUND(G33*H33/10000,0)</f>
        <v>#DIV/0!</v>
      </c>
      <c r="J33" s="284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26"/>
      <c r="B34" s="2759" t="s">
        <v>2927</v>
      </c>
      <c r="C34" s="205" t="e">
        <f ca="1">ROUND(D5*C19*C20*C24*F34,0)</f>
        <v>#DIV/0!</v>
      </c>
      <c r="D34" s="2831"/>
      <c r="E34" s="199" t="e">
        <f t="shared" ref="E34:E39" ca="1" si="7">ROUND(C34*D34/10000,0)</f>
        <v>#DIV/0!</v>
      </c>
      <c r="F34" s="199">
        <f>SUMIF(修正!A45:A56,G2,修正!C45:C56)</f>
        <v>0</v>
      </c>
      <c r="G34" s="199" t="e">
        <f ca="1">ROUND(IF(E2="工业",C34*$M$39,C34*$M$38),0)</f>
        <v>#DIV/0!</v>
      </c>
      <c r="H34" s="199">
        <f t="shared" ref="H34:H39" si="8">D34</f>
        <v>0</v>
      </c>
      <c r="I34" s="199" t="e">
        <f t="shared" ref="I34:I39" ca="1" si="9">ROUND(G34*H34/10000,0)</f>
        <v>#DIV/0!</v>
      </c>
      <c r="J34" s="284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26"/>
      <c r="B35" s="2759" t="s">
        <v>2928</v>
      </c>
      <c r="C35" s="205" t="e">
        <f ca="1">ROUND(D5*C19*C20*C24*F35,0)</f>
        <v>#DIV/0!</v>
      </c>
      <c r="D35" s="2831"/>
      <c r="E35" s="199" t="e">
        <f t="shared" ca="1" si="7"/>
        <v>#DIV/0!</v>
      </c>
      <c r="F35" s="199">
        <f>SUMIF(修正!A45:A56,G2,修正!D45:D56)</f>
        <v>0</v>
      </c>
      <c r="G35" s="199" t="e">
        <f ca="1">ROUND(IF(E2="工业",C35*$M$39,C35*$M$38),0)</f>
        <v>#DIV/0!</v>
      </c>
      <c r="H35" s="199">
        <f t="shared" si="8"/>
        <v>0</v>
      </c>
      <c r="I35" s="199" t="e">
        <f t="shared" ca="1" si="9"/>
        <v>#DIV/0!</v>
      </c>
      <c r="J35" s="2848"/>
      <c r="K35" s="1368"/>
      <c r="L35" s="1368"/>
      <c r="M35" s="1368"/>
      <c r="N35" s="1368"/>
      <c r="O35" s="1368"/>
      <c r="P35" s="1368"/>
      <c r="Q35" s="1368"/>
      <c r="R35" s="1368"/>
      <c r="S35" s="1368"/>
      <c r="T35" s="1368"/>
      <c r="U35" s="1368"/>
      <c r="V35" s="1368"/>
      <c r="W35" s="1368"/>
      <c r="X35" s="1368"/>
      <c r="Y35" s="1368"/>
      <c r="Z35" s="1369"/>
    </row>
    <row r="36" spans="1:37" ht="13.5" thickBot="1">
      <c r="A36" s="3327"/>
      <c r="B36" s="2759" t="s">
        <v>2929</v>
      </c>
      <c r="C36" s="205" t="e">
        <f ca="1">ROUND(D5*C19*C20*C24*F36,0)</f>
        <v>#DIV/0!</v>
      </c>
      <c r="D36" s="2831"/>
      <c r="E36" s="199" t="e">
        <f t="shared" ca="1" si="7"/>
        <v>#DIV/0!</v>
      </c>
      <c r="F36" s="199">
        <f>SUMIF(修正!A45:A56,G2,修正!E45:E56)</f>
        <v>0</v>
      </c>
      <c r="G36" s="199" t="e">
        <f ca="1">ROUND(IF(E2="工业",C36*$M$39,C36*$M$38),0)</f>
        <v>#DIV/0!</v>
      </c>
      <c r="H36" s="199">
        <f t="shared" si="8"/>
        <v>0</v>
      </c>
      <c r="I36" s="199" t="e">
        <f t="shared" ca="1" si="9"/>
        <v>#DIV/0!</v>
      </c>
      <c r="J36" s="2848"/>
      <c r="K36" s="1368"/>
      <c r="L36" s="2713"/>
      <c r="M36" s="2713"/>
      <c r="N36" s="1368"/>
      <c r="O36" s="1368"/>
      <c r="P36" s="1368"/>
      <c r="Q36" s="1368"/>
      <c r="R36" s="1368"/>
      <c r="S36" s="1368"/>
      <c r="T36" s="1368"/>
      <c r="U36" s="1368"/>
      <c r="V36" s="1368"/>
      <c r="W36" s="1368"/>
      <c r="X36" s="1368"/>
      <c r="Y36" s="1368"/>
      <c r="Z36" s="1369"/>
    </row>
    <row r="37" spans="1:37">
      <c r="A37" s="2849"/>
      <c r="B37" s="2759" t="s">
        <v>2930</v>
      </c>
      <c r="C37" s="199" t="e">
        <f ca="1">ROUND(D5*C19*C20*C24*F37,0)</f>
        <v>#DIV/0!</v>
      </c>
      <c r="D37" s="2831"/>
      <c r="E37" s="199" t="e">
        <f t="shared" ca="1" si="7"/>
        <v>#DIV/0!</v>
      </c>
      <c r="F37" s="205">
        <f>SUMIF(修正!A45:A56,G2,修正!F45:F56)</f>
        <v>0</v>
      </c>
      <c r="G37" s="199" t="e">
        <f ca="1">ROUND(IF(E2="工业",C37*$M$39,C37*$M$38),0)</f>
        <v>#DIV/0!</v>
      </c>
      <c r="H37" s="199">
        <f t="shared" si="8"/>
        <v>0</v>
      </c>
      <c r="I37" s="199" t="e">
        <f t="shared" ca="1" si="9"/>
        <v>#DIV/0!</v>
      </c>
      <c r="J37" s="2848"/>
      <c r="K37" s="1368"/>
      <c r="L37" s="2850" t="s">
        <v>2931</v>
      </c>
      <c r="M37" s="2851"/>
      <c r="N37" s="1368"/>
      <c r="O37" s="1368"/>
      <c r="P37" s="1368"/>
      <c r="Q37" s="1368"/>
      <c r="R37" s="1368"/>
      <c r="S37" s="1368"/>
      <c r="T37" s="1368"/>
      <c r="U37" s="1368"/>
      <c r="V37" s="1368"/>
      <c r="W37" s="1368"/>
      <c r="X37" s="1368"/>
      <c r="Y37" s="1368"/>
      <c r="Z37" s="1369"/>
    </row>
    <row r="38" spans="1:37">
      <c r="A38" s="2849"/>
      <c r="B38" s="2759" t="s">
        <v>2932</v>
      </c>
      <c r="C38" s="199" t="e">
        <f ca="1">ROUND(D5*C19*C41*C24*F38,0)</f>
        <v>#DIV/0!</v>
      </c>
      <c r="D38" s="2831"/>
      <c r="E38" s="199" t="e">
        <f t="shared" ca="1" si="7"/>
        <v>#DIV/0!</v>
      </c>
      <c r="F38" s="205">
        <f>SUMIF(修正!A45:A56,G2,修正!G45:G56)</f>
        <v>0</v>
      </c>
      <c r="G38" s="199" t="e">
        <f ca="1">ROUND(IF(E2="工业",C38*$M$39,C38*$M$38),0)</f>
        <v>#DIV/0!</v>
      </c>
      <c r="H38" s="199">
        <f t="shared" si="8"/>
        <v>0</v>
      </c>
      <c r="I38" s="199" t="e">
        <f t="shared" ca="1" si="9"/>
        <v>#DIV/0!</v>
      </c>
      <c r="J38" s="2848"/>
      <c r="K38" s="1368"/>
      <c r="L38" s="1884" t="s">
        <v>2933</v>
      </c>
      <c r="M38" s="2852">
        <v>0.25</v>
      </c>
      <c r="N38" s="1368"/>
      <c r="O38" s="1368"/>
      <c r="P38" s="1368"/>
      <c r="Q38" s="1368"/>
      <c r="R38" s="1368"/>
      <c r="S38" s="1368"/>
      <c r="T38" s="1368"/>
      <c r="U38" s="1368"/>
      <c r="V38" s="1368"/>
      <c r="W38" s="1368"/>
      <c r="X38" s="1368"/>
      <c r="Y38" s="1368"/>
      <c r="Z38" s="1369"/>
    </row>
    <row r="39" spans="1:37" ht="13.5" thickBot="1">
      <c r="A39" s="2835"/>
      <c r="B39" s="2853" t="s">
        <v>2934</v>
      </c>
      <c r="C39" s="228" t="e">
        <f ca="1">ROUND(D5*C19*C41*C24*F39,0)</f>
        <v>#DIV/0!</v>
      </c>
      <c r="D39" s="2837"/>
      <c r="E39" s="228" t="e">
        <f t="shared" ca="1" si="7"/>
        <v>#DIV/0!</v>
      </c>
      <c r="F39" s="931">
        <f>SUMIF(修正!A45:A56,G2,修正!H45:H56)</f>
        <v>0</v>
      </c>
      <c r="G39" s="228" t="e">
        <f ca="1">ROUND(IF(E2="工业",C39*$M$39,C39*$M$38),0)</f>
        <v>#DIV/0!</v>
      </c>
      <c r="H39" s="228">
        <f t="shared" si="8"/>
        <v>0</v>
      </c>
      <c r="I39" s="228" t="e">
        <f t="shared" ca="1" si="9"/>
        <v>#DIV/0!</v>
      </c>
      <c r="J39" s="2854"/>
      <c r="K39" s="1368"/>
      <c r="L39" s="2855" t="s">
        <v>2878</v>
      </c>
      <c r="M39" s="285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4" t="s">
        <v>3039</v>
      </c>
      <c r="C41" s="387">
        <f ca="1">ROUND(POWER(1+E41,H41-G41)*(POWER(1+E41,G41)-1)/(POWER(1+E41,H41)-1),4)</f>
        <v>0</v>
      </c>
      <c r="D41" s="199" t="s">
        <v>2885</v>
      </c>
      <c r="E41" s="2923">
        <f ca="1">G20</f>
        <v>5.3999999999999999E-2</v>
      </c>
      <c r="F41" s="199" t="s">
        <v>2894</v>
      </c>
      <c r="G41" s="217"/>
      <c r="H41" s="199">
        <v>50</v>
      </c>
      <c r="Z41" s="1369"/>
      <c r="AA41" s="1369"/>
      <c r="AB41" s="1369"/>
      <c r="AC41" s="1369"/>
      <c r="AD41" s="1369"/>
      <c r="AE41" s="1369"/>
      <c r="AF41" s="1369"/>
      <c r="AG41" s="1369"/>
      <c r="AH41" s="1369"/>
      <c r="AI41" s="1369"/>
      <c r="AJ41" s="1369"/>
    </row>
    <row r="42" spans="1:37" s="1368" customFormat="1">
      <c r="A42" s="1369"/>
      <c r="B42" s="2857"/>
      <c r="Z42" s="1369"/>
      <c r="AA42" s="1369"/>
      <c r="AB42" s="1369"/>
      <c r="AC42" s="1369"/>
      <c r="AD42" s="1369"/>
      <c r="AE42" s="1369"/>
      <c r="AF42" s="1369"/>
      <c r="AG42" s="1369"/>
      <c r="AH42" s="1369"/>
      <c r="AI42" s="1369"/>
      <c r="AJ42" s="1369"/>
    </row>
    <row r="43" spans="1:37" s="1368" customFormat="1">
      <c r="A43" s="1369"/>
      <c r="B43" s="2857"/>
      <c r="Z43" s="1369"/>
      <c r="AA43" s="1369"/>
      <c r="AB43" s="1369"/>
      <c r="AC43" s="1369"/>
      <c r="AD43" s="1369"/>
      <c r="AE43" s="1369"/>
      <c r="AF43" s="1369"/>
      <c r="AG43" s="1369"/>
      <c r="AH43" s="1369"/>
      <c r="AI43" s="1369"/>
      <c r="AJ43" s="1369"/>
    </row>
    <row r="44" spans="1:37" s="1368" customFormat="1">
      <c r="A44" s="1369"/>
      <c r="B44" s="2857"/>
      <c r="Z44" s="1369"/>
      <c r="AA44" s="1369"/>
      <c r="AB44" s="1369"/>
      <c r="AC44" s="1369"/>
      <c r="AD44" s="1369"/>
      <c r="AE44" s="1369"/>
      <c r="AF44" s="1369"/>
      <c r="AG44" s="1369"/>
      <c r="AH44" s="1369"/>
      <c r="AI44" s="1369"/>
      <c r="AJ44" s="1369"/>
    </row>
    <row r="45" spans="1:37" s="1368" customFormat="1" ht="15.75" thickBot="1">
      <c r="A45" s="2858" t="s">
        <v>2935</v>
      </c>
      <c r="B45" s="2859"/>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5">
      <c r="A46" s="2860" t="s">
        <v>2936</v>
      </c>
      <c r="B46" s="2861">
        <f>1+E48</f>
        <v>1</v>
      </c>
      <c r="C46" s="2862"/>
      <c r="D46" s="813"/>
      <c r="E46" s="814"/>
      <c r="F46" s="2863"/>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4.75">
      <c r="A47" s="2864" t="s">
        <v>2937</v>
      </c>
      <c r="B47" s="1806" t="s">
        <v>2938</v>
      </c>
      <c r="C47" s="1806" t="s">
        <v>2939</v>
      </c>
      <c r="D47" s="1806" t="s">
        <v>2940</v>
      </c>
      <c r="E47" s="818" t="s">
        <v>2941</v>
      </c>
      <c r="F47" s="2865" t="s">
        <v>2942</v>
      </c>
      <c r="G47" s="1806" t="s">
        <v>754</v>
      </c>
      <c r="H47" s="2866" t="s">
        <v>2943</v>
      </c>
      <c r="I47" s="1806" t="s">
        <v>2944</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38.25">
      <c r="A48" s="2864" t="s">
        <v>2945</v>
      </c>
      <c r="B48" s="2867" t="str">
        <f>估价对象房地状况!C4</f>
        <v>估价对象位于XX商圈，周边商业氛围成熟，人流量大，商业繁华度好</v>
      </c>
      <c r="C48" s="2764"/>
      <c r="D48" s="1284">
        <f t="shared" ref="D48:D56" si="10">SUMIF($J$47:$N$47,C48,J48:N48)</f>
        <v>0</v>
      </c>
      <c r="E48" s="820">
        <f>ROUND(SUM(D48:D56),4)</f>
        <v>0</v>
      </c>
      <c r="F48" s="2495">
        <f>IF(E2="商业",SUMIF(L1:L12,G2,N1:N12),"——")</f>
        <v>0</v>
      </c>
      <c r="G48" s="1282"/>
      <c r="H48" s="1286">
        <f t="shared" ref="H48:H56" si="11">IFERROR(ROUNDDOWN($F$48*I48/2,4),"——")</f>
        <v>0</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4" t="s">
        <v>2946</v>
      </c>
      <c r="B49" s="2868" t="str">
        <f>估价对象房地状况!C18</f>
        <v>估价对象周边道路状况、公共交通通达情况、停车便捷程度，综合评价交通便捷度较好</v>
      </c>
      <c r="C49" s="2764"/>
      <c r="D49" s="1284">
        <f t="shared" si="10"/>
        <v>0</v>
      </c>
      <c r="E49" s="821"/>
      <c r="F49" s="2495"/>
      <c r="G49" s="1282"/>
      <c r="H49" s="1286">
        <f t="shared" si="11"/>
        <v>0</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4" t="s">
        <v>2947</v>
      </c>
      <c r="B50" s="2868">
        <f>估价对象房地状况!C19</f>
        <v>0</v>
      </c>
      <c r="C50" s="2764"/>
      <c r="D50" s="1284">
        <f t="shared" si="10"/>
        <v>0</v>
      </c>
      <c r="E50" s="821"/>
      <c r="F50" s="2495"/>
      <c r="G50" s="1282"/>
      <c r="H50" s="1286">
        <f t="shared" si="11"/>
        <v>0</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4" t="s">
        <v>2948</v>
      </c>
      <c r="B51" s="2869" t="s">
        <v>2949</v>
      </c>
      <c r="C51" s="2764"/>
      <c r="D51" s="1284">
        <f t="shared" si="10"/>
        <v>0</v>
      </c>
      <c r="E51" s="821"/>
      <c r="F51" s="2495"/>
      <c r="G51" s="1282"/>
      <c r="H51" s="1286">
        <f t="shared" si="11"/>
        <v>0</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4" t="s">
        <v>2950</v>
      </c>
      <c r="B52" s="2868">
        <f>估价对象房地状况!C24</f>
        <v>0</v>
      </c>
      <c r="C52" s="2764"/>
      <c r="D52" s="1284">
        <f t="shared" si="10"/>
        <v>0</v>
      </c>
      <c r="E52" s="821"/>
      <c r="F52" s="2495"/>
      <c r="G52" s="1282"/>
      <c r="H52" s="1286">
        <f t="shared" si="11"/>
        <v>0</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4" t="s">
        <v>2951</v>
      </c>
      <c r="B53" s="2870" t="s">
        <v>2952</v>
      </c>
      <c r="C53" s="2764"/>
      <c r="D53" s="1284">
        <f t="shared" si="10"/>
        <v>0</v>
      </c>
      <c r="E53" s="821"/>
      <c r="F53" s="2495"/>
      <c r="G53" s="1282"/>
      <c r="H53" s="1286">
        <f t="shared" si="11"/>
        <v>0</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1" t="s">
        <v>2953</v>
      </c>
      <c r="B54" s="1723" t="str">
        <f>估价对象房地状况!C21</f>
        <v>估价对象所在区域公共配套设施齐备情况</v>
      </c>
      <c r="C54" s="2764"/>
      <c r="D54" s="1284">
        <f t="shared" si="10"/>
        <v>0</v>
      </c>
      <c r="E54" s="821"/>
      <c r="F54" s="2495"/>
      <c r="G54" s="1282"/>
      <c r="H54" s="1286">
        <f t="shared" si="11"/>
        <v>0</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1" t="s">
        <v>2954</v>
      </c>
      <c r="B55" s="2868" t="str">
        <f>估价对象房地状况!C22</f>
        <v>估价对象所在区域基础设施水平</v>
      </c>
      <c r="C55" s="2764"/>
      <c r="D55" s="1284">
        <f t="shared" si="10"/>
        <v>0</v>
      </c>
      <c r="E55" s="821"/>
      <c r="F55" s="2495"/>
      <c r="G55" s="1282"/>
      <c r="H55" s="1286">
        <f t="shared" si="11"/>
        <v>0</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2" t="s">
        <v>2955</v>
      </c>
      <c r="B56" s="2873" t="str">
        <f>估价对象房地状况!C20</f>
        <v>区域自然环境：；人文环境；综合评价环境状况一般</v>
      </c>
      <c r="C56" s="2764"/>
      <c r="D56" s="1284">
        <f t="shared" si="10"/>
        <v>0</v>
      </c>
      <c r="E56" s="824"/>
      <c r="F56" s="2495"/>
      <c r="G56" s="1282"/>
      <c r="H56" s="1286">
        <f t="shared" si="11"/>
        <v>0</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0" t="s">
        <v>2956</v>
      </c>
      <c r="B57" s="2861">
        <f>1+E59</f>
        <v>1</v>
      </c>
      <c r="C57" s="813"/>
      <c r="D57" s="813"/>
      <c r="E57" s="814"/>
      <c r="F57" s="286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4" t="s">
        <v>2937</v>
      </c>
      <c r="B58" s="1806"/>
      <c r="C58" s="1806" t="s">
        <v>2939</v>
      </c>
      <c r="D58" s="1806" t="s">
        <v>2940</v>
      </c>
      <c r="E58" s="818" t="s">
        <v>2941</v>
      </c>
      <c r="F58" s="2865" t="s">
        <v>2957</v>
      </c>
      <c r="G58" s="1806" t="s">
        <v>754</v>
      </c>
      <c r="H58" s="2866" t="s">
        <v>2943</v>
      </c>
      <c r="I58" s="1806" t="s">
        <v>2944</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38.25">
      <c r="A59" s="2864" t="s">
        <v>2958</v>
      </c>
      <c r="B59" s="2867" t="str">
        <f>估价对象房地状况!C17</f>
        <v>估价对象位于XX商圈，周边办公楼项目较多，入驻率高，办公集聚程度较好</v>
      </c>
      <c r="C59" s="2764"/>
      <c r="D59" s="1284">
        <f t="shared" ref="D59:D67" si="15">SUMIF($J$58:$N$58,C59,J59:N59)</f>
        <v>0</v>
      </c>
      <c r="E59" s="820">
        <f>ROUND(SUM(D59:D67),4)</f>
        <v>0</v>
      </c>
      <c r="F59" s="2495"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4" t="s">
        <v>2946</v>
      </c>
      <c r="B60" s="2868" t="str">
        <f>估价对象房地状况!C18</f>
        <v>估价对象周边道路状况、公共交通通达情况、停车便捷程度，综合评价交通便捷度较好</v>
      </c>
      <c r="C60" s="2764"/>
      <c r="D60" s="1284">
        <f t="shared" si="15"/>
        <v>0</v>
      </c>
      <c r="E60" s="821"/>
      <c r="F60" s="2495"/>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4" t="s">
        <v>2947</v>
      </c>
      <c r="B61" s="2868">
        <f>估价对象房地状况!C19</f>
        <v>0</v>
      </c>
      <c r="C61" s="2764"/>
      <c r="D61" s="1284">
        <f t="shared" si="15"/>
        <v>0</v>
      </c>
      <c r="E61" s="821"/>
      <c r="F61" s="2495"/>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4" t="s">
        <v>2948</v>
      </c>
      <c r="B62" s="2869" t="s">
        <v>2949</v>
      </c>
      <c r="C62" s="2764"/>
      <c r="D62" s="1284">
        <f t="shared" si="15"/>
        <v>0</v>
      </c>
      <c r="E62" s="821"/>
      <c r="F62" s="2495"/>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4" t="s">
        <v>2950</v>
      </c>
      <c r="B63" s="2868">
        <f>估价对象房地状况!C24</f>
        <v>0</v>
      </c>
      <c r="C63" s="2764"/>
      <c r="D63" s="1284">
        <f t="shared" si="15"/>
        <v>0</v>
      </c>
      <c r="E63" s="821"/>
      <c r="F63" s="2495"/>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4" t="s">
        <v>2951</v>
      </c>
      <c r="B64" s="2870" t="s">
        <v>2952</v>
      </c>
      <c r="C64" s="2764"/>
      <c r="D64" s="1284">
        <f t="shared" si="15"/>
        <v>0</v>
      </c>
      <c r="E64" s="821"/>
      <c r="F64" s="2495"/>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4" t="s">
        <v>2953</v>
      </c>
      <c r="B65" s="1723" t="str">
        <f>估价对象房地状况!C21</f>
        <v>估价对象所在区域公共配套设施齐备情况</v>
      </c>
      <c r="C65" s="2764"/>
      <c r="D65" s="1284">
        <f t="shared" si="15"/>
        <v>0</v>
      </c>
      <c r="E65" s="821"/>
      <c r="F65" s="2495"/>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4" t="s">
        <v>2954</v>
      </c>
      <c r="B66" s="1723" t="str">
        <f>估价对象房地状况!C22</f>
        <v>估价对象所在区域基础设施水平</v>
      </c>
      <c r="C66" s="2764"/>
      <c r="D66" s="1284">
        <f t="shared" si="15"/>
        <v>0</v>
      </c>
      <c r="E66" s="821"/>
      <c r="F66" s="2495"/>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2" t="s">
        <v>2955</v>
      </c>
      <c r="B67" s="2874" t="str">
        <f>估价对象房地状况!C20</f>
        <v>区域自然环境：；人文环境；综合评价环境状况一般</v>
      </c>
      <c r="C67" s="2764"/>
      <c r="D67" s="1284">
        <f t="shared" si="15"/>
        <v>0</v>
      </c>
      <c r="E67" s="824"/>
      <c r="F67" s="2495"/>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0" t="s">
        <v>2959</v>
      </c>
      <c r="B68" s="2861">
        <f>1+E70</f>
        <v>1</v>
      </c>
      <c r="C68" s="813"/>
      <c r="D68" s="813"/>
      <c r="E68" s="814"/>
      <c r="F68" s="286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4" t="s">
        <v>2937</v>
      </c>
      <c r="B69" s="1806"/>
      <c r="C69" s="1806" t="s">
        <v>2939</v>
      </c>
      <c r="D69" s="1806" t="s">
        <v>2940</v>
      </c>
      <c r="E69" s="818" t="s">
        <v>2941</v>
      </c>
      <c r="F69" s="2865" t="s">
        <v>2957</v>
      </c>
      <c r="G69" s="1806" t="s">
        <v>754</v>
      </c>
      <c r="H69" s="2866" t="s">
        <v>2943</v>
      </c>
      <c r="I69" s="1806" t="s">
        <v>2944</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51">
      <c r="A70" s="2864" t="s">
        <v>2960</v>
      </c>
      <c r="B70" s="2867" t="str">
        <f>估价对象房地状况!C15</f>
        <v>估价对象周边居住用地比例、居住小区规模和社区发展完善程度，综合评价居住社区成熟度一般</v>
      </c>
      <c r="C70" s="2764"/>
      <c r="D70" s="1284">
        <f t="shared" ref="D70:D78" si="20">SUMIF($J$69:$N$69,C70,J70:N70)</f>
        <v>0</v>
      </c>
      <c r="E70" s="820">
        <f>ROUND(SUM(D70:D78),4)</f>
        <v>0</v>
      </c>
      <c r="F70" s="2495"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4" t="s">
        <v>2946</v>
      </c>
      <c r="B71" s="2868" t="str">
        <f>估价对象房地状况!C18</f>
        <v>估价对象周边道路状况、公共交通通达情况、停车便捷程度，综合评价交通便捷度较好</v>
      </c>
      <c r="C71" s="2764"/>
      <c r="D71" s="1284">
        <f t="shared" si="20"/>
        <v>0</v>
      </c>
      <c r="E71" s="825"/>
      <c r="F71" s="2495"/>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4" t="s">
        <v>2947</v>
      </c>
      <c r="B72" s="2868">
        <f>估价对象房地状况!C19</f>
        <v>0</v>
      </c>
      <c r="C72" s="2764"/>
      <c r="D72" s="1284">
        <f t="shared" si="20"/>
        <v>0</v>
      </c>
      <c r="E72" s="825"/>
      <c r="F72" s="2495"/>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4" t="s">
        <v>2961</v>
      </c>
      <c r="B73" s="2868">
        <f>估价对象房地状况!C24</f>
        <v>0</v>
      </c>
      <c r="C73" s="2764"/>
      <c r="D73" s="1284">
        <f t="shared" si="20"/>
        <v>0</v>
      </c>
      <c r="E73" s="825"/>
      <c r="F73" s="2495"/>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4" t="s">
        <v>2953</v>
      </c>
      <c r="B74" s="1723" t="str">
        <f>估价对象房地状况!C21</f>
        <v>估价对象所在区域公共配套设施齐备情况</v>
      </c>
      <c r="C74" s="2764"/>
      <c r="D74" s="1284">
        <f t="shared" si="20"/>
        <v>0</v>
      </c>
      <c r="E74" s="825"/>
      <c r="F74" s="2495"/>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4" t="s">
        <v>2954</v>
      </c>
      <c r="B75" s="1723" t="str">
        <f>估价对象房地状况!C22</f>
        <v>估价对象所在区域基础设施水平</v>
      </c>
      <c r="C75" s="2764"/>
      <c r="D75" s="1284">
        <f t="shared" si="20"/>
        <v>0</v>
      </c>
      <c r="E75" s="825"/>
      <c r="F75" s="2495"/>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64" t="s">
        <v>2951</v>
      </c>
      <c r="B76" s="2870" t="s">
        <v>2952</v>
      </c>
      <c r="C76" s="2764"/>
      <c r="D76" s="1284">
        <f t="shared" si="20"/>
        <v>0</v>
      </c>
      <c r="E76" s="825"/>
      <c r="F76" s="2495"/>
      <c r="G76" s="1282"/>
      <c r="H76" s="1286" t="str">
        <f t="shared" si="21"/>
        <v>——</v>
      </c>
      <c r="I76" s="819">
        <v>0.05</v>
      </c>
      <c r="J76" s="1283">
        <f t="shared" si="22"/>
        <v>0</v>
      </c>
      <c r="K76" s="1283">
        <f t="shared" si="23"/>
        <v>0</v>
      </c>
      <c r="L76" s="1283">
        <v>0</v>
      </c>
      <c r="M76" s="1283">
        <f t="shared" si="24"/>
        <v>0</v>
      </c>
      <c r="N76" s="1283">
        <f t="shared" si="24"/>
        <v>0</v>
      </c>
      <c r="AA76" s="2875"/>
      <c r="AB76" s="1369"/>
      <c r="AC76" s="1369"/>
      <c r="AD76" s="1369"/>
      <c r="AE76" s="1369"/>
      <c r="AF76" s="1369"/>
      <c r="AG76" s="1369"/>
      <c r="AH76" s="2875"/>
      <c r="AI76" s="2875"/>
      <c r="AJ76" s="2875"/>
      <c r="AK76" s="2875"/>
    </row>
    <row r="77" spans="1:37" ht="38.25">
      <c r="A77" s="2864" t="s">
        <v>2955</v>
      </c>
      <c r="B77" s="2867" t="str">
        <f>估价对象房地状况!C20</f>
        <v>区域自然环境：；人文环境；综合评价环境状况一般</v>
      </c>
      <c r="C77" s="2764"/>
      <c r="D77" s="1284">
        <f t="shared" si="20"/>
        <v>0</v>
      </c>
      <c r="E77" s="825"/>
      <c r="F77" s="2495"/>
      <c r="G77" s="1282"/>
      <c r="H77" s="1286" t="str">
        <f t="shared" si="21"/>
        <v>——</v>
      </c>
      <c r="I77" s="819">
        <v>0.15</v>
      </c>
      <c r="J77" s="1283">
        <f t="shared" si="22"/>
        <v>0</v>
      </c>
      <c r="K77" s="1283">
        <f t="shared" si="23"/>
        <v>0</v>
      </c>
      <c r="L77" s="1283">
        <v>0</v>
      </c>
      <c r="M77" s="1283">
        <f t="shared" si="24"/>
        <v>0</v>
      </c>
      <c r="N77" s="1283">
        <f t="shared" si="24"/>
        <v>0</v>
      </c>
      <c r="Z77" s="2714"/>
      <c r="AA77" s="2782"/>
      <c r="AG77" s="1370"/>
      <c r="AK77" s="2782"/>
    </row>
    <row r="78" spans="1:37" ht="24.75" thickBot="1">
      <c r="A78" s="2872" t="s">
        <v>2962</v>
      </c>
      <c r="B78" s="2876"/>
      <c r="C78" s="2764"/>
      <c r="D78" s="1284">
        <f t="shared" si="20"/>
        <v>0</v>
      </c>
      <c r="E78" s="826"/>
      <c r="F78" s="2495"/>
      <c r="G78" s="1282"/>
      <c r="H78" s="1286" t="str">
        <f t="shared" si="21"/>
        <v>——</v>
      </c>
      <c r="I78" s="823">
        <v>0.04</v>
      </c>
      <c r="J78" s="1283">
        <f t="shared" si="22"/>
        <v>0</v>
      </c>
      <c r="K78" s="1283">
        <f t="shared" si="23"/>
        <v>0</v>
      </c>
      <c r="L78" s="1283">
        <v>0</v>
      </c>
      <c r="M78" s="1283">
        <f t="shared" si="24"/>
        <v>0</v>
      </c>
      <c r="N78" s="1283">
        <f t="shared" si="24"/>
        <v>0</v>
      </c>
      <c r="Z78" s="2714"/>
      <c r="AA78" s="2782"/>
      <c r="AG78" s="1370"/>
      <c r="AK78" s="2782"/>
    </row>
    <row r="79" spans="1:37" ht="15">
      <c r="A79" s="2860" t="s">
        <v>2963</v>
      </c>
      <c r="B79" s="2861">
        <f>1+E81</f>
        <v>1</v>
      </c>
      <c r="C79" s="813"/>
      <c r="D79" s="813"/>
      <c r="E79" s="814"/>
      <c r="F79" s="2863"/>
      <c r="G79" s="6"/>
      <c r="H79" s="6"/>
      <c r="I79" s="6"/>
      <c r="J79" s="7"/>
      <c r="K79" s="7"/>
      <c r="L79" s="7"/>
      <c r="M79" s="7"/>
      <c r="N79" s="7"/>
      <c r="Z79" s="2714"/>
      <c r="AA79" s="2782"/>
      <c r="AG79" s="1370"/>
      <c r="AK79" s="2782"/>
    </row>
    <row r="80" spans="1:37" ht="24.75">
      <c r="A80" s="2864" t="s">
        <v>2937</v>
      </c>
      <c r="B80" s="1806"/>
      <c r="C80" s="1806" t="s">
        <v>2939</v>
      </c>
      <c r="D80" s="1806" t="s">
        <v>2940</v>
      </c>
      <c r="E80" s="818" t="s">
        <v>2941</v>
      </c>
      <c r="F80" s="2865" t="s">
        <v>2957</v>
      </c>
      <c r="G80" s="1806" t="s">
        <v>754</v>
      </c>
      <c r="H80" s="2866" t="s">
        <v>2943</v>
      </c>
      <c r="I80" s="1806" t="s">
        <v>2944</v>
      </c>
      <c r="J80" s="602" t="s">
        <v>2594</v>
      </c>
      <c r="K80" s="602" t="s">
        <v>2595</v>
      </c>
      <c r="L80" s="602" t="s">
        <v>2596</v>
      </c>
      <c r="M80" s="602" t="s">
        <v>2597</v>
      </c>
      <c r="N80" s="602" t="s">
        <v>2598</v>
      </c>
      <c r="Z80" s="2714"/>
      <c r="AA80" s="2782"/>
      <c r="AG80" s="1370"/>
      <c r="AK80" s="2782"/>
    </row>
    <row r="81" spans="1:37" ht="38.25">
      <c r="A81" s="2864" t="s">
        <v>2964</v>
      </c>
      <c r="B81" s="2868" t="str">
        <f>估价对象房地状况!G15</f>
        <v>估价对象位于XX开发区，园区建设成熟度XX，产业集聚程度XX</v>
      </c>
      <c r="C81" s="2764"/>
      <c r="D81" s="1284">
        <f t="shared" ref="D81:D88" si="25">SUMIF($J$80:$N$80,C81,J81:N81)</f>
        <v>0</v>
      </c>
      <c r="E81" s="820">
        <f>ROUND(SUM(D81:D88),4)</f>
        <v>0</v>
      </c>
      <c r="F81" s="2495"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4"/>
      <c r="AA81" s="2782"/>
      <c r="AG81" s="1370"/>
      <c r="AK81" s="2782"/>
    </row>
    <row r="82" spans="1:37" ht="51">
      <c r="A82" s="2864" t="s">
        <v>2946</v>
      </c>
      <c r="B82" s="2868" t="str">
        <f>估价对象房地状况!G16</f>
        <v>估价对象周边道路状况、公共交通通达情况、停车便捷程度，综合评价交通便捷度较好</v>
      </c>
      <c r="C82" s="2764"/>
      <c r="D82" s="1284">
        <f t="shared" si="25"/>
        <v>0</v>
      </c>
      <c r="E82" s="825"/>
      <c r="F82" s="2495"/>
      <c r="G82" s="1282"/>
      <c r="H82" s="1286" t="str">
        <f t="shared" si="26"/>
        <v>——</v>
      </c>
      <c r="I82" s="819">
        <v>0.33</v>
      </c>
      <c r="J82" s="1283">
        <f t="shared" si="27"/>
        <v>0</v>
      </c>
      <c r="K82" s="1283">
        <f t="shared" si="28"/>
        <v>0</v>
      </c>
      <c r="L82" s="1283">
        <v>0</v>
      </c>
      <c r="M82" s="1283">
        <f t="shared" si="29"/>
        <v>0</v>
      </c>
      <c r="N82" s="1283">
        <f t="shared" si="29"/>
        <v>0</v>
      </c>
      <c r="Z82" s="2714"/>
      <c r="AA82" s="2782"/>
      <c r="AG82" s="1370"/>
      <c r="AK82" s="2782"/>
    </row>
    <row r="83" spans="1:37" ht="24">
      <c r="A83" s="2864" t="s">
        <v>2947</v>
      </c>
      <c r="B83" s="2868">
        <f>估价对象房地状况!G17</f>
        <v>0</v>
      </c>
      <c r="C83" s="2764"/>
      <c r="D83" s="1284">
        <f t="shared" si="25"/>
        <v>0</v>
      </c>
      <c r="E83" s="825"/>
      <c r="F83" s="2495"/>
      <c r="G83" s="1282"/>
      <c r="H83" s="1286" t="str">
        <f t="shared" si="26"/>
        <v>——</v>
      </c>
      <c r="I83" s="819">
        <v>0.05</v>
      </c>
      <c r="J83" s="1283">
        <f t="shared" si="27"/>
        <v>0</v>
      </c>
      <c r="K83" s="1283">
        <f t="shared" si="28"/>
        <v>0</v>
      </c>
      <c r="L83" s="1283">
        <v>0</v>
      </c>
      <c r="M83" s="1283">
        <f t="shared" si="29"/>
        <v>0</v>
      </c>
      <c r="N83" s="1283">
        <f t="shared" si="29"/>
        <v>0</v>
      </c>
      <c r="Z83" s="2714"/>
      <c r="AA83" s="2782"/>
      <c r="AG83" s="1370"/>
      <c r="AK83" s="2782"/>
    </row>
    <row r="84" spans="1:37" ht="14.25">
      <c r="A84" s="2864" t="s">
        <v>2961</v>
      </c>
      <c r="B84" s="2868">
        <f>估价对象房地状况!G22</f>
        <v>0</v>
      </c>
      <c r="C84" s="2764"/>
      <c r="D84" s="1284">
        <f t="shared" si="25"/>
        <v>0</v>
      </c>
      <c r="E84" s="825"/>
      <c r="F84" s="2495"/>
      <c r="G84" s="1282"/>
      <c r="H84" s="1286" t="str">
        <f t="shared" si="26"/>
        <v>——</v>
      </c>
      <c r="I84" s="819">
        <v>0.04</v>
      </c>
      <c r="J84" s="1283">
        <f t="shared" si="27"/>
        <v>0</v>
      </c>
      <c r="K84" s="1283">
        <f t="shared" si="28"/>
        <v>0</v>
      </c>
      <c r="L84" s="1283">
        <v>0</v>
      </c>
      <c r="M84" s="1283">
        <f t="shared" si="29"/>
        <v>0</v>
      </c>
      <c r="N84" s="1283">
        <f t="shared" si="29"/>
        <v>0</v>
      </c>
      <c r="Z84" s="2714"/>
      <c r="AA84" s="2782"/>
      <c r="AG84" s="1370"/>
      <c r="AK84" s="2782"/>
    </row>
    <row r="85" spans="1:37" ht="25.5">
      <c r="A85" s="2864" t="s">
        <v>2953</v>
      </c>
      <c r="B85" s="1723" t="str">
        <f>估价对象房地状况!G19</f>
        <v>估价对象所在区域公共配套设施齐备情况</v>
      </c>
      <c r="C85" s="2764"/>
      <c r="D85" s="1284">
        <f t="shared" si="25"/>
        <v>0</v>
      </c>
      <c r="E85" s="825"/>
      <c r="F85" s="2495"/>
      <c r="G85" s="1282"/>
      <c r="H85" s="1286" t="str">
        <f t="shared" si="26"/>
        <v>——</v>
      </c>
      <c r="I85" s="819">
        <v>0.06</v>
      </c>
      <c r="J85" s="1283">
        <f t="shared" si="27"/>
        <v>0</v>
      </c>
      <c r="K85" s="1283">
        <f t="shared" si="28"/>
        <v>0</v>
      </c>
      <c r="L85" s="1283">
        <v>0</v>
      </c>
      <c r="M85" s="1283">
        <f t="shared" si="29"/>
        <v>0</v>
      </c>
      <c r="N85" s="1283">
        <f t="shared" si="29"/>
        <v>0</v>
      </c>
      <c r="Z85" s="2714"/>
      <c r="AA85" s="2782"/>
      <c r="AG85" s="1370"/>
      <c r="AK85" s="2782"/>
    </row>
    <row r="86" spans="1:37" ht="25.5">
      <c r="A86" s="2864" t="s">
        <v>2954</v>
      </c>
      <c r="B86" s="1723" t="str">
        <f>估价对象房地状况!G20</f>
        <v>估价对象所在区域基础设施水平</v>
      </c>
      <c r="C86" s="2764"/>
      <c r="D86" s="1284">
        <f t="shared" si="25"/>
        <v>0</v>
      </c>
      <c r="E86" s="825"/>
      <c r="F86" s="2495"/>
      <c r="G86" s="1282"/>
      <c r="H86" s="1286" t="str">
        <f t="shared" si="26"/>
        <v>——</v>
      </c>
      <c r="I86" s="819">
        <v>0.15</v>
      </c>
      <c r="J86" s="1283">
        <f t="shared" si="27"/>
        <v>0</v>
      </c>
      <c r="K86" s="1283">
        <f t="shared" si="28"/>
        <v>0</v>
      </c>
      <c r="L86" s="1283">
        <v>0</v>
      </c>
      <c r="M86" s="1283">
        <f t="shared" si="29"/>
        <v>0</v>
      </c>
      <c r="N86" s="1283">
        <f t="shared" si="29"/>
        <v>0</v>
      </c>
      <c r="Z86" s="2714"/>
      <c r="AA86" s="2782"/>
      <c r="AG86" s="1370"/>
      <c r="AK86" s="2782"/>
    </row>
    <row r="87" spans="1:37" ht="24">
      <c r="A87" s="2864" t="s">
        <v>2951</v>
      </c>
      <c r="B87" s="2870" t="s">
        <v>2965</v>
      </c>
      <c r="C87" s="2764"/>
      <c r="D87" s="1284">
        <f t="shared" si="25"/>
        <v>0</v>
      </c>
      <c r="E87" s="825"/>
      <c r="F87" s="2495"/>
      <c r="G87" s="1282"/>
      <c r="H87" s="1286" t="str">
        <f t="shared" si="26"/>
        <v>——</v>
      </c>
      <c r="I87" s="819">
        <v>0.05</v>
      </c>
      <c r="J87" s="1283">
        <f t="shared" si="27"/>
        <v>0</v>
      </c>
      <c r="K87" s="1283">
        <f t="shared" si="28"/>
        <v>0</v>
      </c>
      <c r="L87" s="1283">
        <v>0</v>
      </c>
      <c r="M87" s="1283">
        <f t="shared" si="29"/>
        <v>0</v>
      </c>
      <c r="N87" s="1283">
        <f t="shared" si="29"/>
        <v>0</v>
      </c>
      <c r="Z87" s="2714"/>
      <c r="AA87" s="2782"/>
      <c r="AG87" s="1370"/>
      <c r="AK87" s="2782"/>
    </row>
    <row r="88" spans="1:37" ht="39" thickBot="1">
      <c r="A88" s="2872" t="s">
        <v>2966</v>
      </c>
      <c r="B88" s="2877" t="str">
        <f>估价对象房地状况!G18</f>
        <v>该园区内是否有污染型企业，绿化情况，卫生条件，整体环境状况判断</v>
      </c>
      <c r="C88" s="2764"/>
      <c r="D88" s="1284">
        <f t="shared" si="25"/>
        <v>0</v>
      </c>
      <c r="E88" s="826"/>
      <c r="F88" s="2495"/>
      <c r="G88" s="1282"/>
      <c r="H88" s="1286" t="str">
        <f t="shared" si="26"/>
        <v>——</v>
      </c>
      <c r="I88" s="823">
        <v>0.06</v>
      </c>
      <c r="J88" s="1283">
        <f t="shared" si="27"/>
        <v>0</v>
      </c>
      <c r="K88" s="1283">
        <f t="shared" si="28"/>
        <v>0</v>
      </c>
      <c r="L88" s="1283">
        <v>0</v>
      </c>
      <c r="M88" s="1283">
        <f t="shared" si="29"/>
        <v>0</v>
      </c>
      <c r="N88" s="1283">
        <f t="shared" si="29"/>
        <v>0</v>
      </c>
      <c r="Z88" s="2714"/>
      <c r="AA88" s="2782"/>
      <c r="AG88" s="1370"/>
      <c r="AK88" s="2782"/>
    </row>
    <row r="90" spans="1:37">
      <c r="A90" s="3319" t="s">
        <v>2967</v>
      </c>
      <c r="B90" s="3319"/>
      <c r="C90" s="3319"/>
      <c r="D90" s="3319"/>
      <c r="E90" s="3319"/>
      <c r="F90" s="3319"/>
      <c r="G90" s="3319"/>
      <c r="H90" s="3319"/>
      <c r="I90" s="3319"/>
      <c r="J90" s="3319"/>
      <c r="K90" s="2878"/>
      <c r="L90" s="2878"/>
      <c r="M90" s="2878"/>
      <c r="N90" s="2878"/>
    </row>
    <row r="91" spans="1:37">
      <c r="A91" s="3321" t="s">
        <v>2968</v>
      </c>
      <c r="B91" s="3321" t="s">
        <v>2969</v>
      </c>
      <c r="C91" s="2832" t="s">
        <v>2970</v>
      </c>
      <c r="D91" s="2833"/>
      <c r="E91" s="2833"/>
      <c r="F91" s="2833"/>
      <c r="G91" s="2833"/>
      <c r="H91" s="2833"/>
      <c r="I91" s="2833"/>
      <c r="J91" s="2879"/>
      <c r="K91" s="2880"/>
      <c r="L91" s="2880"/>
      <c r="M91" s="2880"/>
      <c r="N91" s="2880"/>
    </row>
    <row r="92" spans="1:37">
      <c r="A92" s="3321"/>
      <c r="B92" s="3321"/>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22" t="s">
        <v>2971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2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2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2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2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2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23"/>
      <c r="B99" s="2881" t="s">
        <v>2853</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324"/>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322" t="s">
        <v>2972</v>
      </c>
      <c r="B101" s="2885" t="s">
        <v>2973</v>
      </c>
      <c r="C101" s="2886">
        <f>$G$3</f>
        <v>0</v>
      </c>
      <c r="D101" s="2886">
        <f t="shared" ref="D101:N101" si="31">$G$3</f>
        <v>0</v>
      </c>
      <c r="E101" s="2886">
        <f t="shared" si="31"/>
        <v>0</v>
      </c>
      <c r="F101" s="2886">
        <f t="shared" si="31"/>
        <v>0</v>
      </c>
      <c r="G101" s="2886">
        <f t="shared" si="31"/>
        <v>0</v>
      </c>
      <c r="H101" s="2886">
        <f t="shared" si="31"/>
        <v>0</v>
      </c>
      <c r="I101" s="2886">
        <f t="shared" si="31"/>
        <v>0</v>
      </c>
      <c r="J101" s="2886">
        <f t="shared" si="31"/>
        <v>0</v>
      </c>
      <c r="K101" s="2886">
        <f t="shared" si="31"/>
        <v>0</v>
      </c>
      <c r="L101" s="2886">
        <f t="shared" si="31"/>
        <v>0</v>
      </c>
      <c r="M101" s="2886">
        <f t="shared" si="31"/>
        <v>0</v>
      </c>
      <c r="N101" s="2886">
        <f t="shared" si="31"/>
        <v>0</v>
      </c>
    </row>
    <row r="102" spans="1:14">
      <c r="A102" s="3323"/>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323"/>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323"/>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323"/>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323"/>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323"/>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323"/>
      <c r="B108" s="3180" t="s">
        <v>2974</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324"/>
      <c r="B109" s="3181"/>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320" t="s">
        <v>2975</v>
      </c>
      <c r="B110" s="3320"/>
      <c r="C110" s="3320"/>
      <c r="D110" s="3320"/>
      <c r="E110" s="3320"/>
      <c r="F110" s="3320"/>
      <c r="G110" s="3320"/>
      <c r="H110" s="3320"/>
      <c r="I110" s="3320"/>
      <c r="J110" s="3320"/>
      <c r="K110" s="2887"/>
      <c r="L110" s="2887"/>
      <c r="M110" s="2887"/>
      <c r="N110" s="2887"/>
    </row>
    <row r="112" spans="1:14" ht="13.5" thickBot="1"/>
    <row r="113" spans="1:13" ht="25.5" thickBot="1">
      <c r="A113" s="902" t="s">
        <v>2976</v>
      </c>
      <c r="B113" s="1285">
        <f>G3</f>
        <v>0</v>
      </c>
      <c r="C113" s="903" t="s">
        <v>2977</v>
      </c>
      <c r="D113" s="904">
        <f>SUMPRODUCT((A115:A118=F113)*(B114:M114=H113)*B115:M118)</f>
        <v>0</v>
      </c>
      <c r="E113" s="2718" t="s">
        <v>2811</v>
      </c>
      <c r="F113" s="2889" t="str">
        <f>E2</f>
        <v>商业</v>
      </c>
      <c r="G113" s="2718" t="s">
        <v>2812</v>
      </c>
      <c r="H113" s="2889">
        <f>G2</f>
        <v>0</v>
      </c>
      <c r="I113" s="2718"/>
      <c r="J113" s="2890"/>
      <c r="K113" s="2890"/>
      <c r="L113" s="2890"/>
      <c r="M113" s="2890"/>
    </row>
    <row r="114" spans="1:13">
      <c r="A114" s="907"/>
      <c r="B114" s="2891" t="s">
        <v>2978</v>
      </c>
      <c r="C114" s="2891" t="s">
        <v>2979</v>
      </c>
      <c r="D114" s="2891" t="s">
        <v>2980</v>
      </c>
      <c r="E114" s="2892" t="s">
        <v>2981</v>
      </c>
      <c r="F114" s="2892" t="s">
        <v>2982</v>
      </c>
      <c r="G114" s="2892" t="s">
        <v>2983</v>
      </c>
      <c r="H114" s="2893" t="s">
        <v>2984</v>
      </c>
      <c r="I114" s="2893" t="s">
        <v>2985</v>
      </c>
      <c r="J114" s="2894" t="s">
        <v>2986</v>
      </c>
      <c r="K114" s="2894" t="s">
        <v>2987</v>
      </c>
      <c r="L114" s="2894" t="s">
        <v>2988</v>
      </c>
      <c r="M114" s="2895" t="s">
        <v>2989</v>
      </c>
    </row>
    <row r="115" spans="1:13">
      <c r="A115" s="908" t="s">
        <v>2875</v>
      </c>
      <c r="B115" s="909">
        <f>ROUND(0.9335-0.0094*B113,4)</f>
        <v>0.9335</v>
      </c>
      <c r="C115" s="909">
        <f>B115</f>
        <v>0.9335</v>
      </c>
      <c r="D115" s="909">
        <f>ROUND(0.8331-0.0109*B113,4)</f>
        <v>0.83309999999999995</v>
      </c>
      <c r="E115" s="909">
        <f>D115</f>
        <v>0.83309999999999995</v>
      </c>
      <c r="F115" s="909">
        <f>E115</f>
        <v>0.83309999999999995</v>
      </c>
      <c r="G115" s="909">
        <f>F115</f>
        <v>0.83309999999999995</v>
      </c>
      <c r="H115" s="909">
        <f>G115</f>
        <v>0.83309999999999995</v>
      </c>
      <c r="I115" s="909">
        <f>ROUND(0.689-0.0155*B113,4)</f>
        <v>0.68899999999999995</v>
      </c>
      <c r="J115" s="909">
        <f t="shared" ref="J115:M118" si="33">I115</f>
        <v>0.68899999999999995</v>
      </c>
      <c r="K115" s="909">
        <f t="shared" si="33"/>
        <v>0.68899999999999995</v>
      </c>
      <c r="L115" s="909">
        <f t="shared" si="33"/>
        <v>0.68899999999999995</v>
      </c>
      <c r="M115" s="910">
        <f t="shared" si="33"/>
        <v>0.68899999999999995</v>
      </c>
    </row>
    <row r="116" spans="1:13">
      <c r="A116" s="908" t="s">
        <v>2876</v>
      </c>
      <c r="B116" s="909">
        <f>ROUND(0.949-0.012*B113,4)</f>
        <v>0.94899999999999995</v>
      </c>
      <c r="C116" s="909">
        <f>B116</f>
        <v>0.94899999999999995</v>
      </c>
      <c r="D116" s="909">
        <f>ROUND(0.8567-0.013*B113,4)</f>
        <v>0.85670000000000002</v>
      </c>
      <c r="E116" s="909">
        <f t="shared" ref="E116:H117" si="34">D116</f>
        <v>0.85670000000000002</v>
      </c>
      <c r="F116" s="909">
        <f t="shared" si="34"/>
        <v>0.85670000000000002</v>
      </c>
      <c r="G116" s="909">
        <f t="shared" si="34"/>
        <v>0.85670000000000002</v>
      </c>
      <c r="H116" s="909">
        <f t="shared" si="34"/>
        <v>0.85670000000000002</v>
      </c>
      <c r="I116" s="909">
        <f>ROUND(0.7694-0.014*B113,4)</f>
        <v>0.76939999999999997</v>
      </c>
      <c r="J116" s="909">
        <f t="shared" si="33"/>
        <v>0.76939999999999997</v>
      </c>
      <c r="K116" s="909">
        <f t="shared" si="33"/>
        <v>0.76939999999999997</v>
      </c>
      <c r="L116" s="909">
        <f t="shared" si="33"/>
        <v>0.76939999999999997</v>
      </c>
      <c r="M116" s="910">
        <f t="shared" si="33"/>
        <v>0.76939999999999997</v>
      </c>
    </row>
    <row r="117" spans="1:13">
      <c r="A117" s="908" t="s">
        <v>2877</v>
      </c>
      <c r="B117" s="909">
        <f>ROUND(0.8808-0.006*B113,4)</f>
        <v>0.88080000000000003</v>
      </c>
      <c r="C117" s="909">
        <f>B117</f>
        <v>0.88080000000000003</v>
      </c>
      <c r="D117" s="909">
        <f>ROUND(0.8748-0.008*B113,4)</f>
        <v>0.87480000000000002</v>
      </c>
      <c r="E117" s="909">
        <f t="shared" si="34"/>
        <v>0.87480000000000002</v>
      </c>
      <c r="F117" s="909">
        <f t="shared" si="34"/>
        <v>0.87480000000000002</v>
      </c>
      <c r="G117" s="909">
        <f t="shared" si="34"/>
        <v>0.87480000000000002</v>
      </c>
      <c r="H117" s="909">
        <f t="shared" si="34"/>
        <v>0.87480000000000002</v>
      </c>
      <c r="I117" s="909">
        <f>ROUND(0.7412-0.0095*B113,4)</f>
        <v>0.74119999999999997</v>
      </c>
      <c r="J117" s="909">
        <f t="shared" si="33"/>
        <v>0.74119999999999997</v>
      </c>
      <c r="K117" s="909">
        <f t="shared" si="33"/>
        <v>0.74119999999999997</v>
      </c>
      <c r="L117" s="909">
        <f t="shared" si="33"/>
        <v>0.74119999999999997</v>
      </c>
      <c r="M117" s="910">
        <f t="shared" si="33"/>
        <v>0.74119999999999997</v>
      </c>
    </row>
    <row r="118" spans="1:13" ht="13.5" thickBot="1">
      <c r="A118" s="713" t="s">
        <v>2878</v>
      </c>
      <c r="B118" s="911">
        <f>ROUND(0.7275-0.01*B113,4)</f>
        <v>0.72750000000000004</v>
      </c>
      <c r="C118" s="911">
        <f>B118</f>
        <v>0.72750000000000004</v>
      </c>
      <c r="D118" s="911">
        <f>ROUND(0.7043-0.012*B113,4)</f>
        <v>0.70430000000000004</v>
      </c>
      <c r="E118" s="911">
        <f>D118</f>
        <v>0.70430000000000004</v>
      </c>
      <c r="F118" s="911">
        <f>E118</f>
        <v>0.70430000000000004</v>
      </c>
      <c r="G118" s="911">
        <f>ROUND(0.6299-0.0122*B113,4)</f>
        <v>0.62990000000000002</v>
      </c>
      <c r="H118" s="911">
        <f>G118</f>
        <v>0.62990000000000002</v>
      </c>
      <c r="I118" s="911">
        <f>ROUND(0.5667-0.0136*B113,4)</f>
        <v>0.56669999999999998</v>
      </c>
      <c r="J118" s="911">
        <f t="shared" si="33"/>
        <v>0.56669999999999998</v>
      </c>
      <c r="K118" s="911">
        <f t="shared" si="33"/>
        <v>0.56669999999999998</v>
      </c>
      <c r="L118" s="911">
        <f t="shared" si="33"/>
        <v>0.56669999999999998</v>
      </c>
      <c r="M118" s="912">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0" t="s">
        <v>183</v>
      </c>
      <c r="B18" s="881" t="s">
        <v>560</v>
      </c>
      <c r="C18" s="882" t="s">
        <v>561</v>
      </c>
      <c r="D18" s="883"/>
      <c r="E18" s="881">
        <v>1</v>
      </c>
      <c r="F18" s="884" t="s">
        <v>562</v>
      </c>
      <c r="G18" s="885"/>
      <c r="H18" s="877"/>
      <c r="I18" s="877"/>
    </row>
    <row r="19" spans="1:9" s="886" customFormat="1" ht="19.5" customHeight="1">
      <c r="A19" s="3330"/>
      <c r="B19" s="3330" t="s">
        <v>563</v>
      </c>
      <c r="C19" s="882" t="s">
        <v>564</v>
      </c>
      <c r="D19" s="883"/>
      <c r="E19" s="881">
        <v>0.9</v>
      </c>
      <c r="F19" s="884" t="s">
        <v>565</v>
      </c>
      <c r="G19" s="885"/>
      <c r="H19" s="877"/>
      <c r="I19" s="877"/>
    </row>
    <row r="20" spans="1:9" s="886" customFormat="1" ht="19.5" customHeight="1">
      <c r="A20" s="3330"/>
      <c r="B20" s="3330"/>
      <c r="C20" s="882" t="s">
        <v>566</v>
      </c>
      <c r="D20" s="883"/>
      <c r="E20" s="881">
        <v>1.1000000000000001</v>
      </c>
      <c r="F20" s="884" t="s">
        <v>567</v>
      </c>
      <c r="G20" s="885"/>
      <c r="H20" s="877"/>
      <c r="I20" s="877"/>
    </row>
    <row r="21" spans="1:9" s="886" customFormat="1" ht="19.5" customHeight="1">
      <c r="A21" s="3330"/>
      <c r="B21" s="3330"/>
      <c r="C21" s="882" t="s">
        <v>568</v>
      </c>
      <c r="D21" s="883"/>
      <c r="E21" s="881">
        <v>0.8</v>
      </c>
      <c r="F21" s="884" t="s">
        <v>569</v>
      </c>
      <c r="G21" s="885"/>
      <c r="H21" s="877"/>
      <c r="I21" s="877"/>
    </row>
    <row r="22" spans="1:9" s="886" customFormat="1" ht="19.5" customHeight="1">
      <c r="A22" s="3330"/>
      <c r="B22" s="3330"/>
      <c r="C22" s="882" t="s">
        <v>570</v>
      </c>
      <c r="D22" s="883"/>
      <c r="E22" s="881">
        <v>0.5</v>
      </c>
      <c r="F22" s="884"/>
      <c r="G22" s="885"/>
      <c r="H22" s="877"/>
      <c r="I22" s="877"/>
    </row>
    <row r="23" spans="1:9" s="886" customFormat="1" ht="19.5" customHeight="1">
      <c r="A23" s="3330" t="s">
        <v>184</v>
      </c>
      <c r="B23" s="881" t="s">
        <v>560</v>
      </c>
      <c r="C23" s="882" t="s">
        <v>571</v>
      </c>
      <c r="D23" s="883"/>
      <c r="E23" s="881">
        <v>1</v>
      </c>
      <c r="F23" s="884" t="s">
        <v>572</v>
      </c>
      <c r="G23" s="885"/>
      <c r="H23" s="877"/>
      <c r="I23" s="877"/>
    </row>
    <row r="24" spans="1:9" s="886" customFormat="1" ht="19.5" customHeight="1">
      <c r="A24" s="3330"/>
      <c r="B24" s="3330" t="s">
        <v>563</v>
      </c>
      <c r="C24" s="882" t="s">
        <v>573</v>
      </c>
      <c r="D24" s="883"/>
      <c r="E24" s="881">
        <v>0.5</v>
      </c>
      <c r="F24" s="884"/>
      <c r="G24" s="885"/>
      <c r="H24" s="877"/>
      <c r="I24" s="877"/>
    </row>
    <row r="25" spans="1:9" s="886" customFormat="1" ht="19.5" customHeight="1">
      <c r="A25" s="3330"/>
      <c r="B25" s="3330"/>
      <c r="C25" s="882" t="s">
        <v>574</v>
      </c>
      <c r="D25" s="883"/>
      <c r="E25" s="881">
        <v>1.1000000000000001</v>
      </c>
      <c r="F25" s="884"/>
      <c r="G25" s="885"/>
      <c r="H25" s="877"/>
      <c r="I25" s="877"/>
    </row>
    <row r="26" spans="1:9" s="886" customFormat="1" ht="19.5" customHeight="1">
      <c r="A26" s="3330"/>
      <c r="B26" s="3330"/>
      <c r="C26" s="882" t="s">
        <v>575</v>
      </c>
      <c r="D26" s="883"/>
      <c r="E26" s="881">
        <v>1.1000000000000001</v>
      </c>
      <c r="F26" s="884"/>
      <c r="G26" s="885"/>
      <c r="H26" s="877"/>
      <c r="I26" s="877"/>
    </row>
    <row r="27" spans="1:9" s="886" customFormat="1" ht="19.5" customHeight="1">
      <c r="A27" s="3330"/>
      <c r="B27" s="3330"/>
      <c r="C27" s="882" t="s">
        <v>576</v>
      </c>
      <c r="D27" s="883"/>
      <c r="E27" s="881">
        <v>0.9</v>
      </c>
      <c r="F27" s="884" t="s">
        <v>577</v>
      </c>
      <c r="G27" s="885"/>
      <c r="H27" s="877"/>
      <c r="I27" s="877"/>
    </row>
    <row r="28" spans="1:9" s="886" customFormat="1" ht="19.5" customHeight="1">
      <c r="A28" s="3330"/>
      <c r="B28" s="3330"/>
      <c r="C28" s="882" t="s">
        <v>578</v>
      </c>
      <c r="D28" s="883"/>
      <c r="E28" s="881">
        <v>0.9</v>
      </c>
      <c r="F28" s="884" t="s">
        <v>579</v>
      </c>
      <c r="G28" s="885"/>
      <c r="H28" s="877"/>
      <c r="I28" s="877"/>
    </row>
    <row r="29" spans="1:9" s="886" customFormat="1" ht="19.5" customHeight="1">
      <c r="A29" s="3330"/>
      <c r="B29" s="3330"/>
      <c r="C29" s="882" t="s">
        <v>580</v>
      </c>
      <c r="D29" s="883"/>
      <c r="E29" s="881">
        <v>0.9</v>
      </c>
      <c r="F29" s="884" t="s">
        <v>581</v>
      </c>
      <c r="G29" s="885"/>
      <c r="H29" s="877"/>
      <c r="I29" s="877"/>
    </row>
    <row r="30" spans="1:9" s="886" customFormat="1" ht="19.5" customHeight="1">
      <c r="A30" s="3330"/>
      <c r="B30" s="3330"/>
      <c r="C30" s="882" t="s">
        <v>582</v>
      </c>
      <c r="D30" s="883"/>
      <c r="E30" s="881">
        <v>0.9</v>
      </c>
      <c r="F30" s="884" t="s">
        <v>583</v>
      </c>
      <c r="G30" s="885"/>
      <c r="H30" s="877"/>
      <c r="I30" s="877"/>
    </row>
    <row r="31" spans="1:9" s="886" customFormat="1" ht="19.5" customHeight="1">
      <c r="A31" s="3330"/>
      <c r="B31" s="3330"/>
      <c r="C31" s="882" t="s">
        <v>584</v>
      </c>
      <c r="D31" s="883"/>
      <c r="E31" s="881">
        <v>0.8</v>
      </c>
      <c r="F31" s="884" t="s">
        <v>585</v>
      </c>
      <c r="G31" s="885"/>
      <c r="H31" s="877"/>
      <c r="I31" s="877"/>
    </row>
    <row r="32" spans="1:9" s="886" customFormat="1" ht="19.5" customHeight="1">
      <c r="A32" s="3330"/>
      <c r="B32" s="3330"/>
      <c r="C32" s="882" t="s">
        <v>586</v>
      </c>
      <c r="D32" s="883"/>
      <c r="E32" s="881">
        <v>0.8</v>
      </c>
      <c r="F32" s="884" t="s">
        <v>587</v>
      </c>
      <c r="G32" s="885"/>
      <c r="H32" s="877"/>
      <c r="I32" s="877"/>
    </row>
    <row r="33" spans="1:9" s="886" customFormat="1" ht="19.5" customHeight="1">
      <c r="A33" s="3330" t="s">
        <v>185</v>
      </c>
      <c r="B33" s="881" t="s">
        <v>560</v>
      </c>
      <c r="C33" s="882" t="s">
        <v>588</v>
      </c>
      <c r="D33" s="883"/>
      <c r="E33" s="881">
        <v>1</v>
      </c>
      <c r="F33" s="884" t="s">
        <v>589</v>
      </c>
      <c r="G33" s="885"/>
      <c r="H33" s="877"/>
      <c r="I33" s="877"/>
    </row>
    <row r="34" spans="1:9" s="886" customFormat="1" ht="19.5" customHeight="1">
      <c r="A34" s="3330"/>
      <c r="B34" s="881" t="s">
        <v>563</v>
      </c>
      <c r="C34" s="882" t="s">
        <v>590</v>
      </c>
      <c r="D34" s="883"/>
      <c r="E34" s="881">
        <v>1.5</v>
      </c>
      <c r="F34" s="884" t="s">
        <v>591</v>
      </c>
      <c r="G34" s="885"/>
      <c r="H34" s="877"/>
      <c r="I34" s="877"/>
    </row>
    <row r="35" spans="1:9" s="886" customFormat="1" ht="19.5" customHeight="1">
      <c r="A35" s="3330" t="s">
        <v>186</v>
      </c>
      <c r="B35" s="881" t="s">
        <v>560</v>
      </c>
      <c r="C35" s="882" t="s">
        <v>592</v>
      </c>
      <c r="D35" s="883"/>
      <c r="E35" s="881">
        <v>1</v>
      </c>
      <c r="F35" s="884" t="s">
        <v>593</v>
      </c>
      <c r="G35" s="885"/>
      <c r="H35" s="877"/>
      <c r="I35" s="877"/>
    </row>
    <row r="36" spans="1:9" s="886" customFormat="1" ht="19.5" customHeight="1">
      <c r="A36" s="3330"/>
      <c r="B36" s="3330" t="s">
        <v>563</v>
      </c>
      <c r="C36" s="882" t="s">
        <v>594</v>
      </c>
      <c r="D36" s="883"/>
      <c r="E36" s="881">
        <v>1</v>
      </c>
      <c r="F36" s="884" t="s">
        <v>595</v>
      </c>
      <c r="G36" s="885"/>
      <c r="H36" s="877"/>
      <c r="I36" s="877"/>
    </row>
    <row r="37" spans="1:9" s="886" customFormat="1" ht="19.5" customHeight="1">
      <c r="A37" s="3330"/>
      <c r="B37" s="3330"/>
      <c r="C37" s="882" t="s">
        <v>596</v>
      </c>
      <c r="D37" s="883"/>
      <c r="E37" s="881">
        <v>1.5</v>
      </c>
      <c r="F37" s="884" t="s">
        <v>597</v>
      </c>
      <c r="G37" s="885"/>
      <c r="H37" s="877"/>
      <c r="I37" s="877"/>
    </row>
    <row r="38" spans="1:9" s="886" customFormat="1" ht="19.5" customHeight="1">
      <c r="A38" s="3330"/>
      <c r="B38" s="3330"/>
      <c r="C38" s="882" t="s">
        <v>598</v>
      </c>
      <c r="D38" s="883"/>
      <c r="E38" s="881">
        <v>1</v>
      </c>
      <c r="F38" s="884" t="s">
        <v>599</v>
      </c>
      <c r="G38" s="885"/>
      <c r="H38" s="877"/>
      <c r="I38" s="877"/>
    </row>
    <row r="39" spans="1:9" s="886" customFormat="1" ht="19.5" customHeight="1">
      <c r="A39" s="3330"/>
      <c r="B39" s="333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0" t="s">
        <v>614</v>
      </c>
      <c r="C61" s="817" t="s">
        <v>615</v>
      </c>
      <c r="D61" s="817" t="s">
        <v>616</v>
      </c>
      <c r="E61" s="894">
        <v>0.5</v>
      </c>
      <c r="F61" s="881">
        <v>80</v>
      </c>
    </row>
    <row r="62" spans="1:8" s="877" customFormat="1" ht="24">
      <c r="A62" s="881">
        <v>2</v>
      </c>
      <c r="B62" s="3330"/>
      <c r="C62" s="817" t="s">
        <v>617</v>
      </c>
      <c r="D62" s="817" t="s">
        <v>618</v>
      </c>
      <c r="E62" s="894">
        <v>0.5</v>
      </c>
      <c r="F62" s="881">
        <v>80</v>
      </c>
    </row>
    <row r="63" spans="1:8" s="877" customFormat="1" ht="36">
      <c r="A63" s="881">
        <v>3</v>
      </c>
      <c r="B63" s="3330"/>
      <c r="C63" s="817" t="s">
        <v>619</v>
      </c>
      <c r="D63" s="817" t="s">
        <v>620</v>
      </c>
      <c r="E63" s="894">
        <v>0.5</v>
      </c>
      <c r="F63" s="881">
        <v>80</v>
      </c>
    </row>
    <row r="64" spans="1:8" s="877" customFormat="1" ht="36">
      <c r="A64" s="881">
        <v>4</v>
      </c>
      <c r="B64" s="3330"/>
      <c r="C64" s="817" t="s">
        <v>621</v>
      </c>
      <c r="D64" s="817" t="s">
        <v>622</v>
      </c>
      <c r="E64" s="894">
        <v>0.4</v>
      </c>
      <c r="F64" s="881">
        <v>60</v>
      </c>
    </row>
    <row r="65" spans="1:6" s="877" customFormat="1" ht="36">
      <c r="A65" s="881">
        <v>5</v>
      </c>
      <c r="B65" s="3330"/>
      <c r="C65" s="817" t="s">
        <v>623</v>
      </c>
      <c r="D65" s="817" t="s">
        <v>624</v>
      </c>
      <c r="E65" s="894">
        <v>0.2</v>
      </c>
      <c r="F65" s="881">
        <v>30</v>
      </c>
    </row>
    <row r="66" spans="1:6" s="877" customFormat="1" ht="36">
      <c r="A66" s="881">
        <v>6</v>
      </c>
      <c r="B66" s="3330"/>
      <c r="C66" s="817" t="s">
        <v>625</v>
      </c>
      <c r="D66" s="817" t="s">
        <v>626</v>
      </c>
      <c r="E66" s="894">
        <v>0.3</v>
      </c>
      <c r="F66" s="881">
        <v>50</v>
      </c>
    </row>
    <row r="67" spans="1:6" s="877" customFormat="1" ht="36">
      <c r="A67" s="881">
        <v>7</v>
      </c>
      <c r="B67" s="3330"/>
      <c r="C67" s="817" t="s">
        <v>627</v>
      </c>
      <c r="D67" s="817" t="s">
        <v>628</v>
      </c>
      <c r="E67" s="894">
        <v>0.2</v>
      </c>
      <c r="F67" s="881">
        <v>30</v>
      </c>
    </row>
    <row r="68" spans="1:6" s="877" customFormat="1" ht="36">
      <c r="A68" s="881">
        <v>8</v>
      </c>
      <c r="B68" s="3330"/>
      <c r="C68" s="817" t="s">
        <v>629</v>
      </c>
      <c r="D68" s="817" t="s">
        <v>630</v>
      </c>
      <c r="E68" s="894">
        <v>0.2</v>
      </c>
      <c r="F68" s="881">
        <v>30</v>
      </c>
    </row>
    <row r="69" spans="1:6" s="877" customFormat="1" ht="36">
      <c r="A69" s="881">
        <v>9</v>
      </c>
      <c r="B69" s="3330"/>
      <c r="C69" s="817" t="s">
        <v>631</v>
      </c>
      <c r="D69" s="817" t="s">
        <v>632</v>
      </c>
      <c r="E69" s="894">
        <v>0.2</v>
      </c>
      <c r="F69" s="881">
        <v>30</v>
      </c>
    </row>
    <row r="70" spans="1:6" s="877" customFormat="1" ht="48">
      <c r="A70" s="881">
        <v>10</v>
      </c>
      <c r="B70" s="3330"/>
      <c r="C70" s="817" t="s">
        <v>633</v>
      </c>
      <c r="D70" s="817" t="s">
        <v>634</v>
      </c>
      <c r="E70" s="894">
        <v>0.2</v>
      </c>
      <c r="F70" s="881">
        <v>30</v>
      </c>
    </row>
    <row r="71" spans="1:6" s="877" customFormat="1" ht="48">
      <c r="A71" s="881">
        <v>11</v>
      </c>
      <c r="B71" s="3330"/>
      <c r="C71" s="817" t="s">
        <v>635</v>
      </c>
      <c r="D71" s="817" t="s">
        <v>636</v>
      </c>
      <c r="E71" s="894">
        <v>0.2</v>
      </c>
      <c r="F71" s="881">
        <v>30</v>
      </c>
    </row>
    <row r="72" spans="1:6" s="877" customFormat="1" ht="36">
      <c r="A72" s="881">
        <v>12</v>
      </c>
      <c r="B72" s="3330"/>
      <c r="C72" s="817" t="s">
        <v>637</v>
      </c>
      <c r="D72" s="817" t="s">
        <v>638</v>
      </c>
      <c r="E72" s="894">
        <v>0.5</v>
      </c>
      <c r="F72" s="881">
        <v>80</v>
      </c>
    </row>
    <row r="73" spans="1:6" s="877" customFormat="1" ht="24">
      <c r="A73" s="881">
        <v>13</v>
      </c>
      <c r="B73" s="3330"/>
      <c r="C73" s="817" t="s">
        <v>639</v>
      </c>
      <c r="D73" s="817" t="s">
        <v>640</v>
      </c>
      <c r="E73" s="894">
        <v>0.4</v>
      </c>
      <c r="F73" s="881">
        <v>60</v>
      </c>
    </row>
    <row r="74" spans="1:6" s="877" customFormat="1" ht="24">
      <c r="A74" s="881">
        <v>14</v>
      </c>
      <c r="B74" s="3330"/>
      <c r="C74" s="817" t="s">
        <v>641</v>
      </c>
      <c r="D74" s="817" t="s">
        <v>642</v>
      </c>
      <c r="E74" s="894">
        <v>0.2</v>
      </c>
      <c r="F74" s="881">
        <v>30</v>
      </c>
    </row>
    <row r="75" spans="1:6" s="877" customFormat="1" ht="24">
      <c r="A75" s="881">
        <v>15</v>
      </c>
      <c r="B75" s="3330"/>
      <c r="C75" s="817" t="s">
        <v>643</v>
      </c>
      <c r="D75" s="817" t="s">
        <v>644</v>
      </c>
      <c r="E75" s="894">
        <v>0.2</v>
      </c>
      <c r="F75" s="881">
        <v>30</v>
      </c>
    </row>
    <row r="76" spans="1:6" s="877" customFormat="1" ht="24">
      <c r="A76" s="881">
        <v>16</v>
      </c>
      <c r="B76" s="3330" t="s">
        <v>645</v>
      </c>
      <c r="C76" s="817" t="s">
        <v>646</v>
      </c>
      <c r="D76" s="817" t="s">
        <v>647</v>
      </c>
      <c r="E76" s="894">
        <v>0.5</v>
      </c>
      <c r="F76" s="881">
        <v>80</v>
      </c>
    </row>
    <row r="77" spans="1:6" s="877" customFormat="1" ht="24">
      <c r="A77" s="881">
        <v>17</v>
      </c>
      <c r="B77" s="3330"/>
      <c r="C77" s="817" t="s">
        <v>648</v>
      </c>
      <c r="D77" s="817" t="s">
        <v>649</v>
      </c>
      <c r="E77" s="894">
        <v>0.5</v>
      </c>
      <c r="F77" s="881">
        <v>80</v>
      </c>
    </row>
    <row r="78" spans="1:6" s="877" customFormat="1" ht="24">
      <c r="A78" s="881">
        <v>18</v>
      </c>
      <c r="B78" s="3330"/>
      <c r="C78" s="817" t="s">
        <v>650</v>
      </c>
      <c r="D78" s="817" t="s">
        <v>651</v>
      </c>
      <c r="E78" s="894">
        <v>0.2</v>
      </c>
      <c r="F78" s="881">
        <v>30</v>
      </c>
    </row>
    <row r="79" spans="1:6" s="877" customFormat="1" ht="24">
      <c r="A79" s="881">
        <v>19</v>
      </c>
      <c r="B79" s="3330"/>
      <c r="C79" s="817" t="s">
        <v>652</v>
      </c>
      <c r="D79" s="817" t="s">
        <v>653</v>
      </c>
      <c r="E79" s="894">
        <v>0.5</v>
      </c>
      <c r="F79" s="881">
        <v>80</v>
      </c>
    </row>
    <row r="80" spans="1:6" s="877" customFormat="1" ht="36">
      <c r="A80" s="881">
        <v>20</v>
      </c>
      <c r="B80" s="3330"/>
      <c r="C80" s="817" t="s">
        <v>654</v>
      </c>
      <c r="D80" s="817" t="s">
        <v>655</v>
      </c>
      <c r="E80" s="894">
        <v>0.2</v>
      </c>
      <c r="F80" s="881">
        <v>30</v>
      </c>
    </row>
    <row r="81" spans="1:6" s="877" customFormat="1" ht="36">
      <c r="A81" s="881">
        <v>21</v>
      </c>
      <c r="B81" s="3330"/>
      <c r="C81" s="817" t="s">
        <v>656</v>
      </c>
      <c r="D81" s="817" t="s">
        <v>657</v>
      </c>
      <c r="E81" s="894">
        <v>0.2</v>
      </c>
      <c r="F81" s="881">
        <v>30</v>
      </c>
    </row>
    <row r="82" spans="1:6" s="877" customFormat="1" ht="48">
      <c r="A82" s="881">
        <v>22</v>
      </c>
      <c r="B82" s="3330"/>
      <c r="C82" s="817" t="s">
        <v>658</v>
      </c>
      <c r="D82" s="817" t="s">
        <v>659</v>
      </c>
      <c r="E82" s="894">
        <v>0.2</v>
      </c>
      <c r="F82" s="881">
        <v>30</v>
      </c>
    </row>
    <row r="83" spans="1:6" s="877" customFormat="1" ht="48">
      <c r="A83" s="881">
        <v>23</v>
      </c>
      <c r="B83" s="3330"/>
      <c r="C83" s="817" t="s">
        <v>660</v>
      </c>
      <c r="D83" s="817" t="s">
        <v>661</v>
      </c>
      <c r="E83" s="894">
        <v>0.2</v>
      </c>
      <c r="F83" s="881">
        <v>30</v>
      </c>
    </row>
    <row r="84" spans="1:6" s="877" customFormat="1" ht="36">
      <c r="A84" s="881">
        <v>24</v>
      </c>
      <c r="B84" s="3330"/>
      <c r="C84" s="817" t="s">
        <v>662</v>
      </c>
      <c r="D84" s="817" t="s">
        <v>663</v>
      </c>
      <c r="E84" s="894">
        <v>0.2</v>
      </c>
      <c r="F84" s="881">
        <v>30</v>
      </c>
    </row>
    <row r="85" spans="1:6" s="877" customFormat="1" ht="36">
      <c r="A85" s="881">
        <v>25</v>
      </c>
      <c r="B85" s="3330"/>
      <c r="C85" s="817" t="s">
        <v>664</v>
      </c>
      <c r="D85" s="817" t="s">
        <v>665</v>
      </c>
      <c r="E85" s="894">
        <v>0.5</v>
      </c>
      <c r="F85" s="881">
        <v>80</v>
      </c>
    </row>
    <row r="86" spans="1:6" s="877" customFormat="1" ht="36">
      <c r="A86" s="881">
        <v>26</v>
      </c>
      <c r="B86" s="3330"/>
      <c r="C86" s="817" t="s">
        <v>666</v>
      </c>
      <c r="D86" s="817" t="s">
        <v>667</v>
      </c>
      <c r="E86" s="894">
        <v>0.2</v>
      </c>
      <c r="F86" s="881">
        <v>30</v>
      </c>
    </row>
    <row r="87" spans="1:6" s="877" customFormat="1" ht="36">
      <c r="A87" s="881">
        <v>27</v>
      </c>
      <c r="B87" s="3330"/>
      <c r="C87" s="817" t="s">
        <v>668</v>
      </c>
      <c r="D87" s="817" t="s">
        <v>669</v>
      </c>
      <c r="E87" s="894">
        <v>0.2</v>
      </c>
      <c r="F87" s="881">
        <v>30</v>
      </c>
    </row>
    <row r="88" spans="1:6" s="877" customFormat="1" ht="36">
      <c r="A88" s="881">
        <v>28</v>
      </c>
      <c r="B88" s="3330"/>
      <c r="C88" s="817" t="s">
        <v>670</v>
      </c>
      <c r="D88" s="817" t="s">
        <v>671</v>
      </c>
      <c r="E88" s="894">
        <v>0.2</v>
      </c>
      <c r="F88" s="881">
        <v>30</v>
      </c>
    </row>
    <row r="89" spans="1:6" s="877" customFormat="1" ht="24">
      <c r="A89" s="881">
        <v>29</v>
      </c>
      <c r="B89" s="3330"/>
      <c r="C89" s="817" t="s">
        <v>672</v>
      </c>
      <c r="D89" s="817" t="s">
        <v>673</v>
      </c>
      <c r="E89" s="894">
        <v>0.2</v>
      </c>
      <c r="F89" s="881">
        <v>30</v>
      </c>
    </row>
    <row r="90" spans="1:6" s="877" customFormat="1" ht="24">
      <c r="A90" s="881">
        <v>30</v>
      </c>
      <c r="B90" s="3330"/>
      <c r="C90" s="817" t="s">
        <v>674</v>
      </c>
      <c r="D90" s="817" t="s">
        <v>675</v>
      </c>
      <c r="E90" s="894">
        <v>0.2</v>
      </c>
      <c r="F90" s="881">
        <v>30</v>
      </c>
    </row>
    <row r="91" spans="1:6" s="877" customFormat="1" ht="36">
      <c r="A91" s="881">
        <v>31</v>
      </c>
      <c r="B91" s="3330"/>
      <c r="C91" s="817" t="s">
        <v>676</v>
      </c>
      <c r="D91" s="817" t="s">
        <v>677</v>
      </c>
      <c r="E91" s="894">
        <v>0.2</v>
      </c>
      <c r="F91" s="881">
        <v>30</v>
      </c>
    </row>
    <row r="92" spans="1:6" s="877" customFormat="1" ht="24">
      <c r="A92" s="881">
        <v>32</v>
      </c>
      <c r="B92" s="3330" t="s">
        <v>678</v>
      </c>
      <c r="C92" s="881" t="s">
        <v>679</v>
      </c>
      <c r="D92" s="817" t="s">
        <v>680</v>
      </c>
      <c r="E92" s="894">
        <v>0.2</v>
      </c>
      <c r="F92" s="881">
        <v>30</v>
      </c>
    </row>
    <row r="93" spans="1:6" s="877" customFormat="1" ht="36">
      <c r="A93" s="881">
        <v>33</v>
      </c>
      <c r="B93" s="3330"/>
      <c r="C93" s="881" t="s">
        <v>681</v>
      </c>
      <c r="D93" s="817" t="s">
        <v>682</v>
      </c>
      <c r="E93" s="894">
        <v>0.2</v>
      </c>
      <c r="F93" s="881">
        <v>30</v>
      </c>
    </row>
    <row r="94" spans="1:6" s="877" customFormat="1" ht="48">
      <c r="A94" s="881">
        <v>34</v>
      </c>
      <c r="B94" s="3330"/>
      <c r="C94" s="881" t="s">
        <v>683</v>
      </c>
      <c r="D94" s="817" t="s">
        <v>684</v>
      </c>
      <c r="E94" s="894">
        <v>0.2</v>
      </c>
      <c r="F94" s="881">
        <v>30</v>
      </c>
    </row>
    <row r="95" spans="1:6" s="877" customFormat="1" ht="36">
      <c r="A95" s="881">
        <v>35</v>
      </c>
      <c r="B95" s="3330"/>
      <c r="C95" s="881" t="s">
        <v>685</v>
      </c>
      <c r="D95" s="817" t="s">
        <v>686</v>
      </c>
      <c r="E95" s="894">
        <v>0.2</v>
      </c>
      <c r="F95" s="881">
        <v>30</v>
      </c>
    </row>
    <row r="96" spans="1:6" s="877" customFormat="1" ht="48">
      <c r="A96" s="881">
        <v>36</v>
      </c>
      <c r="B96" s="3330"/>
      <c r="C96" s="817" t="s">
        <v>687</v>
      </c>
      <c r="D96" s="817" t="s">
        <v>688</v>
      </c>
      <c r="E96" s="894">
        <v>0.2</v>
      </c>
      <c r="F96" s="881">
        <v>30</v>
      </c>
    </row>
    <row r="97" spans="1:6" s="877" customFormat="1" ht="36">
      <c r="A97" s="881">
        <v>37</v>
      </c>
      <c r="B97" s="3330"/>
      <c r="C97" s="881" t="s">
        <v>689</v>
      </c>
      <c r="D97" s="817" t="s">
        <v>690</v>
      </c>
      <c r="E97" s="894">
        <v>0.2</v>
      </c>
      <c r="F97" s="881">
        <v>30</v>
      </c>
    </row>
    <row r="98" spans="1:6" s="877" customFormat="1" ht="36">
      <c r="A98" s="881">
        <v>38</v>
      </c>
      <c r="B98" s="3330"/>
      <c r="C98" s="881" t="s">
        <v>691</v>
      </c>
      <c r="D98" s="817" t="s">
        <v>692</v>
      </c>
      <c r="E98" s="894">
        <v>0.2</v>
      </c>
      <c r="F98" s="881">
        <v>30</v>
      </c>
    </row>
    <row r="99" spans="1:6" s="877" customFormat="1" ht="36">
      <c r="A99" s="881">
        <v>39</v>
      </c>
      <c r="B99" s="3330" t="s">
        <v>693</v>
      </c>
      <c r="C99" s="881" t="s">
        <v>694</v>
      </c>
      <c r="D99" s="817" t="s">
        <v>695</v>
      </c>
      <c r="E99" s="894">
        <v>0.3</v>
      </c>
      <c r="F99" s="881">
        <v>50</v>
      </c>
    </row>
    <row r="100" spans="1:6" s="877" customFormat="1" ht="24">
      <c r="A100" s="881">
        <v>40</v>
      </c>
      <c r="B100" s="3330"/>
      <c r="C100" s="881" t="s">
        <v>696</v>
      </c>
      <c r="D100" s="817" t="s">
        <v>697</v>
      </c>
      <c r="E100" s="894">
        <v>0.2</v>
      </c>
      <c r="F100" s="881">
        <v>30</v>
      </c>
    </row>
    <row r="101" spans="1:6" s="877" customFormat="1" ht="36">
      <c r="A101" s="881">
        <v>41</v>
      </c>
      <c r="B101" s="333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0" t="s">
        <v>708</v>
      </c>
      <c r="C105" s="881" t="s">
        <v>709</v>
      </c>
      <c r="D105" s="817" t="s">
        <v>710</v>
      </c>
      <c r="E105" s="894">
        <v>0.2</v>
      </c>
      <c r="F105" s="881">
        <v>30</v>
      </c>
    </row>
    <row r="106" spans="1:6" s="877" customFormat="1" ht="36">
      <c r="A106" s="881">
        <v>46</v>
      </c>
      <c r="B106" s="3330"/>
      <c r="C106" s="881" t="s">
        <v>711</v>
      </c>
      <c r="D106" s="817" t="s">
        <v>712</v>
      </c>
      <c r="E106" s="894">
        <v>0.2</v>
      </c>
      <c r="F106" s="881">
        <v>30</v>
      </c>
    </row>
    <row r="107" spans="1:6" s="877" customFormat="1" ht="36">
      <c r="A107" s="881">
        <v>47</v>
      </c>
      <c r="B107" s="3330" t="s">
        <v>713</v>
      </c>
      <c r="C107" s="881" t="s">
        <v>714</v>
      </c>
      <c r="D107" s="817" t="s">
        <v>715</v>
      </c>
      <c r="E107" s="894">
        <v>0.3</v>
      </c>
      <c r="F107" s="881">
        <v>50</v>
      </c>
    </row>
    <row r="108" spans="1:6" s="877" customFormat="1" ht="36">
      <c r="A108" s="881">
        <v>48</v>
      </c>
      <c r="B108" s="333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0" t="s">
        <v>724</v>
      </c>
      <c r="C111" s="881" t="s">
        <v>725</v>
      </c>
      <c r="D111" s="817" t="s">
        <v>726</v>
      </c>
      <c r="E111" s="894">
        <v>0.2</v>
      </c>
      <c r="F111" s="881">
        <v>30</v>
      </c>
    </row>
    <row r="112" spans="1:6" s="877" customFormat="1" ht="24">
      <c r="A112" s="881">
        <v>52</v>
      </c>
      <c r="B112" s="3330"/>
      <c r="C112" s="881" t="s">
        <v>727</v>
      </c>
      <c r="D112" s="817" t="s">
        <v>728</v>
      </c>
      <c r="E112" s="894">
        <v>0.2</v>
      </c>
      <c r="F112" s="881">
        <v>30</v>
      </c>
    </row>
    <row r="113" spans="1:6" s="877" customFormat="1" ht="24">
      <c r="A113" s="881">
        <v>53</v>
      </c>
      <c r="B113" s="333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0" t="s">
        <v>737</v>
      </c>
      <c r="C116" s="881" t="s">
        <v>738</v>
      </c>
      <c r="D116" s="817" t="s">
        <v>739</v>
      </c>
      <c r="E116" s="894">
        <v>0.2</v>
      </c>
      <c r="F116" s="881">
        <v>30</v>
      </c>
    </row>
    <row r="117" spans="1:6" ht="36">
      <c r="A117" s="881">
        <v>57</v>
      </c>
      <c r="B117" s="333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2998</v>
      </c>
    </row>
    <row r="2" spans="1:5" ht="15.75">
      <c r="A2" s="2896" t="s">
        <v>2990</v>
      </c>
      <c r="B2" s="2897" t="e">
        <f ca="1">SUMIF(B6:B13,"&lt;&gt;#ref!",B6:B13)</f>
        <v>#DIV/0!</v>
      </c>
      <c r="C2" s="2896" t="s">
        <v>2991</v>
      </c>
      <c r="D2" s="2896" t="s">
        <v>2992</v>
      </c>
      <c r="E2" s="2897">
        <f ca="1">SUMIF(E6:E13,"&lt;&gt;#ref!",E6:E13)</f>
        <v>0</v>
      </c>
    </row>
    <row r="3" spans="1:5" ht="15.75">
      <c r="A3" s="2896" t="s">
        <v>2993</v>
      </c>
      <c r="B3" s="2897" t="e">
        <f ca="1">ROUND(B2*10000/E2,0)</f>
        <v>#DIV/0!</v>
      </c>
      <c r="C3" s="2896" t="s">
        <v>2999</v>
      </c>
      <c r="D3" s="2898"/>
      <c r="E3" s="2898"/>
    </row>
    <row r="4" spans="1:5" ht="15.75">
      <c r="A4" s="2899"/>
      <c r="B4" s="2898"/>
      <c r="C4" s="2898"/>
      <c r="D4" s="2898"/>
      <c r="E4" s="2898"/>
    </row>
    <row r="5" spans="1:5" ht="28.5">
      <c r="A5" s="2900" t="s">
        <v>2994</v>
      </c>
      <c r="B5" s="2896" t="s">
        <v>2995</v>
      </c>
      <c r="C5" s="2897"/>
      <c r="D5" s="2898"/>
      <c r="E5" s="2896" t="s">
        <v>2996</v>
      </c>
    </row>
    <row r="6" spans="1:5" ht="15.75">
      <c r="A6" s="2901" t="s">
        <v>2997</v>
      </c>
      <c r="B6" s="2897" t="e">
        <f ca="1">SUMIF(INDIRECT("'"&amp;A6&amp;"'"&amp;"!A:A"),"总价",INDIRECT("'"&amp;A6&amp;"'"&amp;"!B:B"))</f>
        <v>#DIV/0!</v>
      </c>
      <c r="C6" s="2896" t="s">
        <v>2991</v>
      </c>
      <c r="D6" s="2898"/>
      <c r="E6" s="2569">
        <f ca="1">SUMIF(INDIRECT("'"&amp;A6&amp;"'"&amp;"!C:C"),"建筑面积",INDIRECT("'"&amp;A6&amp;"'"&amp;"!D:D"))</f>
        <v>0</v>
      </c>
    </row>
    <row r="7" spans="1:5" ht="15.75">
      <c r="A7" s="2901"/>
      <c r="B7" s="2897" t="e">
        <f ca="1">SUMIF(INDIRECT("'"&amp;A7&amp;"'"&amp;"!A:A"),"总价",INDIRECT("'"&amp;A7&amp;"'"&amp;"!B:B"))</f>
        <v>#REF!</v>
      </c>
      <c r="C7" s="2896" t="s">
        <v>2991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2991</v>
      </c>
      <c r="D8" s="2898"/>
      <c r="E8" s="2569" t="e">
        <f t="shared" ca="1" si="0"/>
        <v>#REF!</v>
      </c>
    </row>
    <row r="9" spans="1:5" ht="15.75">
      <c r="A9" s="2901"/>
      <c r="B9" s="2897" t="e">
        <f t="shared" ca="1" si="1"/>
        <v>#REF!</v>
      </c>
      <c r="C9" s="2896" t="s">
        <v>2991</v>
      </c>
      <c r="D9" s="2898"/>
      <c r="E9" s="2569" t="e">
        <f t="shared" ca="1" si="0"/>
        <v>#REF!</v>
      </c>
    </row>
    <row r="10" spans="1:5" ht="15.75">
      <c r="A10" s="2901"/>
      <c r="B10" s="2897" t="e">
        <f t="shared" ca="1" si="1"/>
        <v>#REF!</v>
      </c>
      <c r="C10" s="2896" t="s">
        <v>2991</v>
      </c>
      <c r="D10" s="2898"/>
      <c r="E10" s="2569" t="e">
        <f t="shared" ca="1" si="0"/>
        <v>#REF!</v>
      </c>
    </row>
    <row r="11" spans="1:5" ht="15.75">
      <c r="A11" s="2901"/>
      <c r="B11" s="2897" t="e">
        <f t="shared" ca="1" si="1"/>
        <v>#REF!</v>
      </c>
      <c r="C11" s="2896" t="s">
        <v>2991</v>
      </c>
      <c r="D11" s="2898"/>
      <c r="E11" s="2569" t="e">
        <f t="shared" ca="1" si="0"/>
        <v>#REF!</v>
      </c>
    </row>
    <row r="12" spans="1:5" ht="15.75">
      <c r="A12" s="2901"/>
      <c r="B12" s="2897" t="e">
        <f t="shared" ca="1" si="1"/>
        <v>#REF!</v>
      </c>
      <c r="C12" s="2896" t="s">
        <v>2991</v>
      </c>
      <c r="D12" s="2898"/>
      <c r="E12" s="2569" t="e">
        <f t="shared" ca="1" si="0"/>
        <v>#REF!</v>
      </c>
    </row>
    <row r="13" spans="1:5" ht="15.75">
      <c r="A13" s="2901"/>
      <c r="B13" s="2897" t="e">
        <f t="shared" ca="1" si="1"/>
        <v>#REF!</v>
      </c>
      <c r="C13" s="2896" t="s">
        <v>2991</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6" t="s">
        <v>1146</v>
      </c>
      <c r="C1" s="3336"/>
      <c r="D1" s="3336"/>
      <c r="E1" s="3336"/>
      <c r="F1" s="3336"/>
      <c r="G1" s="3335" t="s">
        <v>1147</v>
      </c>
      <c r="H1" s="3335"/>
      <c r="I1" s="3335"/>
      <c r="J1" s="3335"/>
      <c r="K1" s="3335"/>
      <c r="L1" s="3335"/>
      <c r="N1" s="3335" t="s">
        <v>1148</v>
      </c>
      <c r="O1" s="3335"/>
      <c r="P1" s="3335"/>
      <c r="Q1" s="3335"/>
      <c r="R1" s="1444"/>
      <c r="S1" s="3335" t="s">
        <v>1149</v>
      </c>
      <c r="T1" s="3335"/>
      <c r="U1" s="3335"/>
      <c r="V1" s="3335"/>
      <c r="X1" s="3334" t="s">
        <v>1150</v>
      </c>
      <c r="Y1" s="3335"/>
      <c r="Z1" s="3335"/>
      <c r="AA1" s="3335"/>
      <c r="AB1" s="3335"/>
      <c r="AD1" s="3334" t="s">
        <v>1151</v>
      </c>
      <c r="AE1" s="3335"/>
      <c r="AF1" s="3335"/>
      <c r="AG1" s="3335"/>
      <c r="AH1" s="333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2" customFormat="1" ht="14.25">
      <c r="A3" s="2921" t="s">
        <v>3027</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51" customFormat="1" ht="14.25">
      <c r="B4" s="1452"/>
      <c r="C4" s="1452"/>
      <c r="D4" s="1453"/>
      <c r="E4" s="1453"/>
      <c r="F4" s="1452"/>
      <c r="G4" s="1454"/>
      <c r="H4" s="1455"/>
      <c r="I4" s="2907"/>
      <c r="J4" s="2907"/>
      <c r="K4" s="2907"/>
      <c r="L4" s="2907"/>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3044</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1">
        <v>2019</v>
      </c>
      <c r="H5" s="1728">
        <v>3</v>
      </c>
      <c r="I5" s="2908">
        <v>0</v>
      </c>
      <c r="J5" s="2908">
        <v>0</v>
      </c>
      <c r="K5" s="2908">
        <v>0</v>
      </c>
      <c r="L5" s="2908">
        <v>0</v>
      </c>
      <c r="N5" s="1465">
        <f>I5/100</f>
        <v>0</v>
      </c>
      <c r="O5" s="1465">
        <f t="shared" ref="O5" si="7">J5/100</f>
        <v>0</v>
      </c>
      <c r="P5" s="1465">
        <f t="shared" ref="P5" si="8">K5/100</f>
        <v>0</v>
      </c>
      <c r="Q5" s="1465">
        <f t="shared" ref="Q5" si="9">L5/100</f>
        <v>0</v>
      </c>
      <c r="R5" s="1730"/>
      <c r="S5" s="1731"/>
      <c r="T5" s="1730"/>
      <c r="U5" s="1730"/>
      <c r="V5" s="1730"/>
      <c r="W5" s="2911" t="s">
        <v>3028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1">
        <v>2019</v>
      </c>
      <c r="H6" s="1460">
        <v>2</v>
      </c>
      <c r="I6" s="2945">
        <v>1.53</v>
      </c>
      <c r="J6" s="2945">
        <v>1.01</v>
      </c>
      <c r="K6" s="2945">
        <v>1.62</v>
      </c>
      <c r="L6" s="294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4" customFormat="1" ht="13.5" thickBot="1">
      <c r="A7" s="1459" t="s">
        <v>3040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5">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4" customFormat="1">
      <c r="A8" s="1459" t="s">
        <v>3045</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332">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4" customFormat="1" ht="14.45" customHeight="1">
      <c r="A9" s="1459" t="s">
        <v>3034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32"/>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4" customFormat="1" ht="14.45" customHeight="1">
      <c r="A10" s="1459" t="s">
        <v>3033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32"/>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4" customFormat="1" ht="15" customHeight="1" thickBot="1">
      <c r="A11" s="1459" t="s">
        <v>3026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41"/>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9" t="s">
        <v>3023</v>
      </c>
      <c r="B12" s="1467">
        <v>439</v>
      </c>
      <c r="C12" s="1467">
        <v>327</v>
      </c>
      <c r="D12" s="1467">
        <f>C12</f>
        <v>327</v>
      </c>
      <c r="E12" s="1467">
        <v>627</v>
      </c>
      <c r="F12" s="1468">
        <v>283</v>
      </c>
      <c r="G12" s="3337">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32"/>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32"/>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1"/>
      <c r="AD14" s="1786">
        <f>ROUND(AVERAGE(I14:I$27)/100,4)</f>
        <v>2.46E-2</v>
      </c>
      <c r="AE14" s="1786">
        <f>ROUND(AVERAGE(J14:J$27)/100,4)</f>
        <v>1.6E-2</v>
      </c>
      <c r="AF14" s="1786">
        <f t="shared" si="1"/>
        <v>1.6E-2</v>
      </c>
      <c r="AG14" s="1786">
        <f>ROUND(AVERAGE(K14:K$27)/100,4)</f>
        <v>2.75E-2</v>
      </c>
      <c r="AH14" s="1786">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41"/>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9" t="s">
        <v>154</v>
      </c>
      <c r="B16" s="1467">
        <v>392</v>
      </c>
      <c r="C16" s="1467">
        <v>302</v>
      </c>
      <c r="D16" s="1467">
        <f>C16</f>
        <v>302</v>
      </c>
      <c r="E16" s="1467">
        <v>553</v>
      </c>
      <c r="F16" s="1468">
        <v>266</v>
      </c>
      <c r="G16" s="3337">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32"/>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32"/>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33"/>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31">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32"/>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32"/>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33"/>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31">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32"/>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32"/>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33"/>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38">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39"/>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39"/>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40"/>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31">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32"/>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32"/>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33"/>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31">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32">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32">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33">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31">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32">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32">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33">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31">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32">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32">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33">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31">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32">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32">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33">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31">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32">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32">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33">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31">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32">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32">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33">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31">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32">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32">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33">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31">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32">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32">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33">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31">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32">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32">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33">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31">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32">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32">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33">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A3" sqref="A3"/>
    </sheetView>
  </sheetViews>
  <sheetFormatPr defaultColWidth="9" defaultRowHeight="12.75"/>
  <cols>
    <col min="1" max="1" width="26.625" style="138"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701"/>
    <col min="19" max="19" width="9" style="138"/>
    <col min="20" max="45" width="9" style="794"/>
    <col min="46" max="16384" width="9" style="138"/>
  </cols>
  <sheetData>
    <row r="1" spans="1:45" ht="14.25" customHeight="1" thickBot="1">
      <c r="A1" s="154"/>
      <c r="B1" s="1202" t="s">
        <v>3000</v>
      </c>
      <c r="C1" s="3343" t="s">
        <v>3001</v>
      </c>
      <c r="D1" s="3344"/>
      <c r="E1" s="3344"/>
      <c r="F1" s="3344"/>
      <c r="G1" s="3344"/>
      <c r="H1" s="3344"/>
      <c r="I1" s="3344"/>
      <c r="J1" s="3344"/>
      <c r="K1" s="3344"/>
      <c r="L1" s="3344"/>
      <c r="M1" s="3344"/>
      <c r="N1" s="3344"/>
      <c r="O1" s="3344"/>
      <c r="P1" s="3344"/>
      <c r="Q1" s="3344"/>
      <c r="R1" s="3344"/>
      <c r="S1" s="3345"/>
      <c r="T1" s="1202" t="s">
        <v>3002</v>
      </c>
    </row>
    <row r="2" spans="1:45" s="706" customFormat="1" ht="38.25">
      <c r="A2" s="1203"/>
      <c r="B2" s="702" t="s">
        <v>3003</v>
      </c>
      <c r="C2" s="703" t="str">
        <f t="shared" ref="C2:L2" si="0">C3&amp;"(含)"&amp;"-"&amp;D3</f>
        <v>0(含)-100</v>
      </c>
      <c r="D2" s="704" t="str">
        <f t="shared" si="0"/>
        <v>100(含)-200</v>
      </c>
      <c r="E2" s="704" t="str">
        <f t="shared" si="0"/>
        <v>200(含)-500</v>
      </c>
      <c r="F2" s="704" t="str">
        <f t="shared" si="0"/>
        <v>500(含)-1000</v>
      </c>
      <c r="G2" s="704" t="str">
        <f t="shared" si="0"/>
        <v>1000(含)-1500</v>
      </c>
      <c r="H2" s="704" t="str">
        <f t="shared" si="0"/>
        <v>1500(含)-2000</v>
      </c>
      <c r="I2" s="704" t="str">
        <f t="shared" si="0"/>
        <v>2000(含)-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v>
      </c>
      <c r="E3" s="709">
        <v>200</v>
      </c>
      <c r="F3" s="1702">
        <v>500</v>
      </c>
      <c r="G3" s="1702">
        <v>1000</v>
      </c>
      <c r="H3" s="1702">
        <v>1500</v>
      </c>
      <c r="I3" s="1702">
        <v>2000</v>
      </c>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99</v>
      </c>
      <c r="E4" s="1209">
        <v>98</v>
      </c>
      <c r="F4" s="1706">
        <v>97</v>
      </c>
      <c r="G4" s="1706">
        <v>96</v>
      </c>
      <c r="H4" s="1706">
        <v>95</v>
      </c>
      <c r="I4" s="1706">
        <v>94</v>
      </c>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5.5">
      <c r="A5" s="1213"/>
      <c r="B5" s="2963" t="s">
        <v>3188</v>
      </c>
      <c r="C5" s="1214" t="s">
        <v>3189</v>
      </c>
      <c r="D5" s="1215" t="s">
        <v>3191</v>
      </c>
      <c r="E5" s="1215" t="s">
        <v>3193</v>
      </c>
      <c r="F5" s="1709" t="s">
        <v>3195</v>
      </c>
      <c r="G5" s="1709" t="s">
        <v>3196</v>
      </c>
      <c r="H5" s="1709"/>
      <c r="I5" s="1709"/>
      <c r="J5" s="1709"/>
      <c r="K5" s="1709"/>
      <c r="L5" s="1710"/>
      <c r="M5" s="1711"/>
      <c r="N5" s="1711"/>
      <c r="O5" s="1709"/>
      <c r="P5" s="1709"/>
      <c r="Q5" s="1709"/>
      <c r="R5" s="1709"/>
      <c r="S5" s="1712"/>
      <c r="T5" s="1217">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5"/>
      <c r="C6" s="1120">
        <v>100</v>
      </c>
      <c r="D6" s="1118">
        <f>C6-$T5</f>
        <v>98</v>
      </c>
      <c r="E6" s="1118">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2998" t="s">
        <v>3352</v>
      </c>
      <c r="C7" s="2999" t="s">
        <v>3353</v>
      </c>
      <c r="D7" s="3000" t="s">
        <v>3354</v>
      </c>
      <c r="E7" s="1114"/>
      <c r="F7" s="1714"/>
      <c r="G7" s="1714"/>
      <c r="H7" s="1714"/>
      <c r="I7" s="1714"/>
      <c r="J7" s="1714"/>
      <c r="K7" s="1714"/>
      <c r="L7" s="1714"/>
      <c r="M7" s="1715"/>
      <c r="N7" s="1716"/>
      <c r="O7" s="1717"/>
      <c r="P7" s="1718"/>
      <c r="Q7" s="1719"/>
      <c r="R7" s="1720"/>
      <c r="S7" s="1721"/>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5"/>
      <c r="C8" s="1120">
        <v>100</v>
      </c>
      <c r="D8" s="1118">
        <f>C8-$T7</f>
        <v>98</v>
      </c>
      <c r="E8" s="1118">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7"/>
      <c r="U8" s="797"/>
      <c r="V8" s="797">
        <v>33499</v>
      </c>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2998" t="s">
        <v>3243</v>
      </c>
      <c r="C9" s="2999" t="s">
        <v>3355</v>
      </c>
      <c r="D9" s="3000" t="s">
        <v>3356</v>
      </c>
      <c r="E9" s="1114"/>
      <c r="F9" s="1714"/>
      <c r="G9" s="1714"/>
      <c r="H9" s="1714"/>
      <c r="I9" s="1714"/>
      <c r="J9" s="1714"/>
      <c r="K9" s="1714"/>
      <c r="L9" s="1722"/>
      <c r="M9" s="1715"/>
      <c r="N9" s="1716"/>
      <c r="O9" s="1717"/>
      <c r="P9" s="1718"/>
      <c r="Q9" s="1719"/>
      <c r="R9" s="1720"/>
      <c r="S9" s="1721"/>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98</v>
      </c>
      <c r="E10" s="1219">
        <f t="shared" ref="E10:S10" si="9">D10-$T9</f>
        <v>96</v>
      </c>
      <c r="F10" s="1723">
        <f t="shared" si="9"/>
        <v>94</v>
      </c>
      <c r="G10" s="1723">
        <f t="shared" si="9"/>
        <v>92</v>
      </c>
      <c r="H10" s="1723">
        <f t="shared" si="9"/>
        <v>90</v>
      </c>
      <c r="I10" s="1723">
        <f t="shared" si="9"/>
        <v>88</v>
      </c>
      <c r="J10" s="1723">
        <f t="shared" si="9"/>
        <v>86</v>
      </c>
      <c r="K10" s="1723">
        <f t="shared" si="9"/>
        <v>84</v>
      </c>
      <c r="L10" s="1723">
        <f t="shared" si="9"/>
        <v>82</v>
      </c>
      <c r="M10" s="1723">
        <f t="shared" si="9"/>
        <v>80</v>
      </c>
      <c r="N10" s="1723">
        <f t="shared" si="9"/>
        <v>78</v>
      </c>
      <c r="O10" s="1723">
        <f t="shared" si="9"/>
        <v>76</v>
      </c>
      <c r="P10" s="1723">
        <f t="shared" si="9"/>
        <v>74</v>
      </c>
      <c r="Q10" s="1723">
        <f t="shared" si="9"/>
        <v>72</v>
      </c>
      <c r="R10" s="1723">
        <f t="shared" si="9"/>
        <v>70</v>
      </c>
      <c r="S10" s="1723">
        <f t="shared" si="9"/>
        <v>68</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2963" t="s">
        <v>3367</v>
      </c>
      <c r="C11" s="3002" t="s">
        <v>3368</v>
      </c>
      <c r="D11" s="3003" t="s">
        <v>3370</v>
      </c>
      <c r="E11" s="3003" t="s">
        <v>3364</v>
      </c>
      <c r="F11" s="3003" t="s">
        <v>3365</v>
      </c>
      <c r="G11" s="3003" t="s">
        <v>3366</v>
      </c>
      <c r="H11" s="1215"/>
      <c r="I11" s="1215"/>
      <c r="J11" s="1215"/>
      <c r="K11" s="1215"/>
      <c r="L11" s="1215"/>
      <c r="M11" s="1216"/>
      <c r="N11" s="1220"/>
      <c r="O11" s="1221"/>
      <c r="P11" s="1222"/>
      <c r="Q11" s="1223"/>
      <c r="R11" s="1224"/>
      <c r="S11" s="1225"/>
      <c r="T11" s="1217">
        <v>10</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5"/>
      <c r="C12" s="1120">
        <v>100</v>
      </c>
      <c r="D12" s="1118">
        <f>C12-$T11</f>
        <v>90</v>
      </c>
      <c r="E12" s="1118">
        <f t="shared" ref="E12:S12" si="10">D12-$T11</f>
        <v>80</v>
      </c>
      <c r="F12" s="1118">
        <f t="shared" si="10"/>
        <v>70</v>
      </c>
      <c r="G12" s="1118">
        <f t="shared" si="10"/>
        <v>60</v>
      </c>
      <c r="H12" s="1118">
        <f t="shared" si="10"/>
        <v>50</v>
      </c>
      <c r="I12" s="1118">
        <f t="shared" si="10"/>
        <v>40</v>
      </c>
      <c r="J12" s="1118">
        <f t="shared" si="10"/>
        <v>30</v>
      </c>
      <c r="K12" s="1118">
        <f t="shared" si="10"/>
        <v>20</v>
      </c>
      <c r="L12" s="1118">
        <f t="shared" si="10"/>
        <v>10</v>
      </c>
      <c r="M12" s="1118">
        <f t="shared" si="10"/>
        <v>0</v>
      </c>
      <c r="N12" s="1118">
        <f t="shared" si="10"/>
        <v>-10</v>
      </c>
      <c r="O12" s="1118">
        <f t="shared" si="10"/>
        <v>-20</v>
      </c>
      <c r="P12" s="1118">
        <f t="shared" si="10"/>
        <v>-30</v>
      </c>
      <c r="Q12" s="1118">
        <f t="shared" si="10"/>
        <v>-40</v>
      </c>
      <c r="R12" s="1118">
        <f>Q12-$T11</f>
        <v>-50</v>
      </c>
      <c r="S12" s="1118">
        <f t="shared" si="10"/>
        <v>-60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3"/>
      <c r="B13" s="1767" t="s">
        <v>3004</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3"/>
      <c r="B14" s="1115"/>
      <c r="C14" s="1119"/>
      <c r="D14" s="1116"/>
      <c r="E14" s="1116"/>
      <c r="F14" s="1116"/>
      <c r="G14" s="1116"/>
      <c r="H14" s="1116"/>
      <c r="I14" s="1116"/>
      <c r="J14" s="1116"/>
      <c r="K14" s="1116"/>
      <c r="L14" s="1116"/>
      <c r="M14" s="1227"/>
      <c r="N14" s="1227"/>
      <c r="O14" s="1116"/>
      <c r="P14" s="1116"/>
      <c r="Q14" s="1116"/>
      <c r="R14" s="1116"/>
      <c r="S14" s="1228"/>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3"/>
      <c r="B15" s="1767" t="s">
        <v>3005</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2" t="s">
        <v>3006</v>
      </c>
      <c r="B17" s="2903" t="s">
        <v>3007</v>
      </c>
      <c r="C17" s="1229">
        <v>1</v>
      </c>
      <c r="D17" s="2977" t="s">
        <v>3186</v>
      </c>
      <c r="E17" s="2977" t="s">
        <v>3187</v>
      </c>
      <c r="F17" s="1230">
        <v>2</v>
      </c>
      <c r="G17" s="1230">
        <v>3</v>
      </c>
      <c r="H17" s="1230">
        <v>4</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v>100</v>
      </c>
      <c r="D18" s="2978">
        <v>75</v>
      </c>
      <c r="E18" s="2978">
        <v>50</v>
      </c>
      <c r="F18" s="1242">
        <v>50</v>
      </c>
      <c r="G18" s="1242">
        <v>45</v>
      </c>
      <c r="H18" s="1242">
        <v>40</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4" t="s">
        <v>3008</v>
      </c>
      <c r="E19" s="1789"/>
      <c r="F19" s="1789"/>
      <c r="G19" s="1789"/>
      <c r="H19" s="1278"/>
      <c r="I19" s="167"/>
      <c r="J19" s="167"/>
      <c r="K19" s="167"/>
      <c r="L19" s="167"/>
      <c r="M19" s="167"/>
      <c r="N19" s="167"/>
      <c r="O19" s="167"/>
      <c r="P19" s="167"/>
      <c r="Q19" s="167"/>
      <c r="R19" s="787"/>
      <c r="S19" s="137"/>
    </row>
    <row r="20" spans="1:45" ht="16.5" thickBot="1">
      <c r="A20" s="714" t="s">
        <v>3009</v>
      </c>
      <c r="B20" s="337">
        <f ca="1">IF(D20="——",S22,S22-F20)</f>
        <v>21009</v>
      </c>
      <c r="C20" s="167"/>
      <c r="D20" s="2905" t="s">
        <v>70</v>
      </c>
      <c r="E20" s="1790"/>
      <c r="F20" s="1202" t="e">
        <f ca="1">SUMIF(INDIRECT("'"&amp;H20&amp;"'"&amp;"!A:A"),"承租人权益价值",INDIRECT("'"&amp;H20&amp;"'"&amp;"!c:c"))</f>
        <v>#REF!</v>
      </c>
      <c r="G20" s="1202" t="s">
        <v>3010</v>
      </c>
      <c r="H20" s="2906"/>
      <c r="I20" s="167"/>
      <c r="J20" s="167"/>
      <c r="K20" s="167"/>
      <c r="L20" s="167"/>
      <c r="M20" s="167"/>
      <c r="N20" s="167"/>
      <c r="O20" s="167"/>
      <c r="P20" s="167"/>
      <c r="Q20" s="167"/>
      <c r="R20" s="787"/>
      <c r="S20" s="137"/>
    </row>
    <row r="21" spans="1:45" ht="15.75">
      <c r="A21" s="714" t="s">
        <v>3011</v>
      </c>
      <c r="B21" s="337">
        <f ca="1">R22</f>
        <v>12901</v>
      </c>
      <c r="C21" s="167"/>
      <c r="D21" s="167"/>
      <c r="E21" s="167"/>
      <c r="F21" s="167"/>
      <c r="G21" s="167"/>
      <c r="H21" s="167"/>
      <c r="I21" s="167"/>
      <c r="J21" s="167"/>
      <c r="K21" s="167"/>
      <c r="L21" s="167"/>
      <c r="M21" s="167"/>
      <c r="N21" s="167"/>
      <c r="O21" s="167"/>
      <c r="P21" s="167"/>
      <c r="Q21" s="167"/>
      <c r="R21" s="787"/>
      <c r="S21" s="137"/>
    </row>
    <row r="22" spans="1:45">
      <c r="A22" s="360" t="s">
        <v>3012</v>
      </c>
      <c r="B22" s="24">
        <f>SUM(B24:B10000)</f>
        <v>16284.279999999995</v>
      </c>
      <c r="C22" s="3202" t="s">
        <v>33</v>
      </c>
      <c r="D22" s="3203"/>
      <c r="E22" s="3203"/>
      <c r="F22" s="3203"/>
      <c r="G22" s="3203"/>
      <c r="H22" s="3203"/>
      <c r="I22" s="3203"/>
      <c r="J22" s="3203"/>
      <c r="K22" s="3203"/>
      <c r="L22" s="3203"/>
      <c r="M22" s="3203"/>
      <c r="N22" s="3203"/>
      <c r="O22" s="3203"/>
      <c r="P22" s="3203"/>
      <c r="Q22" s="3342"/>
      <c r="R22" s="715">
        <f ca="1">ROUND(S22*10000/B22,0)</f>
        <v>12901</v>
      </c>
      <c r="S22" s="24">
        <f ca="1">SUM(S24:S10000)</f>
        <v>21009</v>
      </c>
      <c r="U22" s="794" t="s">
        <v>3351</v>
      </c>
    </row>
    <row r="23" spans="1:45" s="12" customFormat="1" ht="24">
      <c r="A23" s="11" t="s">
        <v>3013</v>
      </c>
      <c r="B23" s="2980" t="s">
        <v>3014</v>
      </c>
      <c r="C23" s="11" t="s">
        <v>3015</v>
      </c>
      <c r="D23" s="11" t="str">
        <f>B5</f>
        <v>成新率</v>
      </c>
      <c r="E23" s="11" t="s">
        <v>3015</v>
      </c>
      <c r="F23" s="11" t="str">
        <f>B7</f>
        <v>建筑类型</v>
      </c>
      <c r="G23" s="11" t="s">
        <v>3015</v>
      </c>
      <c r="H23" s="11" t="str">
        <f>B9</f>
        <v>建筑结构</v>
      </c>
      <c r="I23" s="11" t="s">
        <v>3015</v>
      </c>
      <c r="J23" s="11" t="str">
        <f>B11</f>
        <v>人流量</v>
      </c>
      <c r="K23" s="11" t="s">
        <v>3015</v>
      </c>
      <c r="L23" s="11" t="str">
        <f>B13</f>
        <v>修正项6</v>
      </c>
      <c r="M23" s="11" t="s">
        <v>3015</v>
      </c>
      <c r="N23" s="11" t="str">
        <f>B15</f>
        <v>修正项7</v>
      </c>
      <c r="O23" s="11" t="s">
        <v>3015</v>
      </c>
      <c r="P23" s="11" t="str">
        <f>B17</f>
        <v>楼层</v>
      </c>
      <c r="Q23" s="11" t="s">
        <v>3015</v>
      </c>
      <c r="R23" s="716" t="s">
        <v>3016</v>
      </c>
      <c r="S23" s="11" t="s">
        <v>3017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Sheet1!B2</f>
        <v>15万楼</v>
      </c>
      <c r="B24" s="717">
        <f>Sheet1!C2</f>
        <v>424.2</v>
      </c>
      <c r="C24" s="718">
        <v>1</v>
      </c>
      <c r="D24" s="719" t="s">
        <v>3192</v>
      </c>
      <c r="E24" s="718">
        <v>1</v>
      </c>
      <c r="F24" s="3001" t="s">
        <v>3357</v>
      </c>
      <c r="G24" s="718">
        <v>1</v>
      </c>
      <c r="H24" s="3001" t="s">
        <v>3361</v>
      </c>
      <c r="I24" s="718">
        <v>1</v>
      </c>
      <c r="J24" s="3001" t="s">
        <v>3369</v>
      </c>
      <c r="K24" s="718">
        <v>1</v>
      </c>
      <c r="L24" s="719"/>
      <c r="M24" s="718">
        <v>1</v>
      </c>
      <c r="N24" s="719"/>
      <c r="O24" s="718">
        <v>1</v>
      </c>
      <c r="P24" s="719">
        <f>Sheet1!D2</f>
        <v>1</v>
      </c>
      <c r="Q24" s="718">
        <v>1</v>
      </c>
      <c r="R24" s="720">
        <f ca="1">结果表!G20</f>
        <v>16627</v>
      </c>
      <c r="S24" s="718">
        <f t="shared" ref="S24:S54" ca="1" si="11">ROUND(R24*B24/10000,0)</f>
        <v>705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Sheet1!B3</f>
        <v>和平商场</v>
      </c>
      <c r="B25" s="717">
        <f>Sheet1!C3</f>
        <v>1318.25</v>
      </c>
      <c r="C25" s="24">
        <f>IF(B25="",1,(LOOKUP(B25,$3:$3,$4:$4)-LOOKUP($B$24,$3:$3,$4:$4)+100)/100)</f>
        <v>0.98</v>
      </c>
      <c r="D25" s="719" t="s">
        <v>3192</v>
      </c>
      <c r="E25" s="24">
        <f>(SUMIF($5:$5,D25,$6:$6)-SUMIF($5:$5,$D$24,$6:$6)+100)/100</f>
        <v>1</v>
      </c>
      <c r="F25" s="3001" t="s">
        <v>3358</v>
      </c>
      <c r="G25" s="24">
        <f>(SUMIF($7:$7,F25,$8:$8)-SUMIF($7:$7,$F$24,$8:$8)+100)/100</f>
        <v>1.02</v>
      </c>
      <c r="H25" s="3001" t="s">
        <v>3362</v>
      </c>
      <c r="I25" s="24">
        <f>(SUMIF($9:$9,H25,$10:$10)-SUMIF($9:$9,$H$24,$10:$10)+100)/100</f>
        <v>1.02</v>
      </c>
      <c r="J25" s="3001" t="s">
        <v>3369</v>
      </c>
      <c r="K25" s="24">
        <f>(SUMIF($11:$11,J25,$12:$12)-SUMIF($11:$11,$J$24,$12:$12)+100)/100</f>
        <v>1</v>
      </c>
      <c r="L25" s="719"/>
      <c r="M25" s="24">
        <f>(SUMIF($13:$13,L25,$14:$14)-SUMIF($13:$13,$L$24,$14:$14)+100)/100</f>
        <v>1</v>
      </c>
      <c r="N25" s="719"/>
      <c r="O25" s="24">
        <f>(SUMIF($15:$15,N25,$16:$16)-SUMIF($15:$15,$N$24,$16:$16)+100)/100</f>
        <v>1</v>
      </c>
      <c r="P25" s="719" t="str">
        <f>Sheet1!D3</f>
        <v>1-2</v>
      </c>
      <c r="Q25" s="24">
        <f>(SUMIF($17:$17,P25,$18:$18)-SUMIF($17:$17,$P$24,$18:$18)+100)/100</f>
        <v>0.75</v>
      </c>
      <c r="R25" s="715">
        <f ca="1">IF(B25="",0,ROUND($R$24*C25*E25*G25*I25*K25*M25*O25*Q25,0))</f>
        <v>12715</v>
      </c>
      <c r="S25" s="360">
        <f t="shared" ca="1" si="11"/>
        <v>1676</v>
      </c>
      <c r="V25" s="794">
        <v>1</v>
      </c>
      <c r="W25" s="794">
        <v>1</v>
      </c>
      <c r="X25" s="794">
        <v>2</v>
      </c>
      <c r="Y25" s="794">
        <v>18000</v>
      </c>
    </row>
    <row r="26" spans="1:45">
      <c r="A26" s="717" t="str">
        <f>Sheet1!B4</f>
        <v>敬业商场</v>
      </c>
      <c r="B26" s="717">
        <f>Sheet1!C4</f>
        <v>1498.53</v>
      </c>
      <c r="C26" s="24">
        <f t="shared" ref="C26:C89" si="12">IF(B26="",1,(LOOKUP(B26,$3:$3,$4:$4)-LOOKUP($B$24,$3:$3,$4:$4)+100)/100)</f>
        <v>0.98</v>
      </c>
      <c r="D26" s="719" t="s">
        <v>3192</v>
      </c>
      <c r="E26" s="24">
        <f t="shared" ref="E26:E89" si="13">(SUMIF($5:$5,D26,$6:$6)-SUMIF($5:$5,$D$24,$6:$6)+100)/100</f>
        <v>1</v>
      </c>
      <c r="F26" s="3001" t="s">
        <v>3353</v>
      </c>
      <c r="G26" s="24">
        <f t="shared" ref="G26:G89" si="14">(SUMIF($7:$7,F26,$8:$8)-SUMIF($7:$7,$F$24,$8:$8)+100)/100</f>
        <v>1.02</v>
      </c>
      <c r="H26" s="3001" t="s">
        <v>3355</v>
      </c>
      <c r="I26" s="24">
        <f t="shared" ref="I26:I89" si="15">(SUMIF($9:$9,H26,$10:$10)-SUMIF($9:$9,$H$24,$10:$10)+100)/100</f>
        <v>1.02</v>
      </c>
      <c r="J26" s="3001" t="s">
        <v>3369</v>
      </c>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tr">
        <f>Sheet1!D4</f>
        <v>1-3</v>
      </c>
      <c r="Q26" s="24">
        <f t="shared" ref="Q26:Q89" si="19">(SUMIF($17:$17,P26,$18:$18)-SUMIF($17:$17,$P$24,$18:$18)+100)/100</f>
        <v>0.5</v>
      </c>
      <c r="R26" s="715">
        <f t="shared" ref="R26:R89" ca="1" si="20">IF(B26="",0,ROUND($R$24*C26*E26*G26*I26*K26*M26*O26*Q26,0))</f>
        <v>8476</v>
      </c>
      <c r="S26" s="360">
        <f t="shared" ca="1" si="11"/>
        <v>1270</v>
      </c>
      <c r="V26" s="794">
        <v>2</v>
      </c>
      <c r="W26" s="794">
        <v>0.5</v>
      </c>
      <c r="X26" s="794">
        <f>X25*W26</f>
        <v>1</v>
      </c>
      <c r="Y26" s="794">
        <f>Y25*W26</f>
        <v>9000</v>
      </c>
      <c r="Z26" s="794">
        <f>AVERAGE(Y25:Y26)</f>
        <v>13500</v>
      </c>
      <c r="AA26" s="794">
        <f>Z26/Y25</f>
        <v>0.75</v>
      </c>
    </row>
    <row r="27" spans="1:45">
      <c r="A27" s="717" t="str">
        <f>Sheet1!B5</f>
        <v>阳光花园</v>
      </c>
      <c r="B27" s="717">
        <f>Sheet1!C5</f>
        <v>626</v>
      </c>
      <c r="C27" s="24">
        <f t="shared" si="12"/>
        <v>0.99</v>
      </c>
      <c r="D27" s="719" t="s">
        <v>3194</v>
      </c>
      <c r="E27" s="24">
        <f t="shared" si="13"/>
        <v>0.98</v>
      </c>
      <c r="F27" s="3001" t="s">
        <v>3354</v>
      </c>
      <c r="G27" s="24">
        <f t="shared" si="14"/>
        <v>1</v>
      </c>
      <c r="H27" s="3001" t="s">
        <v>3356</v>
      </c>
      <c r="I27" s="24">
        <f t="shared" si="15"/>
        <v>1</v>
      </c>
      <c r="J27" s="3001" t="s">
        <v>3369</v>
      </c>
      <c r="K27" s="24">
        <f t="shared" si="16"/>
        <v>1</v>
      </c>
      <c r="L27" s="719"/>
      <c r="M27" s="24">
        <f t="shared" si="17"/>
        <v>1</v>
      </c>
      <c r="N27" s="719"/>
      <c r="O27" s="24">
        <f t="shared" si="18"/>
        <v>1</v>
      </c>
      <c r="P27" s="719">
        <f>Sheet1!D5</f>
        <v>1</v>
      </c>
      <c r="Q27" s="24">
        <f t="shared" si="19"/>
        <v>1</v>
      </c>
      <c r="R27" s="715">
        <f t="shared" ca="1" si="20"/>
        <v>16132</v>
      </c>
      <c r="S27" s="360">
        <f t="shared" ca="1" si="11"/>
        <v>1010</v>
      </c>
      <c r="V27" s="794">
        <v>3</v>
      </c>
      <c r="W27" s="794">
        <v>0.3</v>
      </c>
      <c r="X27" s="794">
        <f>X25*W27</f>
        <v>0.6</v>
      </c>
      <c r="Y27" s="794">
        <f>Y25*W27</f>
        <v>5400</v>
      </c>
      <c r="Z27" s="794">
        <f>AVERAGE(Y25:Y27)</f>
        <v>10800</v>
      </c>
      <c r="AA27" s="794">
        <f>Z27/Y25</f>
        <v>0.6</v>
      </c>
    </row>
    <row r="28" spans="1:45">
      <c r="A28" s="717" t="str">
        <f>Sheet1!B6</f>
        <v>西桥街平房</v>
      </c>
      <c r="B28" s="717">
        <f>Sheet1!C6</f>
        <v>163.43</v>
      </c>
      <c r="C28" s="24">
        <f t="shared" si="12"/>
        <v>1.01</v>
      </c>
      <c r="D28" s="719" t="s">
        <v>3194</v>
      </c>
      <c r="E28" s="24">
        <f t="shared" si="13"/>
        <v>0.98</v>
      </c>
      <c r="F28" s="3001" t="s">
        <v>3354</v>
      </c>
      <c r="G28" s="24">
        <f t="shared" si="14"/>
        <v>1</v>
      </c>
      <c r="H28" s="3001" t="s">
        <v>3356</v>
      </c>
      <c r="I28" s="24">
        <f t="shared" si="15"/>
        <v>1</v>
      </c>
      <c r="J28" s="3001" t="s">
        <v>3369</v>
      </c>
      <c r="K28" s="24">
        <f t="shared" si="16"/>
        <v>1</v>
      </c>
      <c r="L28" s="719"/>
      <c r="M28" s="24">
        <f t="shared" si="17"/>
        <v>1</v>
      </c>
      <c r="N28" s="719"/>
      <c r="O28" s="24">
        <f t="shared" si="18"/>
        <v>1</v>
      </c>
      <c r="P28" s="719">
        <f>Sheet1!D6</f>
        <v>1</v>
      </c>
      <c r="Q28" s="24">
        <f t="shared" si="19"/>
        <v>1</v>
      </c>
      <c r="R28" s="715">
        <f t="shared" ca="1" si="20"/>
        <v>16457</v>
      </c>
      <c r="S28" s="360">
        <f t="shared" ca="1" si="11"/>
        <v>269</v>
      </c>
    </row>
    <row r="29" spans="1:45">
      <c r="A29" s="717" t="str">
        <f>Sheet1!B7</f>
        <v>老水力局楼</v>
      </c>
      <c r="B29" s="717">
        <f>Sheet1!C7</f>
        <v>285.99</v>
      </c>
      <c r="C29" s="24">
        <f t="shared" si="12"/>
        <v>1</v>
      </c>
      <c r="D29" s="719" t="s">
        <v>3190</v>
      </c>
      <c r="E29" s="24">
        <f t="shared" si="13"/>
        <v>1.02</v>
      </c>
      <c r="F29" s="3001" t="s">
        <v>3354</v>
      </c>
      <c r="G29" s="24">
        <f t="shared" si="14"/>
        <v>1</v>
      </c>
      <c r="H29" s="3001" t="s">
        <v>3356</v>
      </c>
      <c r="I29" s="24">
        <f t="shared" si="15"/>
        <v>1</v>
      </c>
      <c r="J29" s="3001" t="s">
        <v>3213</v>
      </c>
      <c r="K29" s="24">
        <f t="shared" si="16"/>
        <v>0.9</v>
      </c>
      <c r="L29" s="719"/>
      <c r="M29" s="24">
        <f t="shared" si="17"/>
        <v>1</v>
      </c>
      <c r="N29" s="719"/>
      <c r="O29" s="24">
        <f t="shared" si="18"/>
        <v>1</v>
      </c>
      <c r="P29" s="719">
        <f>Sheet1!D7</f>
        <v>1</v>
      </c>
      <c r="Q29" s="24">
        <f t="shared" si="19"/>
        <v>1</v>
      </c>
      <c r="R29" s="715">
        <f t="shared" ca="1" si="20"/>
        <v>15264</v>
      </c>
      <c r="S29" s="360">
        <f t="shared" ca="1" si="11"/>
        <v>437</v>
      </c>
    </row>
    <row r="30" spans="1:45">
      <c r="A30" s="717" t="str">
        <f>Sheet1!B8</f>
        <v>炕头街平房</v>
      </c>
      <c r="B30" s="717">
        <f>Sheet1!C8</f>
        <v>564.07000000000005</v>
      </c>
      <c r="C30" s="24">
        <f t="shared" si="12"/>
        <v>0.99</v>
      </c>
      <c r="D30" s="719" t="s">
        <v>3194</v>
      </c>
      <c r="E30" s="24">
        <f t="shared" si="13"/>
        <v>0.98</v>
      </c>
      <c r="F30" s="3001" t="s">
        <v>3354</v>
      </c>
      <c r="G30" s="24">
        <f t="shared" si="14"/>
        <v>1</v>
      </c>
      <c r="H30" s="3001" t="s">
        <v>3356</v>
      </c>
      <c r="I30" s="24">
        <f t="shared" si="15"/>
        <v>1</v>
      </c>
      <c r="J30" s="3001" t="s">
        <v>3213</v>
      </c>
      <c r="K30" s="24">
        <f t="shared" si="16"/>
        <v>0.9</v>
      </c>
      <c r="L30" s="719"/>
      <c r="M30" s="24">
        <f t="shared" si="17"/>
        <v>1</v>
      </c>
      <c r="N30" s="719"/>
      <c r="O30" s="24">
        <f t="shared" si="18"/>
        <v>1</v>
      </c>
      <c r="P30" s="719">
        <f>Sheet1!D8</f>
        <v>1</v>
      </c>
      <c r="Q30" s="24">
        <f t="shared" si="19"/>
        <v>1</v>
      </c>
      <c r="R30" s="715">
        <f t="shared" ca="1" si="20"/>
        <v>14518</v>
      </c>
      <c r="S30" s="360">
        <f t="shared" ca="1" si="11"/>
        <v>819</v>
      </c>
    </row>
    <row r="31" spans="1:45">
      <c r="A31" s="717" t="str">
        <f>Sheet1!B9</f>
        <v>陶器楼</v>
      </c>
      <c r="B31" s="717">
        <f>Sheet1!C9</f>
        <v>149.12</v>
      </c>
      <c r="C31" s="24">
        <f t="shared" si="12"/>
        <v>1.01</v>
      </c>
      <c r="D31" s="719" t="s">
        <v>3194</v>
      </c>
      <c r="E31" s="24">
        <f t="shared" si="13"/>
        <v>0.98</v>
      </c>
      <c r="F31" s="3001" t="s">
        <v>3354</v>
      </c>
      <c r="G31" s="24">
        <f t="shared" si="14"/>
        <v>1</v>
      </c>
      <c r="H31" s="3001" t="s">
        <v>3356</v>
      </c>
      <c r="I31" s="24">
        <f t="shared" si="15"/>
        <v>1</v>
      </c>
      <c r="J31" s="3001" t="s">
        <v>3213</v>
      </c>
      <c r="K31" s="24">
        <f t="shared" si="16"/>
        <v>0.9</v>
      </c>
      <c r="L31" s="719"/>
      <c r="M31" s="24">
        <f t="shared" si="17"/>
        <v>1</v>
      </c>
      <c r="N31" s="719"/>
      <c r="O31" s="24">
        <f t="shared" si="18"/>
        <v>1</v>
      </c>
      <c r="P31" s="719">
        <f>Sheet1!D9</f>
        <v>1</v>
      </c>
      <c r="Q31" s="24">
        <f t="shared" si="19"/>
        <v>1</v>
      </c>
      <c r="R31" s="715">
        <f t="shared" ca="1" si="20"/>
        <v>14812</v>
      </c>
      <c r="S31" s="360">
        <f t="shared" ca="1" si="11"/>
        <v>221</v>
      </c>
    </row>
    <row r="32" spans="1:45">
      <c r="A32" s="717" t="str">
        <f>Sheet1!B10</f>
        <v>炕头街平房</v>
      </c>
      <c r="B32" s="717"/>
      <c r="C32" s="24">
        <f t="shared" si="12"/>
        <v>1</v>
      </c>
      <c r="D32" s="719" t="s">
        <v>3194</v>
      </c>
      <c r="E32" s="24">
        <f t="shared" si="13"/>
        <v>0.98</v>
      </c>
      <c r="F32" s="3001" t="s">
        <v>3354</v>
      </c>
      <c r="G32" s="24">
        <f t="shared" si="14"/>
        <v>1</v>
      </c>
      <c r="H32" s="3001" t="s">
        <v>3356</v>
      </c>
      <c r="I32" s="24">
        <f t="shared" si="15"/>
        <v>1</v>
      </c>
      <c r="J32" s="3001" t="s">
        <v>3213</v>
      </c>
      <c r="K32" s="24">
        <f t="shared" si="16"/>
        <v>0.9</v>
      </c>
      <c r="L32" s="719"/>
      <c r="M32" s="24">
        <f t="shared" si="17"/>
        <v>1</v>
      </c>
      <c r="N32" s="719"/>
      <c r="O32" s="24">
        <f t="shared" si="18"/>
        <v>1</v>
      </c>
      <c r="P32" s="719">
        <f>Sheet1!D10</f>
        <v>1</v>
      </c>
      <c r="Q32" s="24">
        <f t="shared" si="19"/>
        <v>1</v>
      </c>
      <c r="R32" s="715">
        <f t="shared" si="20"/>
        <v>0</v>
      </c>
      <c r="S32" s="360">
        <f t="shared" si="11"/>
        <v>0</v>
      </c>
    </row>
    <row r="33" spans="1:21">
      <c r="A33" s="717" t="str">
        <f>Sheet1!B11</f>
        <v>食品公司</v>
      </c>
      <c r="B33" s="717">
        <f>Sheet1!C11</f>
        <v>386.96</v>
      </c>
      <c r="C33" s="24">
        <f t="shared" si="12"/>
        <v>1</v>
      </c>
      <c r="D33" s="719" t="s">
        <v>3194</v>
      </c>
      <c r="E33" s="24">
        <f t="shared" si="13"/>
        <v>0.98</v>
      </c>
      <c r="F33" s="3001" t="s">
        <v>3354</v>
      </c>
      <c r="G33" s="24">
        <f t="shared" si="14"/>
        <v>1</v>
      </c>
      <c r="H33" s="3001" t="s">
        <v>3356</v>
      </c>
      <c r="I33" s="24">
        <f t="shared" si="15"/>
        <v>1</v>
      </c>
      <c r="J33" s="3001" t="s">
        <v>3369</v>
      </c>
      <c r="K33" s="24">
        <f t="shared" si="16"/>
        <v>1</v>
      </c>
      <c r="L33" s="719"/>
      <c r="M33" s="24">
        <f t="shared" si="17"/>
        <v>1</v>
      </c>
      <c r="N33" s="719"/>
      <c r="O33" s="24">
        <f t="shared" si="18"/>
        <v>1</v>
      </c>
      <c r="P33" s="719">
        <f>Sheet1!D11</f>
        <v>1</v>
      </c>
      <c r="Q33" s="24">
        <f t="shared" si="19"/>
        <v>1</v>
      </c>
      <c r="R33" s="715">
        <f t="shared" ca="1" si="20"/>
        <v>16294</v>
      </c>
      <c r="S33" s="360">
        <f t="shared" ca="1" si="11"/>
        <v>631</v>
      </c>
    </row>
    <row r="34" spans="1:21">
      <c r="A34" s="717" t="str">
        <f>Sheet1!B12</f>
        <v>梦洁商场</v>
      </c>
      <c r="B34" s="717">
        <f>Sheet1!C12</f>
        <v>440.3</v>
      </c>
      <c r="C34" s="24">
        <f t="shared" si="12"/>
        <v>1</v>
      </c>
      <c r="D34" s="719" t="s">
        <v>3192</v>
      </c>
      <c r="E34" s="24">
        <f t="shared" si="13"/>
        <v>1</v>
      </c>
      <c r="F34" s="3001" t="s">
        <v>3353</v>
      </c>
      <c r="G34" s="24">
        <f t="shared" si="14"/>
        <v>1.02</v>
      </c>
      <c r="H34" s="3001" t="s">
        <v>3355</v>
      </c>
      <c r="I34" s="24">
        <f t="shared" si="15"/>
        <v>1.02</v>
      </c>
      <c r="J34" s="3001" t="s">
        <v>3369</v>
      </c>
      <c r="K34" s="24">
        <f t="shared" si="16"/>
        <v>1</v>
      </c>
      <c r="L34" s="719"/>
      <c r="M34" s="24">
        <f t="shared" si="17"/>
        <v>1</v>
      </c>
      <c r="N34" s="719"/>
      <c r="O34" s="24">
        <f t="shared" si="18"/>
        <v>1</v>
      </c>
      <c r="P34" s="2997">
        <v>1</v>
      </c>
      <c r="Q34" s="24">
        <f t="shared" si="19"/>
        <v>1</v>
      </c>
      <c r="R34" s="715">
        <f t="shared" ca="1" si="20"/>
        <v>17299</v>
      </c>
      <c r="S34" s="360">
        <f t="shared" ca="1" si="11"/>
        <v>762</v>
      </c>
    </row>
    <row r="35" spans="1:21">
      <c r="A35" s="717" t="str">
        <f>Sheet1!B13</f>
        <v>楚剧团还建楼</v>
      </c>
      <c r="B35" s="717">
        <f>Sheet1!C13</f>
        <v>404.55</v>
      </c>
      <c r="C35" s="24">
        <f t="shared" si="12"/>
        <v>1</v>
      </c>
      <c r="D35" s="719" t="s">
        <v>3194</v>
      </c>
      <c r="E35" s="24">
        <f t="shared" si="13"/>
        <v>0.98</v>
      </c>
      <c r="F35" s="3001" t="s">
        <v>3354</v>
      </c>
      <c r="G35" s="24">
        <f t="shared" si="14"/>
        <v>1</v>
      </c>
      <c r="H35" s="3001" t="s">
        <v>3355</v>
      </c>
      <c r="I35" s="24">
        <f t="shared" si="15"/>
        <v>1.02</v>
      </c>
      <c r="J35" s="3001" t="s">
        <v>3369</v>
      </c>
      <c r="K35" s="24">
        <f t="shared" si="16"/>
        <v>1</v>
      </c>
      <c r="L35" s="719"/>
      <c r="M35" s="24">
        <f t="shared" si="17"/>
        <v>1</v>
      </c>
      <c r="N35" s="719"/>
      <c r="O35" s="24">
        <f t="shared" si="18"/>
        <v>1</v>
      </c>
      <c r="P35" s="2997">
        <v>2</v>
      </c>
      <c r="Q35" s="24">
        <f t="shared" si="19"/>
        <v>0.5</v>
      </c>
      <c r="R35" s="715">
        <f t="shared" ca="1" si="20"/>
        <v>8310</v>
      </c>
      <c r="S35" s="360">
        <f t="shared" ca="1" si="11"/>
        <v>336</v>
      </c>
    </row>
    <row r="36" spans="1:21">
      <c r="A36" s="717" t="str">
        <f>Sheet1!B14</f>
        <v>西桥街平房</v>
      </c>
      <c r="B36" s="717">
        <f>Sheet1!C14</f>
        <v>3296.46</v>
      </c>
      <c r="C36" s="24">
        <f t="shared" si="12"/>
        <v>0.96</v>
      </c>
      <c r="D36" s="719" t="s">
        <v>3194</v>
      </c>
      <c r="E36" s="24">
        <f t="shared" si="13"/>
        <v>0.98</v>
      </c>
      <c r="F36" s="3001" t="s">
        <v>3354</v>
      </c>
      <c r="G36" s="24">
        <f t="shared" si="14"/>
        <v>1</v>
      </c>
      <c r="H36" s="3001" t="s">
        <v>3356</v>
      </c>
      <c r="I36" s="24">
        <f t="shared" si="15"/>
        <v>1</v>
      </c>
      <c r="J36" s="3001" t="s">
        <v>3369</v>
      </c>
      <c r="K36" s="24">
        <f t="shared" si="16"/>
        <v>1</v>
      </c>
      <c r="L36" s="719"/>
      <c r="M36" s="24">
        <f t="shared" si="17"/>
        <v>1</v>
      </c>
      <c r="N36" s="719"/>
      <c r="O36" s="24">
        <f t="shared" si="18"/>
        <v>1</v>
      </c>
      <c r="P36" s="719">
        <f>Sheet1!D14</f>
        <v>1</v>
      </c>
      <c r="Q36" s="24">
        <f t="shared" si="19"/>
        <v>1</v>
      </c>
      <c r="R36" s="715">
        <f t="shared" ca="1" si="20"/>
        <v>15643</v>
      </c>
      <c r="S36" s="360">
        <f t="shared" ca="1" si="11"/>
        <v>5157</v>
      </c>
    </row>
    <row r="37" spans="1:21">
      <c r="A37" s="717" t="s">
        <v>3359</v>
      </c>
      <c r="B37" s="717">
        <v>759.55</v>
      </c>
      <c r="C37" s="24">
        <f t="shared" si="12"/>
        <v>0.99</v>
      </c>
      <c r="D37" s="719" t="s">
        <v>3194</v>
      </c>
      <c r="E37" s="24">
        <f t="shared" si="13"/>
        <v>0.98</v>
      </c>
      <c r="F37" s="3001" t="s">
        <v>3353</v>
      </c>
      <c r="G37" s="24">
        <f t="shared" si="14"/>
        <v>1.02</v>
      </c>
      <c r="H37" s="3001" t="s">
        <v>3356</v>
      </c>
      <c r="I37" s="24">
        <f t="shared" si="15"/>
        <v>1</v>
      </c>
      <c r="J37" s="3001" t="s">
        <v>3369</v>
      </c>
      <c r="K37" s="24">
        <f t="shared" si="16"/>
        <v>1</v>
      </c>
      <c r="L37" s="719"/>
      <c r="M37" s="24">
        <f t="shared" si="17"/>
        <v>1</v>
      </c>
      <c r="N37" s="719"/>
      <c r="O37" s="24">
        <f t="shared" si="18"/>
        <v>1</v>
      </c>
      <c r="P37" s="2997">
        <v>1</v>
      </c>
      <c r="Q37" s="24">
        <f t="shared" si="19"/>
        <v>1</v>
      </c>
      <c r="R37" s="715">
        <f t="shared" ca="1" si="20"/>
        <v>16454</v>
      </c>
      <c r="S37" s="360">
        <f t="shared" ca="1" si="11"/>
        <v>1250</v>
      </c>
    </row>
    <row r="38" spans="1:21">
      <c r="A38" s="717" t="str">
        <f>Sheet1!B16</f>
        <v>物回楼</v>
      </c>
      <c r="B38" s="717">
        <f>Sheet1!C16</f>
        <v>235.63</v>
      </c>
      <c r="C38" s="24">
        <f t="shared" si="12"/>
        <v>1</v>
      </c>
      <c r="D38" s="719" t="s">
        <v>3194</v>
      </c>
      <c r="E38" s="24">
        <f t="shared" si="13"/>
        <v>0.98</v>
      </c>
      <c r="F38" s="3001" t="s">
        <v>3354</v>
      </c>
      <c r="G38" s="24">
        <f t="shared" si="14"/>
        <v>1</v>
      </c>
      <c r="H38" s="3001" t="s">
        <v>3356</v>
      </c>
      <c r="I38" s="24">
        <f t="shared" si="15"/>
        <v>1</v>
      </c>
      <c r="J38" s="3001" t="s">
        <v>3213</v>
      </c>
      <c r="K38" s="24">
        <f t="shared" si="16"/>
        <v>0.9</v>
      </c>
      <c r="L38" s="719"/>
      <c r="M38" s="24">
        <f t="shared" si="17"/>
        <v>1</v>
      </c>
      <c r="N38" s="719"/>
      <c r="O38" s="24">
        <f t="shared" si="18"/>
        <v>1</v>
      </c>
      <c r="P38" s="719">
        <f>Sheet1!D16</f>
        <v>1</v>
      </c>
      <c r="Q38" s="24">
        <f t="shared" si="19"/>
        <v>1</v>
      </c>
      <c r="R38" s="715">
        <f t="shared" ca="1" si="20"/>
        <v>14665</v>
      </c>
      <c r="S38" s="360">
        <f t="shared" ca="1" si="11"/>
        <v>346</v>
      </c>
      <c r="U38" s="794">
        <f ca="1">S46+S37</f>
        <v>1727</v>
      </c>
    </row>
    <row r="39" spans="1:21">
      <c r="A39" s="717" t="str">
        <f>Sheet1!B17</f>
        <v>知青楼</v>
      </c>
      <c r="B39" s="717">
        <f>Sheet1!C17</f>
        <v>209.46</v>
      </c>
      <c r="C39" s="24">
        <f t="shared" si="12"/>
        <v>1</v>
      </c>
      <c r="D39" s="719" t="s">
        <v>3194</v>
      </c>
      <c r="E39" s="24">
        <f t="shared" si="13"/>
        <v>0.98</v>
      </c>
      <c r="F39" s="3001" t="s">
        <v>3354</v>
      </c>
      <c r="G39" s="24">
        <f t="shared" si="14"/>
        <v>1</v>
      </c>
      <c r="H39" s="3001" t="s">
        <v>3356</v>
      </c>
      <c r="I39" s="24">
        <f t="shared" si="15"/>
        <v>1</v>
      </c>
      <c r="J39" s="3001" t="s">
        <v>3213</v>
      </c>
      <c r="K39" s="24">
        <f t="shared" si="16"/>
        <v>0.9</v>
      </c>
      <c r="L39" s="719"/>
      <c r="M39" s="24">
        <f t="shared" si="17"/>
        <v>1</v>
      </c>
      <c r="N39" s="719"/>
      <c r="O39" s="24">
        <f t="shared" si="18"/>
        <v>1</v>
      </c>
      <c r="P39" s="719">
        <f>Sheet1!D17</f>
        <v>1</v>
      </c>
      <c r="Q39" s="24">
        <f t="shared" si="19"/>
        <v>1</v>
      </c>
      <c r="R39" s="715">
        <f t="shared" ca="1" si="20"/>
        <v>14665</v>
      </c>
      <c r="S39" s="360">
        <f t="shared" ca="1" si="11"/>
        <v>307</v>
      </c>
      <c r="U39" s="794">
        <f ca="1">U38/Sheet1!C15*10000</f>
        <v>12890.272210901872</v>
      </c>
    </row>
    <row r="40" spans="1:21">
      <c r="A40" s="717" t="str">
        <f>Sheet1!B18</f>
        <v>平房</v>
      </c>
      <c r="B40" s="717"/>
      <c r="C40" s="24">
        <f t="shared" si="12"/>
        <v>1</v>
      </c>
      <c r="D40" s="719" t="s">
        <v>3194</v>
      </c>
      <c r="E40" s="24">
        <f t="shared" si="13"/>
        <v>0.98</v>
      </c>
      <c r="F40" s="3001" t="s">
        <v>3354</v>
      </c>
      <c r="G40" s="24">
        <f t="shared" si="14"/>
        <v>1</v>
      </c>
      <c r="H40" s="3001" t="s">
        <v>3356</v>
      </c>
      <c r="I40" s="24">
        <f t="shared" si="15"/>
        <v>1</v>
      </c>
      <c r="J40" s="3001" t="s">
        <v>3213</v>
      </c>
      <c r="K40" s="24">
        <f t="shared" si="16"/>
        <v>0.9</v>
      </c>
      <c r="L40" s="719"/>
      <c r="M40" s="24">
        <f t="shared" si="17"/>
        <v>1</v>
      </c>
      <c r="N40" s="719"/>
      <c r="O40" s="24">
        <f t="shared" si="18"/>
        <v>1</v>
      </c>
      <c r="P40" s="719">
        <f>Sheet1!D18</f>
        <v>1</v>
      </c>
      <c r="Q40" s="24">
        <f t="shared" si="19"/>
        <v>1</v>
      </c>
      <c r="R40" s="715">
        <f t="shared" si="20"/>
        <v>0</v>
      </c>
      <c r="S40" s="360">
        <f t="shared" si="11"/>
        <v>0</v>
      </c>
    </row>
    <row r="41" spans="1:21">
      <c r="A41" s="717" t="str">
        <f>Sheet1!B19</f>
        <v>劳保楼</v>
      </c>
      <c r="B41" s="717">
        <f>Sheet1!C19</f>
        <v>215.47</v>
      </c>
      <c r="C41" s="24">
        <f t="shared" si="12"/>
        <v>1</v>
      </c>
      <c r="D41" s="719" t="s">
        <v>3194</v>
      </c>
      <c r="E41" s="24">
        <f t="shared" si="13"/>
        <v>0.98</v>
      </c>
      <c r="F41" s="3001" t="s">
        <v>3354</v>
      </c>
      <c r="G41" s="24">
        <f t="shared" si="14"/>
        <v>1</v>
      </c>
      <c r="H41" s="3001" t="s">
        <v>3356</v>
      </c>
      <c r="I41" s="24">
        <f t="shared" si="15"/>
        <v>1</v>
      </c>
      <c r="J41" s="3001" t="s">
        <v>3369</v>
      </c>
      <c r="K41" s="24">
        <f t="shared" si="16"/>
        <v>1</v>
      </c>
      <c r="L41" s="719"/>
      <c r="M41" s="24">
        <f t="shared" si="17"/>
        <v>1</v>
      </c>
      <c r="N41" s="719"/>
      <c r="O41" s="24">
        <f t="shared" si="18"/>
        <v>1</v>
      </c>
      <c r="P41" s="719">
        <f>Sheet1!D19</f>
        <v>1</v>
      </c>
      <c r="Q41" s="24">
        <f t="shared" si="19"/>
        <v>1</v>
      </c>
      <c r="R41" s="715">
        <f t="shared" ca="1" si="20"/>
        <v>16294</v>
      </c>
      <c r="S41" s="360">
        <f t="shared" ca="1" si="11"/>
        <v>351</v>
      </c>
    </row>
    <row r="42" spans="1:21">
      <c r="A42" s="717" t="str">
        <f>Sheet1!B20</f>
        <v>房管所楼</v>
      </c>
      <c r="B42" s="717">
        <f>Sheet1!C20</f>
        <v>1193.8599999999999</v>
      </c>
      <c r="C42" s="24">
        <f t="shared" si="12"/>
        <v>0.98</v>
      </c>
      <c r="D42" s="719" t="s">
        <v>3194</v>
      </c>
      <c r="E42" s="24">
        <f t="shared" si="13"/>
        <v>0.98</v>
      </c>
      <c r="F42" s="3001" t="s">
        <v>3354</v>
      </c>
      <c r="G42" s="24">
        <f t="shared" si="14"/>
        <v>1</v>
      </c>
      <c r="H42" s="3001" t="s">
        <v>3356</v>
      </c>
      <c r="I42" s="24">
        <f t="shared" si="15"/>
        <v>1</v>
      </c>
      <c r="J42" s="3001" t="s">
        <v>3369</v>
      </c>
      <c r="K42" s="24">
        <f t="shared" si="16"/>
        <v>1</v>
      </c>
      <c r="L42" s="719"/>
      <c r="M42" s="24">
        <f t="shared" si="17"/>
        <v>1</v>
      </c>
      <c r="N42" s="719"/>
      <c r="O42" s="24">
        <f t="shared" si="18"/>
        <v>1</v>
      </c>
      <c r="P42" s="719" t="str">
        <f>Sheet1!D20</f>
        <v>1-2</v>
      </c>
      <c r="Q42" s="24">
        <f t="shared" si="19"/>
        <v>0.75</v>
      </c>
      <c r="R42" s="715">
        <f t="shared" ca="1" si="20"/>
        <v>11976</v>
      </c>
      <c r="S42" s="360">
        <f t="shared" ca="1" si="11"/>
        <v>1430</v>
      </c>
    </row>
    <row r="43" spans="1:21">
      <c r="A43" s="717" t="str">
        <f>Sheet1!B21</f>
        <v>幼儿园楼</v>
      </c>
      <c r="B43" s="717">
        <f>Sheet1!C21</f>
        <v>122.4</v>
      </c>
      <c r="C43" s="24">
        <f t="shared" si="12"/>
        <v>1.01</v>
      </c>
      <c r="D43" s="719" t="s">
        <v>3194</v>
      </c>
      <c r="E43" s="24">
        <f t="shared" si="13"/>
        <v>0.98</v>
      </c>
      <c r="F43" s="3001" t="s">
        <v>3354</v>
      </c>
      <c r="G43" s="24">
        <f t="shared" si="14"/>
        <v>1</v>
      </c>
      <c r="H43" s="3001" t="s">
        <v>3356</v>
      </c>
      <c r="I43" s="24">
        <f t="shared" si="15"/>
        <v>1</v>
      </c>
      <c r="J43" s="3001" t="s">
        <v>3213</v>
      </c>
      <c r="K43" s="24">
        <f t="shared" si="16"/>
        <v>0.9</v>
      </c>
      <c r="L43" s="719"/>
      <c r="M43" s="24">
        <f t="shared" si="17"/>
        <v>1</v>
      </c>
      <c r="N43" s="719"/>
      <c r="O43" s="24">
        <f t="shared" si="18"/>
        <v>1</v>
      </c>
      <c r="P43" s="719">
        <f>Sheet1!D21</f>
        <v>1</v>
      </c>
      <c r="Q43" s="24">
        <f t="shared" si="19"/>
        <v>1</v>
      </c>
      <c r="R43" s="715">
        <f t="shared" ca="1" si="20"/>
        <v>14812</v>
      </c>
      <c r="S43" s="360">
        <f t="shared" ca="1" si="11"/>
        <v>181</v>
      </c>
    </row>
    <row r="44" spans="1:21">
      <c r="A44" s="717" t="str">
        <f>Sheet1!B22</f>
        <v>红旗商店</v>
      </c>
      <c r="B44" s="717">
        <f>Sheet1!C22</f>
        <v>144.21</v>
      </c>
      <c r="C44" s="24">
        <f t="shared" si="12"/>
        <v>1.01</v>
      </c>
      <c r="D44" s="719" t="s">
        <v>3194</v>
      </c>
      <c r="E44" s="24">
        <f t="shared" si="13"/>
        <v>0.98</v>
      </c>
      <c r="F44" s="3001" t="s">
        <v>3354</v>
      </c>
      <c r="G44" s="24">
        <f t="shared" si="14"/>
        <v>1</v>
      </c>
      <c r="H44" s="3001" t="s">
        <v>3356</v>
      </c>
      <c r="I44" s="24">
        <f t="shared" si="15"/>
        <v>1</v>
      </c>
      <c r="J44" s="3001" t="s">
        <v>3213</v>
      </c>
      <c r="K44" s="24">
        <f t="shared" si="16"/>
        <v>0.9</v>
      </c>
      <c r="L44" s="719"/>
      <c r="M44" s="24">
        <f t="shared" si="17"/>
        <v>1</v>
      </c>
      <c r="N44" s="719"/>
      <c r="O44" s="24">
        <f t="shared" si="18"/>
        <v>1</v>
      </c>
      <c r="P44" s="719">
        <f>Sheet1!D22</f>
        <v>1</v>
      </c>
      <c r="Q44" s="24">
        <f t="shared" si="19"/>
        <v>1</v>
      </c>
      <c r="R44" s="715">
        <f t="shared" ca="1" si="20"/>
        <v>14812</v>
      </c>
      <c r="S44" s="360">
        <f t="shared" ca="1" si="11"/>
        <v>214</v>
      </c>
    </row>
    <row r="45" spans="1:21">
      <c r="A45" s="717" t="str">
        <f>Sheet1!B23</f>
        <v>炕头路</v>
      </c>
      <c r="B45" s="717"/>
      <c r="C45" s="24">
        <f t="shared" si="12"/>
        <v>1</v>
      </c>
      <c r="D45" s="719" t="s">
        <v>3194</v>
      </c>
      <c r="E45" s="24">
        <f t="shared" si="13"/>
        <v>0.98</v>
      </c>
      <c r="F45" s="3001" t="s">
        <v>3354</v>
      </c>
      <c r="G45" s="24">
        <f t="shared" si="14"/>
        <v>1</v>
      </c>
      <c r="H45" s="3001" t="s">
        <v>3356</v>
      </c>
      <c r="I45" s="24">
        <f t="shared" si="15"/>
        <v>1</v>
      </c>
      <c r="J45" s="3001" t="s">
        <v>3213</v>
      </c>
      <c r="K45" s="24">
        <f t="shared" si="16"/>
        <v>0.9</v>
      </c>
      <c r="L45" s="719"/>
      <c r="M45" s="24">
        <f t="shared" si="17"/>
        <v>1</v>
      </c>
      <c r="N45" s="719"/>
      <c r="O45" s="24">
        <f t="shared" si="18"/>
        <v>1</v>
      </c>
      <c r="P45" s="719">
        <f>Sheet1!D23</f>
        <v>1</v>
      </c>
      <c r="Q45" s="24">
        <f t="shared" si="19"/>
        <v>1</v>
      </c>
      <c r="R45" s="715">
        <f t="shared" si="20"/>
        <v>0</v>
      </c>
      <c r="S45" s="360">
        <f t="shared" si="11"/>
        <v>0</v>
      </c>
    </row>
    <row r="46" spans="1:21">
      <c r="A46" s="717" t="s">
        <v>3360</v>
      </c>
      <c r="B46" s="2981">
        <v>580.22</v>
      </c>
      <c r="C46" s="24">
        <f t="shared" si="12"/>
        <v>0.99</v>
      </c>
      <c r="D46" s="719" t="s">
        <v>3194</v>
      </c>
      <c r="E46" s="24">
        <f t="shared" si="13"/>
        <v>0.98</v>
      </c>
      <c r="F46" s="3001" t="s">
        <v>3353</v>
      </c>
      <c r="G46" s="24">
        <f t="shared" si="14"/>
        <v>1.02</v>
      </c>
      <c r="H46" s="3001" t="s">
        <v>3356</v>
      </c>
      <c r="I46" s="24">
        <f t="shared" si="15"/>
        <v>1</v>
      </c>
      <c r="J46" s="3001" t="s">
        <v>3369</v>
      </c>
      <c r="K46" s="24">
        <f t="shared" si="16"/>
        <v>1</v>
      </c>
      <c r="L46" s="719"/>
      <c r="M46" s="24">
        <f t="shared" si="17"/>
        <v>1</v>
      </c>
      <c r="N46" s="719"/>
      <c r="O46" s="24">
        <f t="shared" si="18"/>
        <v>1</v>
      </c>
      <c r="P46" s="719">
        <v>2</v>
      </c>
      <c r="Q46" s="24">
        <f t="shared" si="19"/>
        <v>0.5</v>
      </c>
      <c r="R46" s="715">
        <f t="shared" ca="1" si="20"/>
        <v>8227</v>
      </c>
      <c r="S46" s="360">
        <f t="shared" ca="1" si="11"/>
        <v>477</v>
      </c>
    </row>
    <row r="47" spans="1:21">
      <c r="A47" s="717" t="str">
        <f>Sheet1!B26</f>
        <v>大冶市东岳路办事处保康北潞</v>
      </c>
      <c r="B47" s="2981">
        <f>Sheet1!C26</f>
        <v>51.65</v>
      </c>
      <c r="C47" s="24">
        <f t="shared" si="12"/>
        <v>1.02</v>
      </c>
      <c r="D47" s="719" t="s">
        <v>3194</v>
      </c>
      <c r="E47" s="24">
        <f t="shared" si="13"/>
        <v>0.98</v>
      </c>
      <c r="F47" s="719" t="s">
        <v>3380</v>
      </c>
      <c r="G47" s="24">
        <f t="shared" si="14"/>
        <v>1</v>
      </c>
      <c r="H47" s="719" t="s">
        <v>3076</v>
      </c>
      <c r="I47" s="24">
        <f t="shared" si="15"/>
        <v>1</v>
      </c>
      <c r="J47" s="719" t="s">
        <v>3213</v>
      </c>
      <c r="K47" s="24">
        <f t="shared" si="16"/>
        <v>0.9</v>
      </c>
      <c r="L47" s="719"/>
      <c r="M47" s="24">
        <f t="shared" si="17"/>
        <v>1</v>
      </c>
      <c r="N47" s="719"/>
      <c r="O47" s="24">
        <f t="shared" si="18"/>
        <v>1</v>
      </c>
      <c r="P47" s="719">
        <v>1</v>
      </c>
      <c r="Q47" s="24">
        <f t="shared" si="19"/>
        <v>1</v>
      </c>
      <c r="R47" s="715">
        <f t="shared" ca="1" si="20"/>
        <v>14958</v>
      </c>
      <c r="S47" s="360">
        <f t="shared" ca="1" si="11"/>
        <v>77</v>
      </c>
    </row>
    <row r="48" spans="1:21">
      <c r="A48" s="717" t="str">
        <f>Sheet1!B27</f>
        <v>大冶市东岳路办事处坑头路</v>
      </c>
      <c r="B48" s="2981">
        <f>Sheet1!C27</f>
        <v>266.39</v>
      </c>
      <c r="C48" s="24">
        <f t="shared" si="12"/>
        <v>1</v>
      </c>
      <c r="D48" s="719" t="s">
        <v>3194</v>
      </c>
      <c r="E48" s="24">
        <f t="shared" si="13"/>
        <v>0.98</v>
      </c>
      <c r="F48" s="719" t="s">
        <v>3380</v>
      </c>
      <c r="G48" s="24">
        <f t="shared" si="14"/>
        <v>1</v>
      </c>
      <c r="H48" s="719" t="s">
        <v>3076</v>
      </c>
      <c r="I48" s="24">
        <f t="shared" si="15"/>
        <v>1</v>
      </c>
      <c r="J48" s="719" t="s">
        <v>3213</v>
      </c>
      <c r="K48" s="24">
        <f t="shared" si="16"/>
        <v>0.9</v>
      </c>
      <c r="L48" s="719"/>
      <c r="M48" s="24">
        <f t="shared" si="17"/>
        <v>1</v>
      </c>
      <c r="N48" s="719"/>
      <c r="O48" s="24">
        <f t="shared" si="18"/>
        <v>1</v>
      </c>
      <c r="P48" s="719">
        <v>1</v>
      </c>
      <c r="Q48" s="24">
        <f t="shared" si="19"/>
        <v>1</v>
      </c>
      <c r="R48" s="715">
        <f t="shared" ca="1" si="20"/>
        <v>14665</v>
      </c>
      <c r="S48" s="360">
        <f t="shared" ca="1" si="11"/>
        <v>391</v>
      </c>
    </row>
    <row r="49" spans="1:19">
      <c r="A49" s="3018" t="str">
        <f>分套价值!D26</f>
        <v>大冶市东风路街道金湖大道73号外滩首府73-71号</v>
      </c>
      <c r="B49" s="3019"/>
      <c r="C49" s="24">
        <f t="shared" si="12"/>
        <v>1</v>
      </c>
      <c r="D49" s="719" t="s">
        <v>3460</v>
      </c>
      <c r="E49" s="24">
        <f t="shared" si="13"/>
        <v>1.04</v>
      </c>
      <c r="F49" s="3001" t="s">
        <v>3461</v>
      </c>
      <c r="G49" s="24">
        <f t="shared" si="14"/>
        <v>1</v>
      </c>
      <c r="H49" s="3001" t="s">
        <v>3462</v>
      </c>
      <c r="I49" s="24">
        <f t="shared" si="15"/>
        <v>1.02</v>
      </c>
      <c r="J49" s="3001" t="s">
        <v>3213</v>
      </c>
      <c r="K49" s="24">
        <f t="shared" si="16"/>
        <v>0.9</v>
      </c>
      <c r="L49" s="719"/>
      <c r="M49" s="24">
        <f t="shared" si="17"/>
        <v>1</v>
      </c>
      <c r="N49" s="719"/>
      <c r="O49" s="24">
        <f t="shared" si="18"/>
        <v>1</v>
      </c>
      <c r="P49" s="3020">
        <f>分套价值!F26</f>
        <v>3</v>
      </c>
      <c r="Q49" s="24">
        <f t="shared" si="19"/>
        <v>0.45</v>
      </c>
      <c r="R49" s="715">
        <f t="shared" si="20"/>
        <v>0</v>
      </c>
      <c r="S49" s="360">
        <f t="shared" si="11"/>
        <v>0</v>
      </c>
    </row>
    <row r="50" spans="1:19">
      <c r="A50" s="3018" t="str">
        <f>分套价值!D27</f>
        <v>大冶市东风路街道金湖大道73号外滩首府73-88号</v>
      </c>
      <c r="B50" s="3019"/>
      <c r="C50" s="24">
        <f t="shared" si="12"/>
        <v>1</v>
      </c>
      <c r="D50" s="719" t="s">
        <v>3460</v>
      </c>
      <c r="E50" s="24">
        <f t="shared" si="13"/>
        <v>1.04</v>
      </c>
      <c r="F50" s="3001" t="s">
        <v>3461</v>
      </c>
      <c r="G50" s="24">
        <f t="shared" si="14"/>
        <v>1</v>
      </c>
      <c r="H50" s="3001" t="s">
        <v>3462</v>
      </c>
      <c r="I50" s="24">
        <f t="shared" si="15"/>
        <v>1.02</v>
      </c>
      <c r="J50" s="3001" t="s">
        <v>3213</v>
      </c>
      <c r="K50" s="24">
        <f t="shared" si="16"/>
        <v>0.9</v>
      </c>
      <c r="L50" s="719"/>
      <c r="M50" s="24">
        <f t="shared" si="17"/>
        <v>1</v>
      </c>
      <c r="N50" s="719"/>
      <c r="O50" s="24">
        <f t="shared" si="18"/>
        <v>1</v>
      </c>
      <c r="P50" s="3020">
        <f>分套价值!F27</f>
        <v>4</v>
      </c>
      <c r="Q50" s="24">
        <f t="shared" si="19"/>
        <v>0.4</v>
      </c>
      <c r="R50" s="715">
        <f t="shared" si="20"/>
        <v>0</v>
      </c>
      <c r="S50" s="360">
        <f t="shared" si="11"/>
        <v>0</v>
      </c>
    </row>
    <row r="51" spans="1:19">
      <c r="A51" s="3018" t="str">
        <f>分套价值!D28</f>
        <v>大冶市东风路街道金湖大道73号外滩首府73-3号</v>
      </c>
      <c r="B51" s="3019"/>
      <c r="C51" s="24">
        <f t="shared" si="12"/>
        <v>1</v>
      </c>
      <c r="D51" s="719" t="s">
        <v>3460</v>
      </c>
      <c r="E51" s="24">
        <f t="shared" si="13"/>
        <v>1.04</v>
      </c>
      <c r="F51" s="3001" t="s">
        <v>3461</v>
      </c>
      <c r="G51" s="24">
        <f t="shared" si="14"/>
        <v>1</v>
      </c>
      <c r="H51" s="3001" t="s">
        <v>3462</v>
      </c>
      <c r="I51" s="24">
        <f t="shared" si="15"/>
        <v>1.02</v>
      </c>
      <c r="J51" s="3001" t="s">
        <v>3213</v>
      </c>
      <c r="K51" s="24">
        <f t="shared" si="16"/>
        <v>0.9</v>
      </c>
      <c r="L51" s="719"/>
      <c r="M51" s="24">
        <f t="shared" si="17"/>
        <v>1</v>
      </c>
      <c r="N51" s="719"/>
      <c r="O51" s="24">
        <f t="shared" si="18"/>
        <v>1</v>
      </c>
      <c r="P51" s="3020">
        <f>分套价值!F28</f>
        <v>1</v>
      </c>
      <c r="Q51" s="24">
        <f t="shared" si="19"/>
        <v>1</v>
      </c>
      <c r="R51" s="715">
        <f t="shared" si="20"/>
        <v>0</v>
      </c>
      <c r="S51" s="360">
        <f t="shared" si="11"/>
        <v>0</v>
      </c>
    </row>
    <row r="52" spans="1:19">
      <c r="A52" s="3018" t="str">
        <f>分套价值!D29</f>
        <v>大冶市东风路街道金湖大道73号外滩首府73-99号</v>
      </c>
      <c r="B52" s="3019"/>
      <c r="C52" s="24">
        <f t="shared" si="12"/>
        <v>1</v>
      </c>
      <c r="D52" s="719" t="s">
        <v>3460</v>
      </c>
      <c r="E52" s="24">
        <f t="shared" si="13"/>
        <v>1.04</v>
      </c>
      <c r="F52" s="3001" t="s">
        <v>3461</v>
      </c>
      <c r="G52" s="24">
        <f t="shared" si="14"/>
        <v>1</v>
      </c>
      <c r="H52" s="3001" t="s">
        <v>3462</v>
      </c>
      <c r="I52" s="24">
        <f t="shared" si="15"/>
        <v>1.02</v>
      </c>
      <c r="J52" s="3001" t="s">
        <v>3213</v>
      </c>
      <c r="K52" s="24">
        <f t="shared" si="16"/>
        <v>0.9</v>
      </c>
      <c r="L52" s="719"/>
      <c r="M52" s="24">
        <f t="shared" si="17"/>
        <v>1</v>
      </c>
      <c r="N52" s="719"/>
      <c r="O52" s="24">
        <f t="shared" si="18"/>
        <v>1</v>
      </c>
      <c r="P52" s="3020">
        <f>分套价值!F29</f>
        <v>4</v>
      </c>
      <c r="Q52" s="24">
        <f t="shared" si="19"/>
        <v>0.4</v>
      </c>
      <c r="R52" s="715">
        <f t="shared" si="20"/>
        <v>0</v>
      </c>
      <c r="S52" s="360">
        <f t="shared" si="11"/>
        <v>0</v>
      </c>
    </row>
    <row r="53" spans="1:19">
      <c r="A53" s="3018" t="str">
        <f>分套价值!D30</f>
        <v>大冶市东风路街道金湖大道73号外滩首府73-86号</v>
      </c>
      <c r="B53" s="3019"/>
      <c r="C53" s="24">
        <f t="shared" si="12"/>
        <v>1</v>
      </c>
      <c r="D53" s="719" t="s">
        <v>3460</v>
      </c>
      <c r="E53" s="24">
        <f t="shared" si="13"/>
        <v>1.04</v>
      </c>
      <c r="F53" s="3001" t="s">
        <v>3461</v>
      </c>
      <c r="G53" s="24">
        <f t="shared" si="14"/>
        <v>1</v>
      </c>
      <c r="H53" s="3001" t="s">
        <v>3462</v>
      </c>
      <c r="I53" s="24">
        <f t="shared" si="15"/>
        <v>1.02</v>
      </c>
      <c r="J53" s="3001" t="s">
        <v>3213</v>
      </c>
      <c r="K53" s="24">
        <f t="shared" si="16"/>
        <v>0.9</v>
      </c>
      <c r="L53" s="719"/>
      <c r="M53" s="24">
        <f t="shared" si="17"/>
        <v>1</v>
      </c>
      <c r="N53" s="719"/>
      <c r="O53" s="24">
        <f t="shared" si="18"/>
        <v>1</v>
      </c>
      <c r="P53" s="3020">
        <f>分套价值!F30</f>
        <v>4</v>
      </c>
      <c r="Q53" s="24">
        <f t="shared" si="19"/>
        <v>0.4</v>
      </c>
      <c r="R53" s="715">
        <f t="shared" si="20"/>
        <v>0</v>
      </c>
      <c r="S53" s="360">
        <f t="shared" si="11"/>
        <v>0</v>
      </c>
    </row>
    <row r="54" spans="1:19">
      <c r="A54" s="3018" t="str">
        <f>分套价值!D31</f>
        <v>大冶市东风路街道金湖大道73号外滩首府73-53号</v>
      </c>
      <c r="B54" s="3019"/>
      <c r="C54" s="24">
        <f t="shared" si="12"/>
        <v>1</v>
      </c>
      <c r="D54" s="719" t="s">
        <v>3460</v>
      </c>
      <c r="E54" s="24">
        <f t="shared" si="13"/>
        <v>1.04</v>
      </c>
      <c r="F54" s="3001" t="s">
        <v>3461</v>
      </c>
      <c r="G54" s="24">
        <f t="shared" si="14"/>
        <v>1</v>
      </c>
      <c r="H54" s="3001" t="s">
        <v>3462</v>
      </c>
      <c r="I54" s="24">
        <f t="shared" si="15"/>
        <v>1.02</v>
      </c>
      <c r="J54" s="3001" t="s">
        <v>3213</v>
      </c>
      <c r="K54" s="24">
        <f t="shared" si="16"/>
        <v>0.9</v>
      </c>
      <c r="L54" s="719"/>
      <c r="M54" s="24">
        <f t="shared" si="17"/>
        <v>1</v>
      </c>
      <c r="N54" s="719"/>
      <c r="O54" s="24">
        <f t="shared" si="18"/>
        <v>1</v>
      </c>
      <c r="P54" s="3020">
        <f>分套价值!F31</f>
        <v>1</v>
      </c>
      <c r="Q54" s="24">
        <f t="shared" si="19"/>
        <v>1</v>
      </c>
      <c r="R54" s="715">
        <f t="shared" si="20"/>
        <v>0</v>
      </c>
      <c r="S54" s="360">
        <f t="shared" si="11"/>
        <v>0</v>
      </c>
    </row>
    <row r="55" spans="1:19">
      <c r="A55" s="3018" t="str">
        <f>分套价值!D32</f>
        <v>大冶市东风路街道金湖大道73号外滩首府73-69号</v>
      </c>
      <c r="B55" s="3019"/>
      <c r="C55" s="24">
        <f t="shared" si="12"/>
        <v>1</v>
      </c>
      <c r="D55" s="719" t="s">
        <v>3460</v>
      </c>
      <c r="E55" s="24">
        <f t="shared" si="13"/>
        <v>1.04</v>
      </c>
      <c r="F55" s="3001" t="s">
        <v>3461</v>
      </c>
      <c r="G55" s="24">
        <f t="shared" si="14"/>
        <v>1</v>
      </c>
      <c r="H55" s="3001" t="s">
        <v>3462</v>
      </c>
      <c r="I55" s="24">
        <f t="shared" si="15"/>
        <v>1.02</v>
      </c>
      <c r="J55" s="3001" t="s">
        <v>3213</v>
      </c>
      <c r="K55" s="24">
        <f t="shared" si="16"/>
        <v>0.9</v>
      </c>
      <c r="L55" s="719"/>
      <c r="M55" s="24">
        <f t="shared" si="17"/>
        <v>1</v>
      </c>
      <c r="N55" s="719"/>
      <c r="O55" s="24">
        <f t="shared" si="18"/>
        <v>1</v>
      </c>
      <c r="P55" s="3020">
        <f>分套价值!F32</f>
        <v>2</v>
      </c>
      <c r="Q55" s="24">
        <f t="shared" si="19"/>
        <v>0.5</v>
      </c>
      <c r="R55" s="715">
        <f t="shared" si="20"/>
        <v>0</v>
      </c>
      <c r="S55" s="360">
        <f t="shared" ref="S55:S77" si="21">ROUND(R55*B55/10000,0)</f>
        <v>0</v>
      </c>
    </row>
    <row r="56" spans="1:19">
      <c r="A56" s="3018" t="str">
        <f>分套价值!D33</f>
        <v>大冶市东风路街道金湖大道73号外滩首府73-85号</v>
      </c>
      <c r="B56" s="3019"/>
      <c r="C56" s="24">
        <f t="shared" si="12"/>
        <v>1</v>
      </c>
      <c r="D56" s="719" t="s">
        <v>3460</v>
      </c>
      <c r="E56" s="24">
        <f t="shared" si="13"/>
        <v>1.04</v>
      </c>
      <c r="F56" s="3001" t="s">
        <v>3461</v>
      </c>
      <c r="G56" s="24">
        <f t="shared" si="14"/>
        <v>1</v>
      </c>
      <c r="H56" s="3001" t="s">
        <v>3462</v>
      </c>
      <c r="I56" s="24">
        <f t="shared" si="15"/>
        <v>1.02</v>
      </c>
      <c r="J56" s="3001" t="s">
        <v>3213</v>
      </c>
      <c r="K56" s="24">
        <f t="shared" si="16"/>
        <v>0.9</v>
      </c>
      <c r="L56" s="719"/>
      <c r="M56" s="24">
        <f t="shared" si="17"/>
        <v>1</v>
      </c>
      <c r="N56" s="719"/>
      <c r="O56" s="24">
        <f t="shared" si="18"/>
        <v>1</v>
      </c>
      <c r="P56" s="3020">
        <f>分套价值!F33</f>
        <v>3</v>
      </c>
      <c r="Q56" s="24">
        <f t="shared" si="19"/>
        <v>0.45</v>
      </c>
      <c r="R56" s="715">
        <f t="shared" si="20"/>
        <v>0</v>
      </c>
      <c r="S56" s="360">
        <f t="shared" si="21"/>
        <v>0</v>
      </c>
    </row>
    <row r="57" spans="1:19">
      <c r="A57" s="3018" t="str">
        <f>分套价值!D34</f>
        <v>大冶市东风路街道金湖大道73号外滩首府73-42号</v>
      </c>
      <c r="B57" s="3019"/>
      <c r="C57" s="24">
        <f t="shared" si="12"/>
        <v>1</v>
      </c>
      <c r="D57" s="719" t="s">
        <v>3460</v>
      </c>
      <c r="E57" s="24">
        <f t="shared" si="13"/>
        <v>1.04</v>
      </c>
      <c r="F57" s="3001" t="s">
        <v>3461</v>
      </c>
      <c r="G57" s="24">
        <f t="shared" si="14"/>
        <v>1</v>
      </c>
      <c r="H57" s="3001" t="s">
        <v>3462</v>
      </c>
      <c r="I57" s="24">
        <f t="shared" si="15"/>
        <v>1.02</v>
      </c>
      <c r="J57" s="3001" t="s">
        <v>3213</v>
      </c>
      <c r="K57" s="24">
        <f t="shared" si="16"/>
        <v>0.9</v>
      </c>
      <c r="L57" s="719"/>
      <c r="M57" s="24">
        <f t="shared" si="17"/>
        <v>1</v>
      </c>
      <c r="N57" s="719"/>
      <c r="O57" s="24">
        <f t="shared" si="18"/>
        <v>1</v>
      </c>
      <c r="P57" s="3020">
        <f>分套价值!F34</f>
        <v>1</v>
      </c>
      <c r="Q57" s="24">
        <f t="shared" si="19"/>
        <v>1</v>
      </c>
      <c r="R57" s="715">
        <f t="shared" si="20"/>
        <v>0</v>
      </c>
      <c r="S57" s="360">
        <f t="shared" si="21"/>
        <v>0</v>
      </c>
    </row>
    <row r="58" spans="1:19">
      <c r="A58" s="3018" t="str">
        <f>分套价值!D35</f>
        <v>大冶市东风路街道金湖大道73号外滩首府73-2号</v>
      </c>
      <c r="B58" s="3019"/>
      <c r="C58" s="24">
        <f t="shared" si="12"/>
        <v>1</v>
      </c>
      <c r="D58" s="719" t="s">
        <v>3460</v>
      </c>
      <c r="E58" s="24">
        <f t="shared" si="13"/>
        <v>1.04</v>
      </c>
      <c r="F58" s="3001" t="s">
        <v>3461</v>
      </c>
      <c r="G58" s="24">
        <f t="shared" si="14"/>
        <v>1</v>
      </c>
      <c r="H58" s="3001" t="s">
        <v>3462</v>
      </c>
      <c r="I58" s="24">
        <f t="shared" si="15"/>
        <v>1.02</v>
      </c>
      <c r="J58" s="3001" t="s">
        <v>3213</v>
      </c>
      <c r="K58" s="24">
        <f t="shared" si="16"/>
        <v>0.9</v>
      </c>
      <c r="L58" s="719"/>
      <c r="M58" s="24">
        <f t="shared" si="17"/>
        <v>1</v>
      </c>
      <c r="N58" s="719"/>
      <c r="O58" s="24">
        <f t="shared" si="18"/>
        <v>1</v>
      </c>
      <c r="P58" s="3020">
        <f>分套价值!F35</f>
        <v>1</v>
      </c>
      <c r="Q58" s="24">
        <f t="shared" si="19"/>
        <v>1</v>
      </c>
      <c r="R58" s="715">
        <f t="shared" si="20"/>
        <v>0</v>
      </c>
      <c r="S58" s="360">
        <f t="shared" si="21"/>
        <v>0</v>
      </c>
    </row>
    <row r="59" spans="1:19">
      <c r="A59" s="3018" t="str">
        <f>分套价值!D36</f>
        <v>大冶市东风路街道金湖大道73号外滩首府73-14号</v>
      </c>
      <c r="B59" s="3019"/>
      <c r="C59" s="24">
        <f t="shared" si="12"/>
        <v>1</v>
      </c>
      <c r="D59" s="719" t="s">
        <v>3460</v>
      </c>
      <c r="E59" s="24">
        <f t="shared" si="13"/>
        <v>1.04</v>
      </c>
      <c r="F59" s="3001" t="s">
        <v>3461</v>
      </c>
      <c r="G59" s="24">
        <f t="shared" si="14"/>
        <v>1</v>
      </c>
      <c r="H59" s="3001" t="s">
        <v>3462</v>
      </c>
      <c r="I59" s="24">
        <f t="shared" si="15"/>
        <v>1.02</v>
      </c>
      <c r="J59" s="3001" t="s">
        <v>3213</v>
      </c>
      <c r="K59" s="24">
        <f t="shared" si="16"/>
        <v>0.9</v>
      </c>
      <c r="L59" s="719"/>
      <c r="M59" s="24">
        <f t="shared" si="17"/>
        <v>1</v>
      </c>
      <c r="N59" s="719"/>
      <c r="O59" s="24">
        <f t="shared" si="18"/>
        <v>1</v>
      </c>
      <c r="P59" s="3020">
        <f>分套价值!F36</f>
        <v>1</v>
      </c>
      <c r="Q59" s="24">
        <f t="shared" si="19"/>
        <v>1</v>
      </c>
      <c r="R59" s="715">
        <f t="shared" si="20"/>
        <v>0</v>
      </c>
      <c r="S59" s="360">
        <f t="shared" si="21"/>
        <v>0</v>
      </c>
    </row>
    <row r="60" spans="1:19">
      <c r="A60" s="3018" t="str">
        <f>分套价值!D37</f>
        <v>大冶市东风路街道金湖大道73号外滩首府73-73号</v>
      </c>
      <c r="B60" s="3019"/>
      <c r="C60" s="24">
        <f t="shared" si="12"/>
        <v>1</v>
      </c>
      <c r="D60" s="719" t="s">
        <v>3460</v>
      </c>
      <c r="E60" s="24">
        <f t="shared" si="13"/>
        <v>1.04</v>
      </c>
      <c r="F60" s="3001" t="s">
        <v>3461</v>
      </c>
      <c r="G60" s="24">
        <f t="shared" si="14"/>
        <v>1</v>
      </c>
      <c r="H60" s="3001" t="s">
        <v>3462</v>
      </c>
      <c r="I60" s="24">
        <f t="shared" si="15"/>
        <v>1.02</v>
      </c>
      <c r="J60" s="3001" t="s">
        <v>3213</v>
      </c>
      <c r="K60" s="24">
        <f t="shared" si="16"/>
        <v>0.9</v>
      </c>
      <c r="L60" s="719"/>
      <c r="M60" s="24">
        <f t="shared" si="17"/>
        <v>1</v>
      </c>
      <c r="N60" s="719"/>
      <c r="O60" s="24">
        <f t="shared" si="18"/>
        <v>1</v>
      </c>
      <c r="P60" s="3020">
        <f>分套价值!F37</f>
        <v>3</v>
      </c>
      <c r="Q60" s="24">
        <f t="shared" si="19"/>
        <v>0.45</v>
      </c>
      <c r="R60" s="715">
        <f t="shared" si="20"/>
        <v>0</v>
      </c>
      <c r="S60" s="360">
        <f t="shared" si="21"/>
        <v>0</v>
      </c>
    </row>
    <row r="61" spans="1:19">
      <c r="A61" s="3018" t="str">
        <f>分套价值!D38</f>
        <v>大冶市东风路街道金湖大道73号外滩首府73-66号</v>
      </c>
      <c r="B61" s="3019">
        <f>分套价值!E38</f>
        <v>1488.07</v>
      </c>
      <c r="C61" s="24">
        <f t="shared" si="12"/>
        <v>0.98</v>
      </c>
      <c r="D61" s="719" t="s">
        <v>3460</v>
      </c>
      <c r="E61" s="24">
        <f t="shared" si="13"/>
        <v>1.04</v>
      </c>
      <c r="F61" s="3001" t="s">
        <v>3461</v>
      </c>
      <c r="G61" s="24">
        <f t="shared" si="14"/>
        <v>1</v>
      </c>
      <c r="H61" s="3001" t="s">
        <v>3462</v>
      </c>
      <c r="I61" s="24">
        <f t="shared" si="15"/>
        <v>1.02</v>
      </c>
      <c r="J61" s="3001" t="s">
        <v>3213</v>
      </c>
      <c r="K61" s="24">
        <f t="shared" si="16"/>
        <v>0.9</v>
      </c>
      <c r="L61" s="719"/>
      <c r="M61" s="24">
        <f t="shared" si="17"/>
        <v>1</v>
      </c>
      <c r="N61" s="719"/>
      <c r="O61" s="24">
        <f t="shared" si="18"/>
        <v>1</v>
      </c>
      <c r="P61" s="3020">
        <f>分套价值!F38</f>
        <v>2</v>
      </c>
      <c r="Q61" s="24">
        <f t="shared" si="19"/>
        <v>0.5</v>
      </c>
      <c r="R61" s="715">
        <f t="shared" ca="1" si="20"/>
        <v>7778</v>
      </c>
      <c r="S61" s="360">
        <f t="shared" ca="1" si="21"/>
        <v>1157</v>
      </c>
    </row>
    <row r="62" spans="1:19">
      <c r="A62" s="3018" t="str">
        <f>分套价值!D39</f>
        <v>大冶市东风路街道金湖大道73号外滩首府73-52号</v>
      </c>
      <c r="B62" s="3019">
        <f>分套价值!E39</f>
        <v>484.66</v>
      </c>
      <c r="C62" s="24">
        <f t="shared" si="12"/>
        <v>1</v>
      </c>
      <c r="D62" s="719" t="s">
        <v>3460</v>
      </c>
      <c r="E62" s="24">
        <f t="shared" si="13"/>
        <v>1.04</v>
      </c>
      <c r="F62" s="3001" t="s">
        <v>3461</v>
      </c>
      <c r="G62" s="24">
        <f t="shared" si="14"/>
        <v>1</v>
      </c>
      <c r="H62" s="3001" t="s">
        <v>3462</v>
      </c>
      <c r="I62" s="24">
        <f t="shared" si="15"/>
        <v>1.02</v>
      </c>
      <c r="J62" s="3001" t="s">
        <v>3213</v>
      </c>
      <c r="K62" s="24">
        <f t="shared" si="16"/>
        <v>0.9</v>
      </c>
      <c r="L62" s="719"/>
      <c r="M62" s="24">
        <f t="shared" si="17"/>
        <v>1</v>
      </c>
      <c r="N62" s="719"/>
      <c r="O62" s="24">
        <f t="shared" si="18"/>
        <v>1</v>
      </c>
      <c r="P62" s="3020">
        <f>分套价值!F39</f>
        <v>1</v>
      </c>
      <c r="Q62" s="24">
        <f t="shared" si="19"/>
        <v>1</v>
      </c>
      <c r="R62" s="715">
        <f t="shared" ca="1" si="20"/>
        <v>15874</v>
      </c>
      <c r="S62" s="360">
        <f t="shared" ca="1" si="21"/>
        <v>769</v>
      </c>
    </row>
    <row r="63" spans="1:19">
      <c r="A63" s="3018" t="str">
        <f>分套价值!D40</f>
        <v>大冶市东风路街道金湖大道73号外滩首府73-70号</v>
      </c>
      <c r="B63" s="3019">
        <f>分套价值!E40</f>
        <v>974.85</v>
      </c>
      <c r="C63" s="24">
        <f t="shared" si="12"/>
        <v>0.99</v>
      </c>
      <c r="D63" s="719" t="s">
        <v>3460</v>
      </c>
      <c r="E63" s="24">
        <f t="shared" si="13"/>
        <v>1.04</v>
      </c>
      <c r="F63" s="3001" t="s">
        <v>3461</v>
      </c>
      <c r="G63" s="24">
        <f t="shared" si="14"/>
        <v>1</v>
      </c>
      <c r="H63" s="3001" t="s">
        <v>3462</v>
      </c>
      <c r="I63" s="24">
        <f t="shared" si="15"/>
        <v>1.02</v>
      </c>
      <c r="J63" s="3001" t="s">
        <v>3213</v>
      </c>
      <c r="K63" s="24">
        <f t="shared" si="16"/>
        <v>0.9</v>
      </c>
      <c r="L63" s="719"/>
      <c r="M63" s="24">
        <f t="shared" si="17"/>
        <v>1</v>
      </c>
      <c r="N63" s="719"/>
      <c r="O63" s="24">
        <f t="shared" si="18"/>
        <v>1</v>
      </c>
      <c r="P63" s="3020">
        <f>分套价值!F40</f>
        <v>2</v>
      </c>
      <c r="Q63" s="24">
        <f t="shared" si="19"/>
        <v>0.5</v>
      </c>
      <c r="R63" s="715">
        <f t="shared" ca="1" si="20"/>
        <v>7858</v>
      </c>
      <c r="S63" s="360">
        <f t="shared" ca="1" si="21"/>
        <v>766</v>
      </c>
    </row>
    <row r="64" spans="1:19">
      <c r="A64" s="3018" t="str">
        <f>分套价值!D41</f>
        <v>大冶市东风路街道金湖大道73号外滩首府73-4号</v>
      </c>
      <c r="B64" s="3019"/>
      <c r="C64" s="24">
        <f t="shared" si="12"/>
        <v>1</v>
      </c>
      <c r="D64" s="719" t="s">
        <v>3460</v>
      </c>
      <c r="E64" s="24">
        <f t="shared" si="13"/>
        <v>1.04</v>
      </c>
      <c r="F64" s="3001" t="s">
        <v>3461</v>
      </c>
      <c r="G64" s="24">
        <f t="shared" si="14"/>
        <v>1</v>
      </c>
      <c r="H64" s="3001" t="s">
        <v>3462</v>
      </c>
      <c r="I64" s="24">
        <f t="shared" si="15"/>
        <v>1.02</v>
      </c>
      <c r="J64" s="3001" t="s">
        <v>3213</v>
      </c>
      <c r="K64" s="24">
        <f t="shared" si="16"/>
        <v>0.9</v>
      </c>
      <c r="L64" s="719"/>
      <c r="M64" s="24">
        <f t="shared" si="17"/>
        <v>1</v>
      </c>
      <c r="N64" s="719"/>
      <c r="O64" s="24">
        <f t="shared" si="18"/>
        <v>1</v>
      </c>
      <c r="P64" s="3020">
        <f>分套价值!F41</f>
        <v>1</v>
      </c>
      <c r="Q64" s="24">
        <f t="shared" si="19"/>
        <v>1</v>
      </c>
      <c r="R64" s="715">
        <f t="shared" si="20"/>
        <v>0</v>
      </c>
      <c r="S64" s="360">
        <f t="shared" si="21"/>
        <v>0</v>
      </c>
    </row>
    <row r="65" spans="1:19">
      <c r="A65" s="3018" t="str">
        <f>分套价值!D42</f>
        <v>大冶市东风路街道金湖大道73号外滩首府73-79号</v>
      </c>
      <c r="B65" s="3019"/>
      <c r="C65" s="24">
        <f t="shared" si="12"/>
        <v>1</v>
      </c>
      <c r="D65" s="719" t="s">
        <v>3460</v>
      </c>
      <c r="E65" s="24">
        <f t="shared" si="13"/>
        <v>1.04</v>
      </c>
      <c r="F65" s="3001" t="s">
        <v>3461</v>
      </c>
      <c r="G65" s="24">
        <f t="shared" si="14"/>
        <v>1</v>
      </c>
      <c r="H65" s="3001" t="s">
        <v>3462</v>
      </c>
      <c r="I65" s="24">
        <f t="shared" si="15"/>
        <v>1.02</v>
      </c>
      <c r="J65" s="3001" t="s">
        <v>3213</v>
      </c>
      <c r="K65" s="24">
        <f t="shared" si="16"/>
        <v>0.9</v>
      </c>
      <c r="L65" s="719"/>
      <c r="M65" s="24">
        <f t="shared" si="17"/>
        <v>1</v>
      </c>
      <c r="N65" s="719"/>
      <c r="O65" s="24">
        <f t="shared" si="18"/>
        <v>1</v>
      </c>
      <c r="P65" s="3020">
        <f>分套价值!F42</f>
        <v>3</v>
      </c>
      <c r="Q65" s="24">
        <f t="shared" si="19"/>
        <v>0.45</v>
      </c>
      <c r="R65" s="715">
        <f t="shared" si="20"/>
        <v>0</v>
      </c>
      <c r="S65" s="360">
        <f t="shared" si="21"/>
        <v>0</v>
      </c>
    </row>
    <row r="66" spans="1:19">
      <c r="A66" s="3018"/>
      <c r="B66" s="59"/>
      <c r="C66" s="24">
        <f t="shared" si="12"/>
        <v>1</v>
      </c>
      <c r="D66" s="719"/>
      <c r="E66" s="24">
        <f t="shared" si="13"/>
        <v>0.04</v>
      </c>
      <c r="F66" s="719"/>
      <c r="G66" s="24">
        <f t="shared" si="14"/>
        <v>0.02</v>
      </c>
      <c r="H66" s="719"/>
      <c r="I66" s="24">
        <f t="shared" si="15"/>
        <v>0.02</v>
      </c>
      <c r="J66" s="719"/>
      <c r="K66" s="24">
        <f t="shared" si="16"/>
        <v>0.1</v>
      </c>
      <c r="L66" s="719"/>
      <c r="M66" s="24">
        <f t="shared" si="17"/>
        <v>1</v>
      </c>
      <c r="N66" s="719"/>
      <c r="O66" s="24">
        <f t="shared" si="18"/>
        <v>1</v>
      </c>
      <c r="P66" s="719"/>
      <c r="Q66" s="24">
        <f t="shared" si="19"/>
        <v>0</v>
      </c>
      <c r="R66" s="715">
        <f t="shared" si="20"/>
        <v>0</v>
      </c>
      <c r="S66" s="360">
        <f t="shared" si="21"/>
        <v>0</v>
      </c>
    </row>
    <row r="67" spans="1:19">
      <c r="A67" s="3018"/>
      <c r="B67" s="59"/>
      <c r="C67" s="24">
        <f t="shared" si="12"/>
        <v>1</v>
      </c>
      <c r="D67" s="719"/>
      <c r="E67" s="24">
        <f t="shared" si="13"/>
        <v>0.04</v>
      </c>
      <c r="F67" s="719"/>
      <c r="G67" s="24">
        <f t="shared" si="14"/>
        <v>0.02</v>
      </c>
      <c r="H67" s="719"/>
      <c r="I67" s="24">
        <f t="shared" si="15"/>
        <v>0.02</v>
      </c>
      <c r="J67" s="719"/>
      <c r="K67" s="24">
        <f t="shared" si="16"/>
        <v>0.1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0.04</v>
      </c>
      <c r="F68" s="719"/>
      <c r="G68" s="24">
        <f t="shared" si="14"/>
        <v>0.02</v>
      </c>
      <c r="H68" s="719"/>
      <c r="I68" s="24">
        <f t="shared" si="15"/>
        <v>0.02</v>
      </c>
      <c r="J68" s="719"/>
      <c r="K68" s="24">
        <f t="shared" si="16"/>
        <v>0.1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0.04</v>
      </c>
      <c r="F69" s="719"/>
      <c r="G69" s="24">
        <f t="shared" si="14"/>
        <v>0.02</v>
      </c>
      <c r="H69" s="719"/>
      <c r="I69" s="24">
        <f t="shared" si="15"/>
        <v>0.02</v>
      </c>
      <c r="J69" s="719"/>
      <c r="K69" s="24">
        <f t="shared" si="16"/>
        <v>0.1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0.04</v>
      </c>
      <c r="F70" s="719"/>
      <c r="G70" s="24">
        <f t="shared" si="14"/>
        <v>0.02</v>
      </c>
      <c r="H70" s="719"/>
      <c r="I70" s="24">
        <f t="shared" si="15"/>
        <v>0.02</v>
      </c>
      <c r="J70" s="719"/>
      <c r="K70" s="24">
        <f t="shared" si="16"/>
        <v>0.1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0.04</v>
      </c>
      <c r="F71" s="719"/>
      <c r="G71" s="24">
        <f t="shared" si="14"/>
        <v>0.02</v>
      </c>
      <c r="H71" s="719"/>
      <c r="I71" s="24">
        <f t="shared" si="15"/>
        <v>0.02</v>
      </c>
      <c r="J71" s="719"/>
      <c r="K71" s="24">
        <f t="shared" si="16"/>
        <v>0.1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0.04</v>
      </c>
      <c r="F72" s="719"/>
      <c r="G72" s="24">
        <f t="shared" si="14"/>
        <v>0.02</v>
      </c>
      <c r="H72" s="719"/>
      <c r="I72" s="24">
        <f t="shared" si="15"/>
        <v>0.02</v>
      </c>
      <c r="J72" s="719"/>
      <c r="K72" s="24">
        <f t="shared" si="16"/>
        <v>0.1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0.04</v>
      </c>
      <c r="F73" s="719"/>
      <c r="G73" s="24">
        <f t="shared" si="14"/>
        <v>0.02</v>
      </c>
      <c r="H73" s="719"/>
      <c r="I73" s="24">
        <f t="shared" si="15"/>
        <v>0.02</v>
      </c>
      <c r="J73" s="719"/>
      <c r="K73" s="24">
        <f t="shared" si="16"/>
        <v>0.1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0.04</v>
      </c>
      <c r="F74" s="719"/>
      <c r="G74" s="24">
        <f t="shared" si="14"/>
        <v>0.02</v>
      </c>
      <c r="H74" s="719"/>
      <c r="I74" s="24">
        <f t="shared" si="15"/>
        <v>0.02</v>
      </c>
      <c r="J74" s="719"/>
      <c r="K74" s="24">
        <f t="shared" si="16"/>
        <v>0.1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0.04</v>
      </c>
      <c r="F75" s="719"/>
      <c r="G75" s="24">
        <f t="shared" si="14"/>
        <v>0.02</v>
      </c>
      <c r="H75" s="719"/>
      <c r="I75" s="24">
        <f t="shared" si="15"/>
        <v>0.02</v>
      </c>
      <c r="J75" s="719"/>
      <c r="K75" s="24">
        <f t="shared" si="16"/>
        <v>0.1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0.04</v>
      </c>
      <c r="F76" s="719"/>
      <c r="G76" s="24">
        <f t="shared" si="14"/>
        <v>0.02</v>
      </c>
      <c r="H76" s="719"/>
      <c r="I76" s="24">
        <f t="shared" si="15"/>
        <v>0.02</v>
      </c>
      <c r="J76" s="719"/>
      <c r="K76" s="24">
        <f t="shared" si="16"/>
        <v>0.1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0.04</v>
      </c>
      <c r="F77" s="719"/>
      <c r="G77" s="24">
        <f t="shared" si="14"/>
        <v>0.02</v>
      </c>
      <c r="H77" s="719"/>
      <c r="I77" s="24">
        <f t="shared" si="15"/>
        <v>0.02</v>
      </c>
      <c r="J77" s="719"/>
      <c r="K77" s="24">
        <f t="shared" si="16"/>
        <v>0.1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0.04</v>
      </c>
      <c r="F78" s="719"/>
      <c r="G78" s="24">
        <f t="shared" si="14"/>
        <v>0.02</v>
      </c>
      <c r="H78" s="719"/>
      <c r="I78" s="24">
        <f t="shared" si="15"/>
        <v>0.02</v>
      </c>
      <c r="J78" s="719"/>
      <c r="K78" s="24">
        <f t="shared" si="16"/>
        <v>0.1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0.04</v>
      </c>
      <c r="F79" s="719"/>
      <c r="G79" s="24">
        <f t="shared" si="14"/>
        <v>0.02</v>
      </c>
      <c r="H79" s="719"/>
      <c r="I79" s="24">
        <f t="shared" si="15"/>
        <v>0.02</v>
      </c>
      <c r="J79" s="719"/>
      <c r="K79" s="24">
        <f t="shared" si="16"/>
        <v>0.1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0.04</v>
      </c>
      <c r="F80" s="719"/>
      <c r="G80" s="24">
        <f t="shared" si="14"/>
        <v>0.02</v>
      </c>
      <c r="H80" s="719"/>
      <c r="I80" s="24">
        <f t="shared" si="15"/>
        <v>0.02</v>
      </c>
      <c r="J80" s="719"/>
      <c r="K80" s="24">
        <f t="shared" si="16"/>
        <v>0.1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0.04</v>
      </c>
      <c r="F81" s="719"/>
      <c r="G81" s="24">
        <f t="shared" si="14"/>
        <v>0.02</v>
      </c>
      <c r="H81" s="719"/>
      <c r="I81" s="24">
        <f t="shared" si="15"/>
        <v>0.02</v>
      </c>
      <c r="J81" s="719"/>
      <c r="K81" s="24">
        <f t="shared" si="16"/>
        <v>0.1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0.04</v>
      </c>
      <c r="F82" s="719"/>
      <c r="G82" s="24">
        <f t="shared" si="14"/>
        <v>0.02</v>
      </c>
      <c r="H82" s="719"/>
      <c r="I82" s="24">
        <f t="shared" si="15"/>
        <v>0.02</v>
      </c>
      <c r="J82" s="719"/>
      <c r="K82" s="24">
        <f t="shared" si="16"/>
        <v>0.1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0.04</v>
      </c>
      <c r="F83" s="719"/>
      <c r="G83" s="24">
        <f t="shared" si="14"/>
        <v>0.02</v>
      </c>
      <c r="H83" s="719"/>
      <c r="I83" s="24">
        <f t="shared" si="15"/>
        <v>0.02</v>
      </c>
      <c r="J83" s="719"/>
      <c r="K83" s="24">
        <f t="shared" si="16"/>
        <v>0.1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0.04</v>
      </c>
      <c r="F84" s="719"/>
      <c r="G84" s="24">
        <f t="shared" si="14"/>
        <v>0.02</v>
      </c>
      <c r="H84" s="719"/>
      <c r="I84" s="24">
        <f t="shared" si="15"/>
        <v>0.02</v>
      </c>
      <c r="J84" s="719"/>
      <c r="K84" s="24">
        <f t="shared" si="16"/>
        <v>0.1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0.04</v>
      </c>
      <c r="F85" s="719"/>
      <c r="G85" s="24">
        <f t="shared" si="14"/>
        <v>0.02</v>
      </c>
      <c r="H85" s="719"/>
      <c r="I85" s="24">
        <f t="shared" si="15"/>
        <v>0.02</v>
      </c>
      <c r="J85" s="719"/>
      <c r="K85" s="24">
        <f t="shared" si="16"/>
        <v>0.1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0.04</v>
      </c>
      <c r="F86" s="719"/>
      <c r="G86" s="24">
        <f t="shared" si="14"/>
        <v>0.02</v>
      </c>
      <c r="H86" s="719"/>
      <c r="I86" s="24">
        <f t="shared" si="15"/>
        <v>0.02</v>
      </c>
      <c r="J86" s="719"/>
      <c r="K86" s="24">
        <f t="shared" si="16"/>
        <v>0.1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0.04</v>
      </c>
      <c r="F87" s="719"/>
      <c r="G87" s="24">
        <f t="shared" si="14"/>
        <v>0.02</v>
      </c>
      <c r="H87" s="719"/>
      <c r="I87" s="24">
        <f t="shared" si="15"/>
        <v>0.02</v>
      </c>
      <c r="J87" s="719"/>
      <c r="K87" s="24">
        <f t="shared" si="16"/>
        <v>0.1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0.04</v>
      </c>
      <c r="F88" s="719"/>
      <c r="G88" s="24">
        <f t="shared" si="14"/>
        <v>0.02</v>
      </c>
      <c r="H88" s="719"/>
      <c r="I88" s="24">
        <f t="shared" si="15"/>
        <v>0.02</v>
      </c>
      <c r="J88" s="719"/>
      <c r="K88" s="24">
        <f t="shared" si="16"/>
        <v>0.1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0.04</v>
      </c>
      <c r="F89" s="719"/>
      <c r="G89" s="24">
        <f t="shared" si="14"/>
        <v>0.02</v>
      </c>
      <c r="H89" s="719"/>
      <c r="I89" s="24">
        <f t="shared" si="15"/>
        <v>0.02</v>
      </c>
      <c r="J89" s="719"/>
      <c r="K89" s="24">
        <f t="shared" si="16"/>
        <v>0.1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0.04</v>
      </c>
      <c r="F90" s="719"/>
      <c r="G90" s="24">
        <f t="shared" ref="G90:G153" si="25">(SUMIF($7:$7,F90,$8:$8)-SUMIF($7:$7,$F$24,$8:$8)+100)/100</f>
        <v>0.02</v>
      </c>
      <c r="H90" s="719"/>
      <c r="I90" s="24">
        <f t="shared" ref="I90:I153" si="26">(SUMIF($9:$9,H90,$10:$10)-SUMIF($9:$9,$H$24,$10:$10)+100)/100</f>
        <v>0.02</v>
      </c>
      <c r="J90" s="719"/>
      <c r="K90" s="24">
        <f t="shared" ref="K90:K153" si="27">(SUMIF($11:$11,J90,$12:$12)-SUMIF($11:$11,$J$24,$12:$12)+100)/100</f>
        <v>0.1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0.04</v>
      </c>
      <c r="F91" s="719"/>
      <c r="G91" s="24">
        <f t="shared" si="25"/>
        <v>0.02</v>
      </c>
      <c r="H91" s="719"/>
      <c r="I91" s="24">
        <f t="shared" si="26"/>
        <v>0.02</v>
      </c>
      <c r="J91" s="719"/>
      <c r="K91" s="24">
        <f t="shared" si="27"/>
        <v>0.1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0.04</v>
      </c>
      <c r="F92" s="719"/>
      <c r="G92" s="24">
        <f t="shared" si="25"/>
        <v>0.02</v>
      </c>
      <c r="H92" s="719"/>
      <c r="I92" s="24">
        <f t="shared" si="26"/>
        <v>0.02</v>
      </c>
      <c r="J92" s="719"/>
      <c r="K92" s="24">
        <f t="shared" si="27"/>
        <v>0.1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0.04</v>
      </c>
      <c r="F93" s="719"/>
      <c r="G93" s="24">
        <f t="shared" si="25"/>
        <v>0.02</v>
      </c>
      <c r="H93" s="719"/>
      <c r="I93" s="24">
        <f t="shared" si="26"/>
        <v>0.02</v>
      </c>
      <c r="J93" s="719"/>
      <c r="K93" s="24">
        <f t="shared" si="27"/>
        <v>0.1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0.04</v>
      </c>
      <c r="F94" s="719"/>
      <c r="G94" s="24">
        <f t="shared" si="25"/>
        <v>0.02</v>
      </c>
      <c r="H94" s="719"/>
      <c r="I94" s="24">
        <f t="shared" si="26"/>
        <v>0.02</v>
      </c>
      <c r="J94" s="719"/>
      <c r="K94" s="24">
        <f t="shared" si="27"/>
        <v>0.1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0.04</v>
      </c>
      <c r="F95" s="719"/>
      <c r="G95" s="24">
        <f t="shared" si="25"/>
        <v>0.02</v>
      </c>
      <c r="H95" s="719"/>
      <c r="I95" s="24">
        <f t="shared" si="26"/>
        <v>0.02</v>
      </c>
      <c r="J95" s="719"/>
      <c r="K95" s="24">
        <f t="shared" si="27"/>
        <v>0.1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0.04</v>
      </c>
      <c r="F96" s="719"/>
      <c r="G96" s="24">
        <f t="shared" si="25"/>
        <v>0.02</v>
      </c>
      <c r="H96" s="719"/>
      <c r="I96" s="24">
        <f t="shared" si="26"/>
        <v>0.02</v>
      </c>
      <c r="J96" s="719"/>
      <c r="K96" s="24">
        <f t="shared" si="27"/>
        <v>0.1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0.04</v>
      </c>
      <c r="F97" s="719"/>
      <c r="G97" s="24">
        <f t="shared" si="25"/>
        <v>0.02</v>
      </c>
      <c r="H97" s="719"/>
      <c r="I97" s="24">
        <f t="shared" si="26"/>
        <v>0.02</v>
      </c>
      <c r="J97" s="719"/>
      <c r="K97" s="24">
        <f t="shared" si="27"/>
        <v>0.1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0.04</v>
      </c>
      <c r="F98" s="719"/>
      <c r="G98" s="24">
        <f t="shared" si="25"/>
        <v>0.02</v>
      </c>
      <c r="H98" s="719"/>
      <c r="I98" s="24">
        <f t="shared" si="26"/>
        <v>0.02</v>
      </c>
      <c r="J98" s="719"/>
      <c r="K98" s="24">
        <f t="shared" si="27"/>
        <v>0.1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0.04</v>
      </c>
      <c r="F99" s="719"/>
      <c r="G99" s="24">
        <f t="shared" si="25"/>
        <v>0.02</v>
      </c>
      <c r="H99" s="719"/>
      <c r="I99" s="24">
        <f t="shared" si="26"/>
        <v>0.02</v>
      </c>
      <c r="J99" s="719"/>
      <c r="K99" s="24">
        <f t="shared" si="27"/>
        <v>0.1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0.04</v>
      </c>
      <c r="F100" s="719"/>
      <c r="G100" s="24">
        <f t="shared" si="25"/>
        <v>0.02</v>
      </c>
      <c r="H100" s="719"/>
      <c r="I100" s="24">
        <f t="shared" si="26"/>
        <v>0.02</v>
      </c>
      <c r="J100" s="719"/>
      <c r="K100" s="24">
        <f t="shared" si="27"/>
        <v>0.1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0.04</v>
      </c>
      <c r="F101" s="719"/>
      <c r="G101" s="24">
        <f t="shared" si="25"/>
        <v>0.02</v>
      </c>
      <c r="H101" s="719"/>
      <c r="I101" s="24">
        <f t="shared" si="26"/>
        <v>0.02</v>
      </c>
      <c r="J101" s="719"/>
      <c r="K101" s="24">
        <f t="shared" si="27"/>
        <v>0.1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0.04</v>
      </c>
      <c r="F102" s="719"/>
      <c r="G102" s="24">
        <f t="shared" si="25"/>
        <v>0.02</v>
      </c>
      <c r="H102" s="719"/>
      <c r="I102" s="24">
        <f t="shared" si="26"/>
        <v>0.02</v>
      </c>
      <c r="J102" s="719"/>
      <c r="K102" s="24">
        <f t="shared" si="27"/>
        <v>0.1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0.04</v>
      </c>
      <c r="F103" s="719"/>
      <c r="G103" s="24">
        <f t="shared" si="25"/>
        <v>0.02</v>
      </c>
      <c r="H103" s="719"/>
      <c r="I103" s="24">
        <f t="shared" si="26"/>
        <v>0.02</v>
      </c>
      <c r="J103" s="719"/>
      <c r="K103" s="24">
        <f t="shared" si="27"/>
        <v>0.1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0.04</v>
      </c>
      <c r="F104" s="719"/>
      <c r="G104" s="24">
        <f t="shared" si="25"/>
        <v>0.02</v>
      </c>
      <c r="H104" s="719"/>
      <c r="I104" s="24">
        <f t="shared" si="26"/>
        <v>0.02</v>
      </c>
      <c r="J104" s="719"/>
      <c r="K104" s="24">
        <f t="shared" si="27"/>
        <v>0.1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0.04</v>
      </c>
      <c r="F105" s="719"/>
      <c r="G105" s="24">
        <f t="shared" si="25"/>
        <v>0.02</v>
      </c>
      <c r="H105" s="719"/>
      <c r="I105" s="24">
        <f t="shared" si="26"/>
        <v>0.02</v>
      </c>
      <c r="J105" s="719"/>
      <c r="K105" s="24">
        <f t="shared" si="27"/>
        <v>0.1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0.04</v>
      </c>
      <c r="F106" s="719"/>
      <c r="G106" s="24">
        <f t="shared" si="25"/>
        <v>0.02</v>
      </c>
      <c r="H106" s="719"/>
      <c r="I106" s="24">
        <f t="shared" si="26"/>
        <v>0.02</v>
      </c>
      <c r="J106" s="719"/>
      <c r="K106" s="24">
        <f t="shared" si="27"/>
        <v>0.1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0.04</v>
      </c>
      <c r="F107" s="719"/>
      <c r="G107" s="24">
        <f t="shared" si="25"/>
        <v>0.02</v>
      </c>
      <c r="H107" s="719"/>
      <c r="I107" s="24">
        <f t="shared" si="26"/>
        <v>0.02</v>
      </c>
      <c r="J107" s="719"/>
      <c r="K107" s="24">
        <f t="shared" si="27"/>
        <v>0.1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0.04</v>
      </c>
      <c r="F108" s="719"/>
      <c r="G108" s="24">
        <f t="shared" si="25"/>
        <v>0.02</v>
      </c>
      <c r="H108" s="719"/>
      <c r="I108" s="24">
        <f t="shared" si="26"/>
        <v>0.02</v>
      </c>
      <c r="J108" s="719"/>
      <c r="K108" s="24">
        <f t="shared" si="27"/>
        <v>0.1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0.04</v>
      </c>
      <c r="F109" s="719"/>
      <c r="G109" s="24">
        <f t="shared" si="25"/>
        <v>0.02</v>
      </c>
      <c r="H109" s="719"/>
      <c r="I109" s="24">
        <f t="shared" si="26"/>
        <v>0.02</v>
      </c>
      <c r="J109" s="719"/>
      <c r="K109" s="24">
        <f t="shared" si="27"/>
        <v>0.1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0.04</v>
      </c>
      <c r="F110" s="719"/>
      <c r="G110" s="24">
        <f t="shared" si="25"/>
        <v>0.02</v>
      </c>
      <c r="H110" s="719"/>
      <c r="I110" s="24">
        <f t="shared" si="26"/>
        <v>0.02</v>
      </c>
      <c r="J110" s="719"/>
      <c r="K110" s="24">
        <f t="shared" si="27"/>
        <v>0.1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0.04</v>
      </c>
      <c r="F111" s="719"/>
      <c r="G111" s="24">
        <f t="shared" si="25"/>
        <v>0.02</v>
      </c>
      <c r="H111" s="719"/>
      <c r="I111" s="24">
        <f t="shared" si="26"/>
        <v>0.02</v>
      </c>
      <c r="J111" s="719"/>
      <c r="K111" s="24">
        <f t="shared" si="27"/>
        <v>0.1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0.04</v>
      </c>
      <c r="F112" s="719"/>
      <c r="G112" s="24">
        <f t="shared" si="25"/>
        <v>0.02</v>
      </c>
      <c r="H112" s="719"/>
      <c r="I112" s="24">
        <f t="shared" si="26"/>
        <v>0.02</v>
      </c>
      <c r="J112" s="719"/>
      <c r="K112" s="24">
        <f t="shared" si="27"/>
        <v>0.1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0.04</v>
      </c>
      <c r="F113" s="719"/>
      <c r="G113" s="24">
        <f t="shared" si="25"/>
        <v>0.02</v>
      </c>
      <c r="H113" s="719"/>
      <c r="I113" s="24">
        <f t="shared" si="26"/>
        <v>0.02</v>
      </c>
      <c r="J113" s="719"/>
      <c r="K113" s="24">
        <f t="shared" si="27"/>
        <v>0.1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0.04</v>
      </c>
      <c r="F114" s="719"/>
      <c r="G114" s="24">
        <f t="shared" si="25"/>
        <v>0.02</v>
      </c>
      <c r="H114" s="719"/>
      <c r="I114" s="24">
        <f t="shared" si="26"/>
        <v>0.02</v>
      </c>
      <c r="J114" s="719"/>
      <c r="K114" s="24">
        <f t="shared" si="27"/>
        <v>0.1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0.04</v>
      </c>
      <c r="F115" s="719"/>
      <c r="G115" s="24">
        <f t="shared" si="25"/>
        <v>0.02</v>
      </c>
      <c r="H115" s="719"/>
      <c r="I115" s="24">
        <f t="shared" si="26"/>
        <v>0.02</v>
      </c>
      <c r="J115" s="719"/>
      <c r="K115" s="24">
        <f t="shared" si="27"/>
        <v>0.1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0.04</v>
      </c>
      <c r="F116" s="719"/>
      <c r="G116" s="24">
        <f t="shared" si="25"/>
        <v>0.02</v>
      </c>
      <c r="H116" s="719"/>
      <c r="I116" s="24">
        <f t="shared" si="26"/>
        <v>0.02</v>
      </c>
      <c r="J116" s="719"/>
      <c r="K116" s="24">
        <f t="shared" si="27"/>
        <v>0.1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0.04</v>
      </c>
      <c r="F117" s="719"/>
      <c r="G117" s="24">
        <f t="shared" si="25"/>
        <v>0.02</v>
      </c>
      <c r="H117" s="719"/>
      <c r="I117" s="24">
        <f t="shared" si="26"/>
        <v>0.02</v>
      </c>
      <c r="J117" s="719"/>
      <c r="K117" s="24">
        <f t="shared" si="27"/>
        <v>0.1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0.04</v>
      </c>
      <c r="F118" s="719"/>
      <c r="G118" s="24">
        <f t="shared" si="25"/>
        <v>0.02</v>
      </c>
      <c r="H118" s="719"/>
      <c r="I118" s="24">
        <f t="shared" si="26"/>
        <v>0.02</v>
      </c>
      <c r="J118" s="719"/>
      <c r="K118" s="24">
        <f t="shared" si="27"/>
        <v>0.1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0.04</v>
      </c>
      <c r="F119" s="719"/>
      <c r="G119" s="24">
        <f t="shared" si="25"/>
        <v>0.02</v>
      </c>
      <c r="H119" s="719"/>
      <c r="I119" s="24">
        <f t="shared" si="26"/>
        <v>0.02</v>
      </c>
      <c r="J119" s="719"/>
      <c r="K119" s="24">
        <f t="shared" si="27"/>
        <v>0.1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0.04</v>
      </c>
      <c r="F120" s="719"/>
      <c r="G120" s="24">
        <f t="shared" si="25"/>
        <v>0.02</v>
      </c>
      <c r="H120" s="719"/>
      <c r="I120" s="24">
        <f t="shared" si="26"/>
        <v>0.02</v>
      </c>
      <c r="J120" s="719"/>
      <c r="K120" s="24">
        <f t="shared" si="27"/>
        <v>0.1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0.04</v>
      </c>
      <c r="F121" s="719"/>
      <c r="G121" s="24">
        <f t="shared" si="25"/>
        <v>0.02</v>
      </c>
      <c r="H121" s="719"/>
      <c r="I121" s="24">
        <f t="shared" si="26"/>
        <v>0.02</v>
      </c>
      <c r="J121" s="719"/>
      <c r="K121" s="24">
        <f t="shared" si="27"/>
        <v>0.1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0.04</v>
      </c>
      <c r="F122" s="719"/>
      <c r="G122" s="24">
        <f t="shared" si="25"/>
        <v>0.02</v>
      </c>
      <c r="H122" s="719"/>
      <c r="I122" s="24">
        <f t="shared" si="26"/>
        <v>0.02</v>
      </c>
      <c r="J122" s="719"/>
      <c r="K122" s="24">
        <f t="shared" si="27"/>
        <v>0.1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0.04</v>
      </c>
      <c r="F123" s="719"/>
      <c r="G123" s="24">
        <f t="shared" si="25"/>
        <v>0.02</v>
      </c>
      <c r="H123" s="719"/>
      <c r="I123" s="24">
        <f t="shared" si="26"/>
        <v>0.02</v>
      </c>
      <c r="J123" s="719"/>
      <c r="K123" s="24">
        <f t="shared" si="27"/>
        <v>0.1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0.04</v>
      </c>
      <c r="F124" s="719"/>
      <c r="G124" s="24">
        <f t="shared" si="25"/>
        <v>0.02</v>
      </c>
      <c r="H124" s="719"/>
      <c r="I124" s="24">
        <f t="shared" si="26"/>
        <v>0.02</v>
      </c>
      <c r="J124" s="719"/>
      <c r="K124" s="24">
        <f t="shared" si="27"/>
        <v>0.1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0.04</v>
      </c>
      <c r="F125" s="719"/>
      <c r="G125" s="24">
        <f t="shared" si="25"/>
        <v>0.02</v>
      </c>
      <c r="H125" s="719"/>
      <c r="I125" s="24">
        <f t="shared" si="26"/>
        <v>0.02</v>
      </c>
      <c r="J125" s="719"/>
      <c r="K125" s="24">
        <f t="shared" si="27"/>
        <v>0.1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0.04</v>
      </c>
      <c r="F126" s="719"/>
      <c r="G126" s="24">
        <f t="shared" si="25"/>
        <v>0.02</v>
      </c>
      <c r="H126" s="719"/>
      <c r="I126" s="24">
        <f t="shared" si="26"/>
        <v>0.02</v>
      </c>
      <c r="J126" s="719"/>
      <c r="K126" s="24">
        <f t="shared" si="27"/>
        <v>0.1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0.04</v>
      </c>
      <c r="F127" s="719"/>
      <c r="G127" s="24">
        <f t="shared" si="25"/>
        <v>0.02</v>
      </c>
      <c r="H127" s="719"/>
      <c r="I127" s="24">
        <f t="shared" si="26"/>
        <v>0.02</v>
      </c>
      <c r="J127" s="719"/>
      <c r="K127" s="24">
        <f t="shared" si="27"/>
        <v>0.1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0.04</v>
      </c>
      <c r="F128" s="719"/>
      <c r="G128" s="24">
        <f t="shared" si="25"/>
        <v>0.02</v>
      </c>
      <c r="H128" s="719"/>
      <c r="I128" s="24">
        <f t="shared" si="26"/>
        <v>0.02</v>
      </c>
      <c r="J128" s="719"/>
      <c r="K128" s="24">
        <f t="shared" si="27"/>
        <v>0.1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0.04</v>
      </c>
      <c r="F129" s="719"/>
      <c r="G129" s="24">
        <f t="shared" si="25"/>
        <v>0.02</v>
      </c>
      <c r="H129" s="719"/>
      <c r="I129" s="24">
        <f t="shared" si="26"/>
        <v>0.02</v>
      </c>
      <c r="J129" s="719"/>
      <c r="K129" s="24">
        <f t="shared" si="27"/>
        <v>0.1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0.04</v>
      </c>
      <c r="F130" s="719"/>
      <c r="G130" s="24">
        <f t="shared" si="25"/>
        <v>0.02</v>
      </c>
      <c r="H130" s="719"/>
      <c r="I130" s="24">
        <f t="shared" si="26"/>
        <v>0.02</v>
      </c>
      <c r="J130" s="719"/>
      <c r="K130" s="24">
        <f t="shared" si="27"/>
        <v>0.1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0.04</v>
      </c>
      <c r="F131" s="719"/>
      <c r="G131" s="24">
        <f t="shared" si="25"/>
        <v>0.02</v>
      </c>
      <c r="H131" s="719"/>
      <c r="I131" s="24">
        <f t="shared" si="26"/>
        <v>0.02</v>
      </c>
      <c r="J131" s="719"/>
      <c r="K131" s="24">
        <f t="shared" si="27"/>
        <v>0.1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0.04</v>
      </c>
      <c r="F132" s="719"/>
      <c r="G132" s="24">
        <f t="shared" si="25"/>
        <v>0.02</v>
      </c>
      <c r="H132" s="719"/>
      <c r="I132" s="24">
        <f t="shared" si="26"/>
        <v>0.02</v>
      </c>
      <c r="J132" s="719"/>
      <c r="K132" s="24">
        <f t="shared" si="27"/>
        <v>0.1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0.04</v>
      </c>
      <c r="F133" s="719"/>
      <c r="G133" s="24">
        <f t="shared" si="25"/>
        <v>0.02</v>
      </c>
      <c r="H133" s="719"/>
      <c r="I133" s="24">
        <f t="shared" si="26"/>
        <v>0.02</v>
      </c>
      <c r="J133" s="719"/>
      <c r="K133" s="24">
        <f t="shared" si="27"/>
        <v>0.1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0.04</v>
      </c>
      <c r="F134" s="719"/>
      <c r="G134" s="24">
        <f t="shared" si="25"/>
        <v>0.02</v>
      </c>
      <c r="H134" s="719"/>
      <c r="I134" s="24">
        <f t="shared" si="26"/>
        <v>0.02</v>
      </c>
      <c r="J134" s="719"/>
      <c r="K134" s="24">
        <f t="shared" si="27"/>
        <v>0.1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0.04</v>
      </c>
      <c r="F135" s="719"/>
      <c r="G135" s="24">
        <f t="shared" si="25"/>
        <v>0.02</v>
      </c>
      <c r="H135" s="719"/>
      <c r="I135" s="24">
        <f t="shared" si="26"/>
        <v>0.02</v>
      </c>
      <c r="J135" s="719"/>
      <c r="K135" s="24">
        <f t="shared" si="27"/>
        <v>0.1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0.04</v>
      </c>
      <c r="F136" s="719"/>
      <c r="G136" s="24">
        <f t="shared" si="25"/>
        <v>0.02</v>
      </c>
      <c r="H136" s="719"/>
      <c r="I136" s="24">
        <f t="shared" si="26"/>
        <v>0.02</v>
      </c>
      <c r="J136" s="719"/>
      <c r="K136" s="24">
        <f t="shared" si="27"/>
        <v>0.1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0.04</v>
      </c>
      <c r="F137" s="719"/>
      <c r="G137" s="24">
        <f t="shared" si="25"/>
        <v>0.02</v>
      </c>
      <c r="H137" s="719"/>
      <c r="I137" s="24">
        <f t="shared" si="26"/>
        <v>0.02</v>
      </c>
      <c r="J137" s="719"/>
      <c r="K137" s="24">
        <f t="shared" si="27"/>
        <v>0.1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0.04</v>
      </c>
      <c r="F138" s="719"/>
      <c r="G138" s="24">
        <f t="shared" si="25"/>
        <v>0.02</v>
      </c>
      <c r="H138" s="719"/>
      <c r="I138" s="24">
        <f t="shared" si="26"/>
        <v>0.02</v>
      </c>
      <c r="J138" s="719"/>
      <c r="K138" s="24">
        <f t="shared" si="27"/>
        <v>0.1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0.04</v>
      </c>
      <c r="F139" s="719"/>
      <c r="G139" s="24">
        <f t="shared" si="25"/>
        <v>0.02</v>
      </c>
      <c r="H139" s="719"/>
      <c r="I139" s="24">
        <f t="shared" si="26"/>
        <v>0.02</v>
      </c>
      <c r="J139" s="719"/>
      <c r="K139" s="24">
        <f t="shared" si="27"/>
        <v>0.1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0.04</v>
      </c>
      <c r="F140" s="719"/>
      <c r="G140" s="24">
        <f t="shared" si="25"/>
        <v>0.02</v>
      </c>
      <c r="H140" s="719"/>
      <c r="I140" s="24">
        <f t="shared" si="26"/>
        <v>0.02</v>
      </c>
      <c r="J140" s="719"/>
      <c r="K140" s="24">
        <f t="shared" si="27"/>
        <v>0.1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0.04</v>
      </c>
      <c r="F141" s="719"/>
      <c r="G141" s="24">
        <f t="shared" si="25"/>
        <v>0.02</v>
      </c>
      <c r="H141" s="719"/>
      <c r="I141" s="24">
        <f t="shared" si="26"/>
        <v>0.02</v>
      </c>
      <c r="J141" s="719"/>
      <c r="K141" s="24">
        <f t="shared" si="27"/>
        <v>0.1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0.04</v>
      </c>
      <c r="F142" s="719"/>
      <c r="G142" s="24">
        <f t="shared" si="25"/>
        <v>0.02</v>
      </c>
      <c r="H142" s="719"/>
      <c r="I142" s="24">
        <f t="shared" si="26"/>
        <v>0.02</v>
      </c>
      <c r="J142" s="719"/>
      <c r="K142" s="24">
        <f t="shared" si="27"/>
        <v>0.1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0.04</v>
      </c>
      <c r="F143" s="719"/>
      <c r="G143" s="24">
        <f t="shared" si="25"/>
        <v>0.02</v>
      </c>
      <c r="H143" s="719"/>
      <c r="I143" s="24">
        <f t="shared" si="26"/>
        <v>0.02</v>
      </c>
      <c r="J143" s="719"/>
      <c r="K143" s="24">
        <f t="shared" si="27"/>
        <v>0.1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0.04</v>
      </c>
      <c r="F144" s="719"/>
      <c r="G144" s="24">
        <f t="shared" si="25"/>
        <v>0.02</v>
      </c>
      <c r="H144" s="719"/>
      <c r="I144" s="24">
        <f t="shared" si="26"/>
        <v>0.02</v>
      </c>
      <c r="J144" s="719"/>
      <c r="K144" s="24">
        <f t="shared" si="27"/>
        <v>0.1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0.04</v>
      </c>
      <c r="F145" s="719"/>
      <c r="G145" s="24">
        <f t="shared" si="25"/>
        <v>0.02</v>
      </c>
      <c r="H145" s="719"/>
      <c r="I145" s="24">
        <f t="shared" si="26"/>
        <v>0.02</v>
      </c>
      <c r="J145" s="719"/>
      <c r="K145" s="24">
        <f t="shared" si="27"/>
        <v>0.1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0.04</v>
      </c>
      <c r="F146" s="719"/>
      <c r="G146" s="24">
        <f t="shared" si="25"/>
        <v>0.02</v>
      </c>
      <c r="H146" s="719"/>
      <c r="I146" s="24">
        <f t="shared" si="26"/>
        <v>0.02</v>
      </c>
      <c r="J146" s="719"/>
      <c r="K146" s="24">
        <f t="shared" si="27"/>
        <v>0.1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0.04</v>
      </c>
      <c r="F147" s="719"/>
      <c r="G147" s="24">
        <f t="shared" si="25"/>
        <v>0.02</v>
      </c>
      <c r="H147" s="719"/>
      <c r="I147" s="24">
        <f t="shared" si="26"/>
        <v>0.02</v>
      </c>
      <c r="J147" s="719"/>
      <c r="K147" s="24">
        <f t="shared" si="27"/>
        <v>0.1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0.04</v>
      </c>
      <c r="F148" s="719"/>
      <c r="G148" s="24">
        <f t="shared" si="25"/>
        <v>0.02</v>
      </c>
      <c r="H148" s="719"/>
      <c r="I148" s="24">
        <f t="shared" si="26"/>
        <v>0.02</v>
      </c>
      <c r="J148" s="719"/>
      <c r="K148" s="24">
        <f t="shared" si="27"/>
        <v>0.1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0.04</v>
      </c>
      <c r="F149" s="719"/>
      <c r="G149" s="24">
        <f t="shared" si="25"/>
        <v>0.02</v>
      </c>
      <c r="H149" s="719"/>
      <c r="I149" s="24">
        <f t="shared" si="26"/>
        <v>0.02</v>
      </c>
      <c r="J149" s="719"/>
      <c r="K149" s="24">
        <f t="shared" si="27"/>
        <v>0.1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0.04</v>
      </c>
      <c r="F150" s="719"/>
      <c r="G150" s="24">
        <f t="shared" si="25"/>
        <v>0.02</v>
      </c>
      <c r="H150" s="719"/>
      <c r="I150" s="24">
        <f t="shared" si="26"/>
        <v>0.02</v>
      </c>
      <c r="J150" s="719"/>
      <c r="K150" s="24">
        <f t="shared" si="27"/>
        <v>0.1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0.04</v>
      </c>
      <c r="F151" s="719"/>
      <c r="G151" s="24">
        <f t="shared" si="25"/>
        <v>0.02</v>
      </c>
      <c r="H151" s="719"/>
      <c r="I151" s="24">
        <f t="shared" si="26"/>
        <v>0.02</v>
      </c>
      <c r="J151" s="719"/>
      <c r="K151" s="24">
        <f t="shared" si="27"/>
        <v>0.1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0.04</v>
      </c>
      <c r="F152" s="719"/>
      <c r="G152" s="24">
        <f t="shared" si="25"/>
        <v>0.02</v>
      </c>
      <c r="H152" s="719"/>
      <c r="I152" s="24">
        <f t="shared" si="26"/>
        <v>0.02</v>
      </c>
      <c r="J152" s="719"/>
      <c r="K152" s="24">
        <f t="shared" si="27"/>
        <v>0.1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0.04</v>
      </c>
      <c r="F153" s="719"/>
      <c r="G153" s="24">
        <f t="shared" si="25"/>
        <v>0.02</v>
      </c>
      <c r="H153" s="719"/>
      <c r="I153" s="24">
        <f t="shared" si="26"/>
        <v>0.02</v>
      </c>
      <c r="J153" s="719"/>
      <c r="K153" s="24">
        <f t="shared" si="27"/>
        <v>0.1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0.04</v>
      </c>
      <c r="F154" s="719"/>
      <c r="G154" s="24">
        <f t="shared" ref="G154:G217" si="35">(SUMIF($7:$7,F154,$8:$8)-SUMIF($7:$7,$F$24,$8:$8)+100)/100</f>
        <v>0.02</v>
      </c>
      <c r="H154" s="719"/>
      <c r="I154" s="24">
        <f t="shared" ref="I154:I217" si="36">(SUMIF($9:$9,H154,$10:$10)-SUMIF($9:$9,$H$24,$10:$10)+100)/100</f>
        <v>0.02</v>
      </c>
      <c r="J154" s="719"/>
      <c r="K154" s="24">
        <f t="shared" ref="K154:K217" si="37">(SUMIF($11:$11,J154,$12:$12)-SUMIF($11:$11,$J$24,$12:$12)+100)/100</f>
        <v>0.1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0.04</v>
      </c>
      <c r="F155" s="719"/>
      <c r="G155" s="24">
        <f t="shared" si="35"/>
        <v>0.02</v>
      </c>
      <c r="H155" s="719"/>
      <c r="I155" s="24">
        <f t="shared" si="36"/>
        <v>0.02</v>
      </c>
      <c r="J155" s="719"/>
      <c r="K155" s="24">
        <f t="shared" si="37"/>
        <v>0.1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0.04</v>
      </c>
      <c r="F156" s="719"/>
      <c r="G156" s="24">
        <f t="shared" si="35"/>
        <v>0.02</v>
      </c>
      <c r="H156" s="719"/>
      <c r="I156" s="24">
        <f t="shared" si="36"/>
        <v>0.02</v>
      </c>
      <c r="J156" s="719"/>
      <c r="K156" s="24">
        <f t="shared" si="37"/>
        <v>0.1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0.04</v>
      </c>
      <c r="F157" s="719"/>
      <c r="G157" s="24">
        <f t="shared" si="35"/>
        <v>0.02</v>
      </c>
      <c r="H157" s="719"/>
      <c r="I157" s="24">
        <f t="shared" si="36"/>
        <v>0.02</v>
      </c>
      <c r="J157" s="719"/>
      <c r="K157" s="24">
        <f t="shared" si="37"/>
        <v>0.1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0.04</v>
      </c>
      <c r="F158" s="719"/>
      <c r="G158" s="24">
        <f t="shared" si="35"/>
        <v>0.02</v>
      </c>
      <c r="H158" s="719"/>
      <c r="I158" s="24">
        <f t="shared" si="36"/>
        <v>0.02</v>
      </c>
      <c r="J158" s="719"/>
      <c r="K158" s="24">
        <f t="shared" si="37"/>
        <v>0.1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0.04</v>
      </c>
      <c r="F159" s="719"/>
      <c r="G159" s="24">
        <f t="shared" si="35"/>
        <v>0.02</v>
      </c>
      <c r="H159" s="719"/>
      <c r="I159" s="24">
        <f t="shared" si="36"/>
        <v>0.02</v>
      </c>
      <c r="J159" s="719"/>
      <c r="K159" s="24">
        <f t="shared" si="37"/>
        <v>0.1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0.04</v>
      </c>
      <c r="F160" s="719"/>
      <c r="G160" s="24">
        <f t="shared" si="35"/>
        <v>0.02</v>
      </c>
      <c r="H160" s="719"/>
      <c r="I160" s="24">
        <f t="shared" si="36"/>
        <v>0.02</v>
      </c>
      <c r="J160" s="719"/>
      <c r="K160" s="24">
        <f t="shared" si="37"/>
        <v>0.1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0.04</v>
      </c>
      <c r="F161" s="719"/>
      <c r="G161" s="24">
        <f t="shared" si="35"/>
        <v>0.02</v>
      </c>
      <c r="H161" s="719"/>
      <c r="I161" s="24">
        <f t="shared" si="36"/>
        <v>0.02</v>
      </c>
      <c r="J161" s="719"/>
      <c r="K161" s="24">
        <f t="shared" si="37"/>
        <v>0.1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0.04</v>
      </c>
      <c r="F162" s="719"/>
      <c r="G162" s="24">
        <f t="shared" si="35"/>
        <v>0.02</v>
      </c>
      <c r="H162" s="719"/>
      <c r="I162" s="24">
        <f t="shared" si="36"/>
        <v>0.02</v>
      </c>
      <c r="J162" s="719"/>
      <c r="K162" s="24">
        <f t="shared" si="37"/>
        <v>0.1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0.04</v>
      </c>
      <c r="F163" s="719"/>
      <c r="G163" s="24">
        <f t="shared" si="35"/>
        <v>0.02</v>
      </c>
      <c r="H163" s="719"/>
      <c r="I163" s="24">
        <f t="shared" si="36"/>
        <v>0.02</v>
      </c>
      <c r="J163" s="719"/>
      <c r="K163" s="24">
        <f t="shared" si="37"/>
        <v>0.1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0.04</v>
      </c>
      <c r="F164" s="719"/>
      <c r="G164" s="24">
        <f t="shared" si="35"/>
        <v>0.02</v>
      </c>
      <c r="H164" s="719"/>
      <c r="I164" s="24">
        <f t="shared" si="36"/>
        <v>0.02</v>
      </c>
      <c r="J164" s="719"/>
      <c r="K164" s="24">
        <f t="shared" si="37"/>
        <v>0.1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0.04</v>
      </c>
      <c r="F165" s="719"/>
      <c r="G165" s="24">
        <f t="shared" si="35"/>
        <v>0.02</v>
      </c>
      <c r="H165" s="719"/>
      <c r="I165" s="24">
        <f t="shared" si="36"/>
        <v>0.02</v>
      </c>
      <c r="J165" s="719"/>
      <c r="K165" s="24">
        <f t="shared" si="37"/>
        <v>0.1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0.04</v>
      </c>
      <c r="F166" s="719"/>
      <c r="G166" s="24">
        <f t="shared" si="35"/>
        <v>0.02</v>
      </c>
      <c r="H166" s="719"/>
      <c r="I166" s="24">
        <f t="shared" si="36"/>
        <v>0.02</v>
      </c>
      <c r="J166" s="719"/>
      <c r="K166" s="24">
        <f t="shared" si="37"/>
        <v>0.1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0.04</v>
      </c>
      <c r="F167" s="719"/>
      <c r="G167" s="24">
        <f t="shared" si="35"/>
        <v>0.02</v>
      </c>
      <c r="H167" s="719"/>
      <c r="I167" s="24">
        <f t="shared" si="36"/>
        <v>0.02</v>
      </c>
      <c r="J167" s="719"/>
      <c r="K167" s="24">
        <f t="shared" si="37"/>
        <v>0.1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0.04</v>
      </c>
      <c r="F168" s="719"/>
      <c r="G168" s="24">
        <f t="shared" si="35"/>
        <v>0.02</v>
      </c>
      <c r="H168" s="719"/>
      <c r="I168" s="24">
        <f t="shared" si="36"/>
        <v>0.02</v>
      </c>
      <c r="J168" s="719"/>
      <c r="K168" s="24">
        <f t="shared" si="37"/>
        <v>0.1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0.04</v>
      </c>
      <c r="F169" s="719"/>
      <c r="G169" s="24">
        <f t="shared" si="35"/>
        <v>0.02</v>
      </c>
      <c r="H169" s="719"/>
      <c r="I169" s="24">
        <f t="shared" si="36"/>
        <v>0.02</v>
      </c>
      <c r="J169" s="719"/>
      <c r="K169" s="24">
        <f t="shared" si="37"/>
        <v>0.1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0.04</v>
      </c>
      <c r="F170" s="719"/>
      <c r="G170" s="24">
        <f t="shared" si="35"/>
        <v>0.02</v>
      </c>
      <c r="H170" s="719"/>
      <c r="I170" s="24">
        <f t="shared" si="36"/>
        <v>0.02</v>
      </c>
      <c r="J170" s="719"/>
      <c r="K170" s="24">
        <f t="shared" si="37"/>
        <v>0.1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0.04</v>
      </c>
      <c r="F171" s="719"/>
      <c r="G171" s="24">
        <f t="shared" si="35"/>
        <v>0.02</v>
      </c>
      <c r="H171" s="719"/>
      <c r="I171" s="24">
        <f t="shared" si="36"/>
        <v>0.02</v>
      </c>
      <c r="J171" s="719"/>
      <c r="K171" s="24">
        <f t="shared" si="37"/>
        <v>0.1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0.04</v>
      </c>
      <c r="F172" s="719"/>
      <c r="G172" s="24">
        <f t="shared" si="35"/>
        <v>0.02</v>
      </c>
      <c r="H172" s="719"/>
      <c r="I172" s="24">
        <f t="shared" si="36"/>
        <v>0.02</v>
      </c>
      <c r="J172" s="719"/>
      <c r="K172" s="24">
        <f t="shared" si="37"/>
        <v>0.1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0.04</v>
      </c>
      <c r="F173" s="719"/>
      <c r="G173" s="24">
        <f t="shared" si="35"/>
        <v>0.02</v>
      </c>
      <c r="H173" s="719"/>
      <c r="I173" s="24">
        <f t="shared" si="36"/>
        <v>0.02</v>
      </c>
      <c r="J173" s="719"/>
      <c r="K173" s="24">
        <f t="shared" si="37"/>
        <v>0.1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0.04</v>
      </c>
      <c r="F174" s="719"/>
      <c r="G174" s="24">
        <f t="shared" si="35"/>
        <v>0.02</v>
      </c>
      <c r="H174" s="719"/>
      <c r="I174" s="24">
        <f t="shared" si="36"/>
        <v>0.02</v>
      </c>
      <c r="J174" s="719"/>
      <c r="K174" s="24">
        <f t="shared" si="37"/>
        <v>0.1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0.04</v>
      </c>
      <c r="F175" s="719"/>
      <c r="G175" s="24">
        <f t="shared" si="35"/>
        <v>0.02</v>
      </c>
      <c r="H175" s="719"/>
      <c r="I175" s="24">
        <f t="shared" si="36"/>
        <v>0.02</v>
      </c>
      <c r="J175" s="719"/>
      <c r="K175" s="24">
        <f t="shared" si="37"/>
        <v>0.1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0.04</v>
      </c>
      <c r="F176" s="719"/>
      <c r="G176" s="24">
        <f t="shared" si="35"/>
        <v>0.02</v>
      </c>
      <c r="H176" s="719"/>
      <c r="I176" s="24">
        <f t="shared" si="36"/>
        <v>0.02</v>
      </c>
      <c r="J176" s="719"/>
      <c r="K176" s="24">
        <f t="shared" si="37"/>
        <v>0.1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0.04</v>
      </c>
      <c r="F177" s="719"/>
      <c r="G177" s="24">
        <f t="shared" si="35"/>
        <v>0.02</v>
      </c>
      <c r="H177" s="719"/>
      <c r="I177" s="24">
        <f t="shared" si="36"/>
        <v>0.02</v>
      </c>
      <c r="J177" s="719"/>
      <c r="K177" s="24">
        <f t="shared" si="37"/>
        <v>0.1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0.04</v>
      </c>
      <c r="F178" s="719"/>
      <c r="G178" s="24">
        <f t="shared" si="35"/>
        <v>0.02</v>
      </c>
      <c r="H178" s="719"/>
      <c r="I178" s="24">
        <f t="shared" si="36"/>
        <v>0.02</v>
      </c>
      <c r="J178" s="719"/>
      <c r="K178" s="24">
        <f t="shared" si="37"/>
        <v>0.1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0.04</v>
      </c>
      <c r="F179" s="719"/>
      <c r="G179" s="24">
        <f t="shared" si="35"/>
        <v>0.02</v>
      </c>
      <c r="H179" s="719"/>
      <c r="I179" s="24">
        <f t="shared" si="36"/>
        <v>0.02</v>
      </c>
      <c r="J179" s="719"/>
      <c r="K179" s="24">
        <f t="shared" si="37"/>
        <v>0.1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0.04</v>
      </c>
      <c r="F180" s="719"/>
      <c r="G180" s="24">
        <f t="shared" si="35"/>
        <v>0.02</v>
      </c>
      <c r="H180" s="719"/>
      <c r="I180" s="24">
        <f t="shared" si="36"/>
        <v>0.02</v>
      </c>
      <c r="J180" s="719"/>
      <c r="K180" s="24">
        <f t="shared" si="37"/>
        <v>0.1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0.04</v>
      </c>
      <c r="F181" s="719"/>
      <c r="G181" s="24">
        <f t="shared" si="35"/>
        <v>0.02</v>
      </c>
      <c r="H181" s="719"/>
      <c r="I181" s="24">
        <f t="shared" si="36"/>
        <v>0.02</v>
      </c>
      <c r="J181" s="719"/>
      <c r="K181" s="24">
        <f t="shared" si="37"/>
        <v>0.1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0.04</v>
      </c>
      <c r="F182" s="719"/>
      <c r="G182" s="24">
        <f t="shared" si="35"/>
        <v>0.02</v>
      </c>
      <c r="H182" s="719"/>
      <c r="I182" s="24">
        <f t="shared" si="36"/>
        <v>0.02</v>
      </c>
      <c r="J182" s="719"/>
      <c r="K182" s="24">
        <f t="shared" si="37"/>
        <v>0.1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0.04</v>
      </c>
      <c r="F183" s="719"/>
      <c r="G183" s="24">
        <f t="shared" si="35"/>
        <v>0.02</v>
      </c>
      <c r="H183" s="719"/>
      <c r="I183" s="24">
        <f t="shared" si="36"/>
        <v>0.02</v>
      </c>
      <c r="J183" s="719"/>
      <c r="K183" s="24">
        <f t="shared" si="37"/>
        <v>0.1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0.04</v>
      </c>
      <c r="F184" s="719"/>
      <c r="G184" s="24">
        <f t="shared" si="35"/>
        <v>0.02</v>
      </c>
      <c r="H184" s="719"/>
      <c r="I184" s="24">
        <f t="shared" si="36"/>
        <v>0.02</v>
      </c>
      <c r="J184" s="719"/>
      <c r="K184" s="24">
        <f t="shared" si="37"/>
        <v>0.1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0.04</v>
      </c>
      <c r="F185" s="719"/>
      <c r="G185" s="24">
        <f t="shared" si="35"/>
        <v>0.02</v>
      </c>
      <c r="H185" s="719"/>
      <c r="I185" s="24">
        <f t="shared" si="36"/>
        <v>0.02</v>
      </c>
      <c r="J185" s="719"/>
      <c r="K185" s="24">
        <f t="shared" si="37"/>
        <v>0.1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0.04</v>
      </c>
      <c r="F186" s="719"/>
      <c r="G186" s="24">
        <f t="shared" si="35"/>
        <v>0.02</v>
      </c>
      <c r="H186" s="719"/>
      <c r="I186" s="24">
        <f t="shared" si="36"/>
        <v>0.02</v>
      </c>
      <c r="J186" s="719"/>
      <c r="K186" s="24">
        <f t="shared" si="37"/>
        <v>0.1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0.04</v>
      </c>
      <c r="F187" s="719"/>
      <c r="G187" s="24">
        <f t="shared" si="35"/>
        <v>0.02</v>
      </c>
      <c r="H187" s="719"/>
      <c r="I187" s="24">
        <f t="shared" si="36"/>
        <v>0.02</v>
      </c>
      <c r="J187" s="719"/>
      <c r="K187" s="24">
        <f t="shared" si="37"/>
        <v>0.1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0.04</v>
      </c>
      <c r="F188" s="719"/>
      <c r="G188" s="24">
        <f t="shared" si="35"/>
        <v>0.02</v>
      </c>
      <c r="H188" s="719"/>
      <c r="I188" s="24">
        <f t="shared" si="36"/>
        <v>0.02</v>
      </c>
      <c r="J188" s="719"/>
      <c r="K188" s="24">
        <f t="shared" si="37"/>
        <v>0.1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0.04</v>
      </c>
      <c r="F189" s="719"/>
      <c r="G189" s="24">
        <f t="shared" si="35"/>
        <v>0.02</v>
      </c>
      <c r="H189" s="719"/>
      <c r="I189" s="24">
        <f t="shared" si="36"/>
        <v>0.02</v>
      </c>
      <c r="J189" s="719"/>
      <c r="K189" s="24">
        <f t="shared" si="37"/>
        <v>0.1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0.04</v>
      </c>
      <c r="F190" s="719"/>
      <c r="G190" s="24">
        <f t="shared" si="35"/>
        <v>0.02</v>
      </c>
      <c r="H190" s="719"/>
      <c r="I190" s="24">
        <f t="shared" si="36"/>
        <v>0.02</v>
      </c>
      <c r="J190" s="719"/>
      <c r="K190" s="24">
        <f t="shared" si="37"/>
        <v>0.1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0.04</v>
      </c>
      <c r="F191" s="719"/>
      <c r="G191" s="24">
        <f t="shared" si="35"/>
        <v>0.02</v>
      </c>
      <c r="H191" s="719"/>
      <c r="I191" s="24">
        <f t="shared" si="36"/>
        <v>0.02</v>
      </c>
      <c r="J191" s="719"/>
      <c r="K191" s="24">
        <f t="shared" si="37"/>
        <v>0.1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0.04</v>
      </c>
      <c r="F192" s="719"/>
      <c r="G192" s="24">
        <f t="shared" si="35"/>
        <v>0.02</v>
      </c>
      <c r="H192" s="719"/>
      <c r="I192" s="24">
        <f t="shared" si="36"/>
        <v>0.02</v>
      </c>
      <c r="J192" s="719"/>
      <c r="K192" s="24">
        <f t="shared" si="37"/>
        <v>0.1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0.04</v>
      </c>
      <c r="F193" s="719"/>
      <c r="G193" s="24">
        <f t="shared" si="35"/>
        <v>0.02</v>
      </c>
      <c r="H193" s="719"/>
      <c r="I193" s="24">
        <f t="shared" si="36"/>
        <v>0.02</v>
      </c>
      <c r="J193" s="719"/>
      <c r="K193" s="24">
        <f t="shared" si="37"/>
        <v>0.1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0.04</v>
      </c>
      <c r="F194" s="719"/>
      <c r="G194" s="24">
        <f t="shared" si="35"/>
        <v>0.02</v>
      </c>
      <c r="H194" s="719"/>
      <c r="I194" s="24">
        <f t="shared" si="36"/>
        <v>0.02</v>
      </c>
      <c r="J194" s="719"/>
      <c r="K194" s="24">
        <f t="shared" si="37"/>
        <v>0.1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0.04</v>
      </c>
      <c r="F195" s="719"/>
      <c r="G195" s="24">
        <f t="shared" si="35"/>
        <v>0.02</v>
      </c>
      <c r="H195" s="719"/>
      <c r="I195" s="24">
        <f t="shared" si="36"/>
        <v>0.02</v>
      </c>
      <c r="J195" s="719"/>
      <c r="K195" s="24">
        <f t="shared" si="37"/>
        <v>0.1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0.04</v>
      </c>
      <c r="F196" s="719"/>
      <c r="G196" s="24">
        <f t="shared" si="35"/>
        <v>0.02</v>
      </c>
      <c r="H196" s="719"/>
      <c r="I196" s="24">
        <f t="shared" si="36"/>
        <v>0.02</v>
      </c>
      <c r="J196" s="719"/>
      <c r="K196" s="24">
        <f t="shared" si="37"/>
        <v>0.1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0.04</v>
      </c>
      <c r="F197" s="719"/>
      <c r="G197" s="24">
        <f t="shared" si="35"/>
        <v>0.02</v>
      </c>
      <c r="H197" s="719"/>
      <c r="I197" s="24">
        <f t="shared" si="36"/>
        <v>0.02</v>
      </c>
      <c r="J197" s="719"/>
      <c r="K197" s="24">
        <f t="shared" si="37"/>
        <v>0.1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0.04</v>
      </c>
      <c r="F198" s="719"/>
      <c r="G198" s="24">
        <f t="shared" si="35"/>
        <v>0.02</v>
      </c>
      <c r="H198" s="719"/>
      <c r="I198" s="24">
        <f t="shared" si="36"/>
        <v>0.02</v>
      </c>
      <c r="J198" s="719"/>
      <c r="K198" s="24">
        <f t="shared" si="37"/>
        <v>0.1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0.04</v>
      </c>
      <c r="F199" s="719"/>
      <c r="G199" s="24">
        <f t="shared" si="35"/>
        <v>0.02</v>
      </c>
      <c r="H199" s="719"/>
      <c r="I199" s="24">
        <f t="shared" si="36"/>
        <v>0.02</v>
      </c>
      <c r="J199" s="719"/>
      <c r="K199" s="24">
        <f t="shared" si="37"/>
        <v>0.1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0.04</v>
      </c>
      <c r="F200" s="719"/>
      <c r="G200" s="24">
        <f t="shared" si="35"/>
        <v>0.02</v>
      </c>
      <c r="H200" s="719"/>
      <c r="I200" s="24">
        <f t="shared" si="36"/>
        <v>0.02</v>
      </c>
      <c r="J200" s="719"/>
      <c r="K200" s="24">
        <f t="shared" si="37"/>
        <v>0.1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0.04</v>
      </c>
      <c r="F201" s="719"/>
      <c r="G201" s="24">
        <f t="shared" si="35"/>
        <v>0.02</v>
      </c>
      <c r="H201" s="719"/>
      <c r="I201" s="24">
        <f t="shared" si="36"/>
        <v>0.02</v>
      </c>
      <c r="J201" s="719"/>
      <c r="K201" s="24">
        <f t="shared" si="37"/>
        <v>0.1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0.04</v>
      </c>
      <c r="F202" s="719"/>
      <c r="G202" s="24">
        <f t="shared" si="35"/>
        <v>0.02</v>
      </c>
      <c r="H202" s="719"/>
      <c r="I202" s="24">
        <f t="shared" si="36"/>
        <v>0.02</v>
      </c>
      <c r="J202" s="719"/>
      <c r="K202" s="24">
        <f t="shared" si="37"/>
        <v>0.1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0.04</v>
      </c>
      <c r="F203" s="719"/>
      <c r="G203" s="24">
        <f t="shared" si="35"/>
        <v>0.02</v>
      </c>
      <c r="H203" s="719"/>
      <c r="I203" s="24">
        <f t="shared" si="36"/>
        <v>0.02</v>
      </c>
      <c r="J203" s="719"/>
      <c r="K203" s="24">
        <f t="shared" si="37"/>
        <v>0.1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0.04</v>
      </c>
      <c r="F204" s="719"/>
      <c r="G204" s="24">
        <f t="shared" si="35"/>
        <v>0.02</v>
      </c>
      <c r="H204" s="719"/>
      <c r="I204" s="24">
        <f t="shared" si="36"/>
        <v>0.02</v>
      </c>
      <c r="J204" s="719"/>
      <c r="K204" s="24">
        <f t="shared" si="37"/>
        <v>0.1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0.04</v>
      </c>
      <c r="F205" s="719"/>
      <c r="G205" s="24">
        <f t="shared" si="35"/>
        <v>0.02</v>
      </c>
      <c r="H205" s="719"/>
      <c r="I205" s="24">
        <f t="shared" si="36"/>
        <v>0.02</v>
      </c>
      <c r="J205" s="719"/>
      <c r="K205" s="24">
        <f t="shared" si="37"/>
        <v>0.1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0.04</v>
      </c>
      <c r="F206" s="719"/>
      <c r="G206" s="24">
        <f t="shared" si="35"/>
        <v>0.02</v>
      </c>
      <c r="H206" s="719"/>
      <c r="I206" s="24">
        <f t="shared" si="36"/>
        <v>0.02</v>
      </c>
      <c r="J206" s="719"/>
      <c r="K206" s="24">
        <f t="shared" si="37"/>
        <v>0.1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0.04</v>
      </c>
      <c r="F207" s="719"/>
      <c r="G207" s="24">
        <f t="shared" si="35"/>
        <v>0.02</v>
      </c>
      <c r="H207" s="719"/>
      <c r="I207" s="24">
        <f t="shared" si="36"/>
        <v>0.02</v>
      </c>
      <c r="J207" s="719"/>
      <c r="K207" s="24">
        <f t="shared" si="37"/>
        <v>0.1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0.04</v>
      </c>
      <c r="F208" s="719"/>
      <c r="G208" s="24">
        <f t="shared" si="35"/>
        <v>0.02</v>
      </c>
      <c r="H208" s="719"/>
      <c r="I208" s="24">
        <f t="shared" si="36"/>
        <v>0.02</v>
      </c>
      <c r="J208" s="719"/>
      <c r="K208" s="24">
        <f t="shared" si="37"/>
        <v>0.1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0.04</v>
      </c>
      <c r="F209" s="719"/>
      <c r="G209" s="24">
        <f t="shared" si="35"/>
        <v>0.02</v>
      </c>
      <c r="H209" s="719"/>
      <c r="I209" s="24">
        <f t="shared" si="36"/>
        <v>0.02</v>
      </c>
      <c r="J209" s="719"/>
      <c r="K209" s="24">
        <f t="shared" si="37"/>
        <v>0.1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0.04</v>
      </c>
      <c r="F210" s="719"/>
      <c r="G210" s="24">
        <f t="shared" si="35"/>
        <v>0.02</v>
      </c>
      <c r="H210" s="719"/>
      <c r="I210" s="24">
        <f t="shared" si="36"/>
        <v>0.02</v>
      </c>
      <c r="J210" s="719"/>
      <c r="K210" s="24">
        <f t="shared" si="37"/>
        <v>0.1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0.04</v>
      </c>
      <c r="F211" s="719"/>
      <c r="G211" s="24">
        <f t="shared" si="35"/>
        <v>0.02</v>
      </c>
      <c r="H211" s="719"/>
      <c r="I211" s="24">
        <f t="shared" si="36"/>
        <v>0.02</v>
      </c>
      <c r="J211" s="719"/>
      <c r="K211" s="24">
        <f t="shared" si="37"/>
        <v>0.1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0.04</v>
      </c>
      <c r="F212" s="719"/>
      <c r="G212" s="24">
        <f t="shared" si="35"/>
        <v>0.02</v>
      </c>
      <c r="H212" s="719"/>
      <c r="I212" s="24">
        <f t="shared" si="36"/>
        <v>0.02</v>
      </c>
      <c r="J212" s="719"/>
      <c r="K212" s="24">
        <f t="shared" si="37"/>
        <v>0.1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0.04</v>
      </c>
      <c r="F213" s="719"/>
      <c r="G213" s="24">
        <f t="shared" si="35"/>
        <v>0.02</v>
      </c>
      <c r="H213" s="719"/>
      <c r="I213" s="24">
        <f t="shared" si="36"/>
        <v>0.02</v>
      </c>
      <c r="J213" s="719"/>
      <c r="K213" s="24">
        <f t="shared" si="37"/>
        <v>0.1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0.04</v>
      </c>
      <c r="F214" s="719"/>
      <c r="G214" s="24">
        <f t="shared" si="35"/>
        <v>0.02</v>
      </c>
      <c r="H214" s="719"/>
      <c r="I214" s="24">
        <f t="shared" si="36"/>
        <v>0.02</v>
      </c>
      <c r="J214" s="719"/>
      <c r="K214" s="24">
        <f t="shared" si="37"/>
        <v>0.1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0.04</v>
      </c>
      <c r="F215" s="719"/>
      <c r="G215" s="24">
        <f t="shared" si="35"/>
        <v>0.02</v>
      </c>
      <c r="H215" s="719"/>
      <c r="I215" s="24">
        <f t="shared" si="36"/>
        <v>0.02</v>
      </c>
      <c r="J215" s="719"/>
      <c r="K215" s="24">
        <f t="shared" si="37"/>
        <v>0.1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0.04</v>
      </c>
      <c r="F216" s="719"/>
      <c r="G216" s="24">
        <f t="shared" si="35"/>
        <v>0.02</v>
      </c>
      <c r="H216" s="719"/>
      <c r="I216" s="24">
        <f t="shared" si="36"/>
        <v>0.02</v>
      </c>
      <c r="J216" s="719"/>
      <c r="K216" s="24">
        <f t="shared" si="37"/>
        <v>0.1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0.04</v>
      </c>
      <c r="F217" s="719"/>
      <c r="G217" s="24">
        <f t="shared" si="35"/>
        <v>0.02</v>
      </c>
      <c r="H217" s="719"/>
      <c r="I217" s="24">
        <f t="shared" si="36"/>
        <v>0.02</v>
      </c>
      <c r="J217" s="719"/>
      <c r="K217" s="24">
        <f t="shared" si="37"/>
        <v>0.1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0.04</v>
      </c>
      <c r="F218" s="719"/>
      <c r="G218" s="24">
        <f t="shared" ref="G218:G281" si="45">(SUMIF($7:$7,F218,$8:$8)-SUMIF($7:$7,$F$24,$8:$8)+100)/100</f>
        <v>0.02</v>
      </c>
      <c r="H218" s="719"/>
      <c r="I218" s="24">
        <f t="shared" ref="I218:I281" si="46">(SUMIF($9:$9,H218,$10:$10)-SUMIF($9:$9,$H$24,$10:$10)+100)/100</f>
        <v>0.02</v>
      </c>
      <c r="J218" s="719"/>
      <c r="K218" s="24">
        <f t="shared" ref="K218:K281" si="47">(SUMIF($11:$11,J218,$12:$12)-SUMIF($11:$11,$J$24,$12:$12)+100)/100</f>
        <v>0.1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0.04</v>
      </c>
      <c r="F219" s="719"/>
      <c r="G219" s="24">
        <f t="shared" si="45"/>
        <v>0.02</v>
      </c>
      <c r="H219" s="719"/>
      <c r="I219" s="24">
        <f t="shared" si="46"/>
        <v>0.02</v>
      </c>
      <c r="J219" s="719"/>
      <c r="K219" s="24">
        <f t="shared" si="47"/>
        <v>0.1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0.04</v>
      </c>
      <c r="F220" s="719"/>
      <c r="G220" s="24">
        <f t="shared" si="45"/>
        <v>0.02</v>
      </c>
      <c r="H220" s="719"/>
      <c r="I220" s="24">
        <f t="shared" si="46"/>
        <v>0.02</v>
      </c>
      <c r="J220" s="719"/>
      <c r="K220" s="24">
        <f t="shared" si="47"/>
        <v>0.1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0.04</v>
      </c>
      <c r="F221" s="719"/>
      <c r="G221" s="24">
        <f t="shared" si="45"/>
        <v>0.02</v>
      </c>
      <c r="H221" s="719"/>
      <c r="I221" s="24">
        <f t="shared" si="46"/>
        <v>0.02</v>
      </c>
      <c r="J221" s="719"/>
      <c r="K221" s="24">
        <f t="shared" si="47"/>
        <v>0.1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0.04</v>
      </c>
      <c r="F222" s="719"/>
      <c r="G222" s="24">
        <f t="shared" si="45"/>
        <v>0.02</v>
      </c>
      <c r="H222" s="719"/>
      <c r="I222" s="24">
        <f t="shared" si="46"/>
        <v>0.02</v>
      </c>
      <c r="J222" s="719"/>
      <c r="K222" s="24">
        <f t="shared" si="47"/>
        <v>0.1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0.04</v>
      </c>
      <c r="F223" s="719"/>
      <c r="G223" s="24">
        <f t="shared" si="45"/>
        <v>0.02</v>
      </c>
      <c r="H223" s="719"/>
      <c r="I223" s="24">
        <f t="shared" si="46"/>
        <v>0.02</v>
      </c>
      <c r="J223" s="719"/>
      <c r="K223" s="24">
        <f t="shared" si="47"/>
        <v>0.1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0.04</v>
      </c>
      <c r="F224" s="719"/>
      <c r="G224" s="24">
        <f t="shared" si="45"/>
        <v>0.02</v>
      </c>
      <c r="H224" s="719"/>
      <c r="I224" s="24">
        <f t="shared" si="46"/>
        <v>0.02</v>
      </c>
      <c r="J224" s="719"/>
      <c r="K224" s="24">
        <f t="shared" si="47"/>
        <v>0.1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0.04</v>
      </c>
      <c r="F225" s="719"/>
      <c r="G225" s="24">
        <f t="shared" si="45"/>
        <v>0.02</v>
      </c>
      <c r="H225" s="719"/>
      <c r="I225" s="24">
        <f t="shared" si="46"/>
        <v>0.02</v>
      </c>
      <c r="J225" s="719"/>
      <c r="K225" s="24">
        <f t="shared" si="47"/>
        <v>0.1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0.04</v>
      </c>
      <c r="F226" s="719"/>
      <c r="G226" s="24">
        <f t="shared" si="45"/>
        <v>0.02</v>
      </c>
      <c r="H226" s="719"/>
      <c r="I226" s="24">
        <f t="shared" si="46"/>
        <v>0.02</v>
      </c>
      <c r="J226" s="719"/>
      <c r="K226" s="24">
        <f t="shared" si="47"/>
        <v>0.1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0.04</v>
      </c>
      <c r="F227" s="719"/>
      <c r="G227" s="24">
        <f t="shared" si="45"/>
        <v>0.02</v>
      </c>
      <c r="H227" s="719"/>
      <c r="I227" s="24">
        <f t="shared" si="46"/>
        <v>0.02</v>
      </c>
      <c r="J227" s="719"/>
      <c r="K227" s="24">
        <f t="shared" si="47"/>
        <v>0.1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0.04</v>
      </c>
      <c r="F228" s="719"/>
      <c r="G228" s="24">
        <f t="shared" si="45"/>
        <v>0.02</v>
      </c>
      <c r="H228" s="719"/>
      <c r="I228" s="24">
        <f t="shared" si="46"/>
        <v>0.02</v>
      </c>
      <c r="J228" s="719"/>
      <c r="K228" s="24">
        <f t="shared" si="47"/>
        <v>0.1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0.04</v>
      </c>
      <c r="F229" s="719"/>
      <c r="G229" s="24">
        <f t="shared" si="45"/>
        <v>0.02</v>
      </c>
      <c r="H229" s="719"/>
      <c r="I229" s="24">
        <f t="shared" si="46"/>
        <v>0.02</v>
      </c>
      <c r="J229" s="719"/>
      <c r="K229" s="24">
        <f t="shared" si="47"/>
        <v>0.1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0.04</v>
      </c>
      <c r="F230" s="719"/>
      <c r="G230" s="24">
        <f t="shared" si="45"/>
        <v>0.02</v>
      </c>
      <c r="H230" s="719"/>
      <c r="I230" s="24">
        <f t="shared" si="46"/>
        <v>0.02</v>
      </c>
      <c r="J230" s="719"/>
      <c r="K230" s="24">
        <f t="shared" si="47"/>
        <v>0.1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0.04</v>
      </c>
      <c r="F231" s="719"/>
      <c r="G231" s="24">
        <f t="shared" si="45"/>
        <v>0.02</v>
      </c>
      <c r="H231" s="719"/>
      <c r="I231" s="24">
        <f t="shared" si="46"/>
        <v>0.02</v>
      </c>
      <c r="J231" s="719"/>
      <c r="K231" s="24">
        <f t="shared" si="47"/>
        <v>0.1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0.04</v>
      </c>
      <c r="F232" s="719"/>
      <c r="G232" s="24">
        <f t="shared" si="45"/>
        <v>0.02</v>
      </c>
      <c r="H232" s="719"/>
      <c r="I232" s="24">
        <f t="shared" si="46"/>
        <v>0.02</v>
      </c>
      <c r="J232" s="719"/>
      <c r="K232" s="24">
        <f t="shared" si="47"/>
        <v>0.1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0.04</v>
      </c>
      <c r="F233" s="719"/>
      <c r="G233" s="24">
        <f t="shared" si="45"/>
        <v>0.02</v>
      </c>
      <c r="H233" s="719"/>
      <c r="I233" s="24">
        <f t="shared" si="46"/>
        <v>0.02</v>
      </c>
      <c r="J233" s="719"/>
      <c r="K233" s="24">
        <f t="shared" si="47"/>
        <v>0.1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0.04</v>
      </c>
      <c r="F234" s="719"/>
      <c r="G234" s="24">
        <f t="shared" si="45"/>
        <v>0.02</v>
      </c>
      <c r="H234" s="719"/>
      <c r="I234" s="24">
        <f t="shared" si="46"/>
        <v>0.02</v>
      </c>
      <c r="J234" s="719"/>
      <c r="K234" s="24">
        <f t="shared" si="47"/>
        <v>0.1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0.04</v>
      </c>
      <c r="F235" s="719"/>
      <c r="G235" s="24">
        <f t="shared" si="45"/>
        <v>0.02</v>
      </c>
      <c r="H235" s="719"/>
      <c r="I235" s="24">
        <f t="shared" si="46"/>
        <v>0.02</v>
      </c>
      <c r="J235" s="719"/>
      <c r="K235" s="24">
        <f t="shared" si="47"/>
        <v>0.1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0.04</v>
      </c>
      <c r="F236" s="719"/>
      <c r="G236" s="24">
        <f t="shared" si="45"/>
        <v>0.02</v>
      </c>
      <c r="H236" s="719"/>
      <c r="I236" s="24">
        <f t="shared" si="46"/>
        <v>0.02</v>
      </c>
      <c r="J236" s="719"/>
      <c r="K236" s="24">
        <f t="shared" si="47"/>
        <v>0.1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0.04</v>
      </c>
      <c r="F237" s="719"/>
      <c r="G237" s="24">
        <f t="shared" si="45"/>
        <v>0.02</v>
      </c>
      <c r="H237" s="719"/>
      <c r="I237" s="24">
        <f t="shared" si="46"/>
        <v>0.02</v>
      </c>
      <c r="J237" s="719"/>
      <c r="K237" s="24">
        <f t="shared" si="47"/>
        <v>0.1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0.04</v>
      </c>
      <c r="F238" s="719"/>
      <c r="G238" s="24">
        <f t="shared" si="45"/>
        <v>0.02</v>
      </c>
      <c r="H238" s="719"/>
      <c r="I238" s="24">
        <f t="shared" si="46"/>
        <v>0.02</v>
      </c>
      <c r="J238" s="719"/>
      <c r="K238" s="24">
        <f t="shared" si="47"/>
        <v>0.1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0.04</v>
      </c>
      <c r="F239" s="719"/>
      <c r="G239" s="24">
        <f t="shared" si="45"/>
        <v>0.02</v>
      </c>
      <c r="H239" s="719"/>
      <c r="I239" s="24">
        <f t="shared" si="46"/>
        <v>0.02</v>
      </c>
      <c r="J239" s="719"/>
      <c r="K239" s="24">
        <f t="shared" si="47"/>
        <v>0.1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0.04</v>
      </c>
      <c r="F240" s="719"/>
      <c r="G240" s="24">
        <f t="shared" si="45"/>
        <v>0.02</v>
      </c>
      <c r="H240" s="719"/>
      <c r="I240" s="24">
        <f t="shared" si="46"/>
        <v>0.02</v>
      </c>
      <c r="J240" s="719"/>
      <c r="K240" s="24">
        <f t="shared" si="47"/>
        <v>0.1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0.04</v>
      </c>
      <c r="F241" s="719"/>
      <c r="G241" s="24">
        <f t="shared" si="45"/>
        <v>0.02</v>
      </c>
      <c r="H241" s="719"/>
      <c r="I241" s="24">
        <f t="shared" si="46"/>
        <v>0.02</v>
      </c>
      <c r="J241" s="719"/>
      <c r="K241" s="24">
        <f t="shared" si="47"/>
        <v>0.1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0.04</v>
      </c>
      <c r="F242" s="719"/>
      <c r="G242" s="24">
        <f t="shared" si="45"/>
        <v>0.02</v>
      </c>
      <c r="H242" s="719"/>
      <c r="I242" s="24">
        <f t="shared" si="46"/>
        <v>0.02</v>
      </c>
      <c r="J242" s="719"/>
      <c r="K242" s="24">
        <f t="shared" si="47"/>
        <v>0.1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0.04</v>
      </c>
      <c r="F243" s="719"/>
      <c r="G243" s="24">
        <f t="shared" si="45"/>
        <v>0.02</v>
      </c>
      <c r="H243" s="719"/>
      <c r="I243" s="24">
        <f t="shared" si="46"/>
        <v>0.02</v>
      </c>
      <c r="J243" s="719"/>
      <c r="K243" s="24">
        <f t="shared" si="47"/>
        <v>0.1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0.04</v>
      </c>
      <c r="F244" s="719"/>
      <c r="G244" s="24">
        <f t="shared" si="45"/>
        <v>0.02</v>
      </c>
      <c r="H244" s="719"/>
      <c r="I244" s="24">
        <f t="shared" si="46"/>
        <v>0.02</v>
      </c>
      <c r="J244" s="719"/>
      <c r="K244" s="24">
        <f t="shared" si="47"/>
        <v>0.1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0.04</v>
      </c>
      <c r="F245" s="719"/>
      <c r="G245" s="24">
        <f t="shared" si="45"/>
        <v>0.02</v>
      </c>
      <c r="H245" s="719"/>
      <c r="I245" s="24">
        <f t="shared" si="46"/>
        <v>0.02</v>
      </c>
      <c r="J245" s="719"/>
      <c r="K245" s="24">
        <f t="shared" si="47"/>
        <v>0.1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0.04</v>
      </c>
      <c r="F246" s="719"/>
      <c r="G246" s="24">
        <f t="shared" si="45"/>
        <v>0.02</v>
      </c>
      <c r="H246" s="719"/>
      <c r="I246" s="24">
        <f t="shared" si="46"/>
        <v>0.02</v>
      </c>
      <c r="J246" s="719"/>
      <c r="K246" s="24">
        <f t="shared" si="47"/>
        <v>0.1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0.04</v>
      </c>
      <c r="F247" s="719"/>
      <c r="G247" s="24">
        <f t="shared" si="45"/>
        <v>0.02</v>
      </c>
      <c r="H247" s="719"/>
      <c r="I247" s="24">
        <f t="shared" si="46"/>
        <v>0.02</v>
      </c>
      <c r="J247" s="719"/>
      <c r="K247" s="24">
        <f t="shared" si="47"/>
        <v>0.1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0.04</v>
      </c>
      <c r="F248" s="719"/>
      <c r="G248" s="24">
        <f t="shared" si="45"/>
        <v>0.02</v>
      </c>
      <c r="H248" s="719"/>
      <c r="I248" s="24">
        <f t="shared" si="46"/>
        <v>0.02</v>
      </c>
      <c r="J248" s="719"/>
      <c r="K248" s="24">
        <f t="shared" si="47"/>
        <v>0.1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0.04</v>
      </c>
      <c r="F249" s="719"/>
      <c r="G249" s="24">
        <f t="shared" si="45"/>
        <v>0.02</v>
      </c>
      <c r="H249" s="719"/>
      <c r="I249" s="24">
        <f t="shared" si="46"/>
        <v>0.02</v>
      </c>
      <c r="J249" s="719"/>
      <c r="K249" s="24">
        <f t="shared" si="47"/>
        <v>0.1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0.04</v>
      </c>
      <c r="F250" s="719"/>
      <c r="G250" s="24">
        <f t="shared" si="45"/>
        <v>0.02</v>
      </c>
      <c r="H250" s="719"/>
      <c r="I250" s="24">
        <f t="shared" si="46"/>
        <v>0.02</v>
      </c>
      <c r="J250" s="719"/>
      <c r="K250" s="24">
        <f t="shared" si="47"/>
        <v>0.1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0.04</v>
      </c>
      <c r="F251" s="719"/>
      <c r="G251" s="24">
        <f t="shared" si="45"/>
        <v>0.02</v>
      </c>
      <c r="H251" s="719"/>
      <c r="I251" s="24">
        <f t="shared" si="46"/>
        <v>0.02</v>
      </c>
      <c r="J251" s="719"/>
      <c r="K251" s="24">
        <f t="shared" si="47"/>
        <v>0.1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0.04</v>
      </c>
      <c r="F252" s="719"/>
      <c r="G252" s="24">
        <f t="shared" si="45"/>
        <v>0.02</v>
      </c>
      <c r="H252" s="719"/>
      <c r="I252" s="24">
        <f t="shared" si="46"/>
        <v>0.02</v>
      </c>
      <c r="J252" s="719"/>
      <c r="K252" s="24">
        <f t="shared" si="47"/>
        <v>0.1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0.04</v>
      </c>
      <c r="F253" s="719"/>
      <c r="G253" s="24">
        <f t="shared" si="45"/>
        <v>0.02</v>
      </c>
      <c r="H253" s="719"/>
      <c r="I253" s="24">
        <f t="shared" si="46"/>
        <v>0.02</v>
      </c>
      <c r="J253" s="719"/>
      <c r="K253" s="24">
        <f t="shared" si="47"/>
        <v>0.1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0.04</v>
      </c>
      <c r="F254" s="719"/>
      <c r="G254" s="24">
        <f t="shared" si="45"/>
        <v>0.02</v>
      </c>
      <c r="H254" s="719"/>
      <c r="I254" s="24">
        <f t="shared" si="46"/>
        <v>0.02</v>
      </c>
      <c r="J254" s="719"/>
      <c r="K254" s="24">
        <f t="shared" si="47"/>
        <v>0.1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0.04</v>
      </c>
      <c r="F255" s="719"/>
      <c r="G255" s="24">
        <f t="shared" si="45"/>
        <v>0.02</v>
      </c>
      <c r="H255" s="719"/>
      <c r="I255" s="24">
        <f t="shared" si="46"/>
        <v>0.02</v>
      </c>
      <c r="J255" s="719"/>
      <c r="K255" s="24">
        <f t="shared" si="47"/>
        <v>0.1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0.04</v>
      </c>
      <c r="F256" s="719"/>
      <c r="G256" s="24">
        <f t="shared" si="45"/>
        <v>0.02</v>
      </c>
      <c r="H256" s="719"/>
      <c r="I256" s="24">
        <f t="shared" si="46"/>
        <v>0.02</v>
      </c>
      <c r="J256" s="719"/>
      <c r="K256" s="24">
        <f t="shared" si="47"/>
        <v>0.1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0.04</v>
      </c>
      <c r="F257" s="719"/>
      <c r="G257" s="24">
        <f t="shared" si="45"/>
        <v>0.02</v>
      </c>
      <c r="H257" s="719"/>
      <c r="I257" s="24">
        <f t="shared" si="46"/>
        <v>0.02</v>
      </c>
      <c r="J257" s="719"/>
      <c r="K257" s="24">
        <f t="shared" si="47"/>
        <v>0.1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0.04</v>
      </c>
      <c r="F258" s="719"/>
      <c r="G258" s="24">
        <f t="shared" si="45"/>
        <v>0.02</v>
      </c>
      <c r="H258" s="719"/>
      <c r="I258" s="24">
        <f t="shared" si="46"/>
        <v>0.02</v>
      </c>
      <c r="J258" s="719"/>
      <c r="K258" s="24">
        <f t="shared" si="47"/>
        <v>0.1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0.04</v>
      </c>
      <c r="F259" s="719"/>
      <c r="G259" s="24">
        <f t="shared" si="45"/>
        <v>0.02</v>
      </c>
      <c r="H259" s="719"/>
      <c r="I259" s="24">
        <f t="shared" si="46"/>
        <v>0.02</v>
      </c>
      <c r="J259" s="719"/>
      <c r="K259" s="24">
        <f t="shared" si="47"/>
        <v>0.1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0.04</v>
      </c>
      <c r="F260" s="719"/>
      <c r="G260" s="24">
        <f t="shared" si="45"/>
        <v>0.02</v>
      </c>
      <c r="H260" s="719"/>
      <c r="I260" s="24">
        <f t="shared" si="46"/>
        <v>0.02</v>
      </c>
      <c r="J260" s="719"/>
      <c r="K260" s="24">
        <f t="shared" si="47"/>
        <v>0.1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0.04</v>
      </c>
      <c r="F261" s="719"/>
      <c r="G261" s="24">
        <f t="shared" si="45"/>
        <v>0.02</v>
      </c>
      <c r="H261" s="719"/>
      <c r="I261" s="24">
        <f t="shared" si="46"/>
        <v>0.02</v>
      </c>
      <c r="J261" s="719"/>
      <c r="K261" s="24">
        <f t="shared" si="47"/>
        <v>0.1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0.04</v>
      </c>
      <c r="F262" s="719"/>
      <c r="G262" s="24">
        <f t="shared" si="45"/>
        <v>0.02</v>
      </c>
      <c r="H262" s="719"/>
      <c r="I262" s="24">
        <f t="shared" si="46"/>
        <v>0.02</v>
      </c>
      <c r="J262" s="719"/>
      <c r="K262" s="24">
        <f t="shared" si="47"/>
        <v>0.1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0.04</v>
      </c>
      <c r="F263" s="719"/>
      <c r="G263" s="24">
        <f t="shared" si="45"/>
        <v>0.02</v>
      </c>
      <c r="H263" s="719"/>
      <c r="I263" s="24">
        <f t="shared" si="46"/>
        <v>0.02</v>
      </c>
      <c r="J263" s="719"/>
      <c r="K263" s="24">
        <f t="shared" si="47"/>
        <v>0.1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0.04</v>
      </c>
      <c r="F264" s="719"/>
      <c r="G264" s="24">
        <f t="shared" si="45"/>
        <v>0.02</v>
      </c>
      <c r="H264" s="719"/>
      <c r="I264" s="24">
        <f t="shared" si="46"/>
        <v>0.02</v>
      </c>
      <c r="J264" s="719"/>
      <c r="K264" s="24">
        <f t="shared" si="47"/>
        <v>0.1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0.04</v>
      </c>
      <c r="F265" s="719"/>
      <c r="G265" s="24">
        <f t="shared" si="45"/>
        <v>0.02</v>
      </c>
      <c r="H265" s="719"/>
      <c r="I265" s="24">
        <f t="shared" si="46"/>
        <v>0.02</v>
      </c>
      <c r="J265" s="719"/>
      <c r="K265" s="24">
        <f t="shared" si="47"/>
        <v>0.1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0.04</v>
      </c>
      <c r="F266" s="719"/>
      <c r="G266" s="24">
        <f t="shared" si="45"/>
        <v>0.02</v>
      </c>
      <c r="H266" s="719"/>
      <c r="I266" s="24">
        <f t="shared" si="46"/>
        <v>0.02</v>
      </c>
      <c r="J266" s="719"/>
      <c r="K266" s="24">
        <f t="shared" si="47"/>
        <v>0.1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0.04</v>
      </c>
      <c r="F267" s="719"/>
      <c r="G267" s="24">
        <f t="shared" si="45"/>
        <v>0.02</v>
      </c>
      <c r="H267" s="719"/>
      <c r="I267" s="24">
        <f t="shared" si="46"/>
        <v>0.02</v>
      </c>
      <c r="J267" s="719"/>
      <c r="K267" s="24">
        <f t="shared" si="47"/>
        <v>0.1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0.04</v>
      </c>
      <c r="F268" s="719"/>
      <c r="G268" s="24">
        <f t="shared" si="45"/>
        <v>0.02</v>
      </c>
      <c r="H268" s="719"/>
      <c r="I268" s="24">
        <f t="shared" si="46"/>
        <v>0.02</v>
      </c>
      <c r="J268" s="719"/>
      <c r="K268" s="24">
        <f t="shared" si="47"/>
        <v>0.1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0.04</v>
      </c>
      <c r="F269" s="719"/>
      <c r="G269" s="24">
        <f t="shared" si="45"/>
        <v>0.02</v>
      </c>
      <c r="H269" s="719"/>
      <c r="I269" s="24">
        <f t="shared" si="46"/>
        <v>0.02</v>
      </c>
      <c r="J269" s="719"/>
      <c r="K269" s="24">
        <f t="shared" si="47"/>
        <v>0.1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0.04</v>
      </c>
      <c r="F270" s="719"/>
      <c r="G270" s="24">
        <f t="shared" si="45"/>
        <v>0.02</v>
      </c>
      <c r="H270" s="719"/>
      <c r="I270" s="24">
        <f t="shared" si="46"/>
        <v>0.02</v>
      </c>
      <c r="J270" s="719"/>
      <c r="K270" s="24">
        <f t="shared" si="47"/>
        <v>0.1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0.04</v>
      </c>
      <c r="F271" s="719"/>
      <c r="G271" s="24">
        <f t="shared" si="45"/>
        <v>0.02</v>
      </c>
      <c r="H271" s="719"/>
      <c r="I271" s="24">
        <f t="shared" si="46"/>
        <v>0.02</v>
      </c>
      <c r="J271" s="719"/>
      <c r="K271" s="24">
        <f t="shared" si="47"/>
        <v>0.1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0.04</v>
      </c>
      <c r="F272" s="719"/>
      <c r="G272" s="24">
        <f t="shared" si="45"/>
        <v>0.02</v>
      </c>
      <c r="H272" s="719"/>
      <c r="I272" s="24">
        <f t="shared" si="46"/>
        <v>0.02</v>
      </c>
      <c r="J272" s="719"/>
      <c r="K272" s="24">
        <f t="shared" si="47"/>
        <v>0.1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0.04</v>
      </c>
      <c r="F273" s="719"/>
      <c r="G273" s="24">
        <f t="shared" si="45"/>
        <v>0.02</v>
      </c>
      <c r="H273" s="719"/>
      <c r="I273" s="24">
        <f t="shared" si="46"/>
        <v>0.02</v>
      </c>
      <c r="J273" s="719"/>
      <c r="K273" s="24">
        <f t="shared" si="47"/>
        <v>0.1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0.04</v>
      </c>
      <c r="F274" s="719"/>
      <c r="G274" s="24">
        <f t="shared" si="45"/>
        <v>0.02</v>
      </c>
      <c r="H274" s="719"/>
      <c r="I274" s="24">
        <f t="shared" si="46"/>
        <v>0.02</v>
      </c>
      <c r="J274" s="719"/>
      <c r="K274" s="24">
        <f t="shared" si="47"/>
        <v>0.1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0.04</v>
      </c>
      <c r="F275" s="719"/>
      <c r="G275" s="24">
        <f t="shared" si="45"/>
        <v>0.02</v>
      </c>
      <c r="H275" s="719"/>
      <c r="I275" s="24">
        <f t="shared" si="46"/>
        <v>0.02</v>
      </c>
      <c r="J275" s="719"/>
      <c r="K275" s="24">
        <f t="shared" si="47"/>
        <v>0.1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0.04</v>
      </c>
      <c r="F276" s="719"/>
      <c r="G276" s="24">
        <f t="shared" si="45"/>
        <v>0.02</v>
      </c>
      <c r="H276" s="719"/>
      <c r="I276" s="24">
        <f t="shared" si="46"/>
        <v>0.02</v>
      </c>
      <c r="J276" s="719"/>
      <c r="K276" s="24">
        <f t="shared" si="47"/>
        <v>0.1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0.04</v>
      </c>
      <c r="F277" s="719"/>
      <c r="G277" s="24">
        <f t="shared" si="45"/>
        <v>0.02</v>
      </c>
      <c r="H277" s="719"/>
      <c r="I277" s="24">
        <f t="shared" si="46"/>
        <v>0.02</v>
      </c>
      <c r="J277" s="719"/>
      <c r="K277" s="24">
        <f t="shared" si="47"/>
        <v>0.1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0.04</v>
      </c>
      <c r="F278" s="719"/>
      <c r="G278" s="24">
        <f t="shared" si="45"/>
        <v>0.02</v>
      </c>
      <c r="H278" s="719"/>
      <c r="I278" s="24">
        <f t="shared" si="46"/>
        <v>0.02</v>
      </c>
      <c r="J278" s="719"/>
      <c r="K278" s="24">
        <f t="shared" si="47"/>
        <v>0.1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0.04</v>
      </c>
      <c r="F279" s="719"/>
      <c r="G279" s="24">
        <f t="shared" si="45"/>
        <v>0.02</v>
      </c>
      <c r="H279" s="719"/>
      <c r="I279" s="24">
        <f t="shared" si="46"/>
        <v>0.02</v>
      </c>
      <c r="J279" s="719"/>
      <c r="K279" s="24">
        <f t="shared" si="47"/>
        <v>0.1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0.04</v>
      </c>
      <c r="F280" s="719"/>
      <c r="G280" s="24">
        <f t="shared" si="45"/>
        <v>0.02</v>
      </c>
      <c r="H280" s="719"/>
      <c r="I280" s="24">
        <f t="shared" si="46"/>
        <v>0.02</v>
      </c>
      <c r="J280" s="719"/>
      <c r="K280" s="24">
        <f t="shared" si="47"/>
        <v>0.1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0.04</v>
      </c>
      <c r="F281" s="719"/>
      <c r="G281" s="24">
        <f t="shared" si="45"/>
        <v>0.02</v>
      </c>
      <c r="H281" s="719"/>
      <c r="I281" s="24">
        <f t="shared" si="46"/>
        <v>0.02</v>
      </c>
      <c r="J281" s="719"/>
      <c r="K281" s="24">
        <f t="shared" si="47"/>
        <v>0.1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0.04</v>
      </c>
      <c r="F282" s="719"/>
      <c r="G282" s="24">
        <f t="shared" ref="G282:G345" si="55">(SUMIF($7:$7,F282,$8:$8)-SUMIF($7:$7,$F$24,$8:$8)+100)/100</f>
        <v>0.02</v>
      </c>
      <c r="H282" s="719"/>
      <c r="I282" s="24">
        <f t="shared" ref="I282:I345" si="56">(SUMIF($9:$9,H282,$10:$10)-SUMIF($9:$9,$H$24,$10:$10)+100)/100</f>
        <v>0.02</v>
      </c>
      <c r="J282" s="719"/>
      <c r="K282" s="24">
        <f t="shared" ref="K282:K345" si="57">(SUMIF($11:$11,J282,$12:$12)-SUMIF($11:$11,$J$24,$12:$12)+100)/100</f>
        <v>0.1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0.04</v>
      </c>
      <c r="F283" s="719"/>
      <c r="G283" s="24">
        <f t="shared" si="55"/>
        <v>0.02</v>
      </c>
      <c r="H283" s="719"/>
      <c r="I283" s="24">
        <f t="shared" si="56"/>
        <v>0.02</v>
      </c>
      <c r="J283" s="719"/>
      <c r="K283" s="24">
        <f t="shared" si="57"/>
        <v>0.1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0.04</v>
      </c>
      <c r="F284" s="719"/>
      <c r="G284" s="24">
        <f t="shared" si="55"/>
        <v>0.02</v>
      </c>
      <c r="H284" s="719"/>
      <c r="I284" s="24">
        <f t="shared" si="56"/>
        <v>0.02</v>
      </c>
      <c r="J284" s="719"/>
      <c r="K284" s="24">
        <f t="shared" si="57"/>
        <v>0.1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0.04</v>
      </c>
      <c r="F285" s="719"/>
      <c r="G285" s="24">
        <f t="shared" si="55"/>
        <v>0.02</v>
      </c>
      <c r="H285" s="719"/>
      <c r="I285" s="24">
        <f t="shared" si="56"/>
        <v>0.02</v>
      </c>
      <c r="J285" s="719"/>
      <c r="K285" s="24">
        <f t="shared" si="57"/>
        <v>0.1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0.04</v>
      </c>
      <c r="F286" s="719"/>
      <c r="G286" s="24">
        <f t="shared" si="55"/>
        <v>0.02</v>
      </c>
      <c r="H286" s="719"/>
      <c r="I286" s="24">
        <f t="shared" si="56"/>
        <v>0.02</v>
      </c>
      <c r="J286" s="719"/>
      <c r="K286" s="24">
        <f t="shared" si="57"/>
        <v>0.1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0.04</v>
      </c>
      <c r="F287" s="719"/>
      <c r="G287" s="24">
        <f t="shared" si="55"/>
        <v>0.02</v>
      </c>
      <c r="H287" s="719"/>
      <c r="I287" s="24">
        <f t="shared" si="56"/>
        <v>0.02</v>
      </c>
      <c r="J287" s="719"/>
      <c r="K287" s="24">
        <f t="shared" si="57"/>
        <v>0.1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0.04</v>
      </c>
      <c r="F288" s="719"/>
      <c r="G288" s="24">
        <f t="shared" si="55"/>
        <v>0.02</v>
      </c>
      <c r="H288" s="719"/>
      <c r="I288" s="24">
        <f t="shared" si="56"/>
        <v>0.02</v>
      </c>
      <c r="J288" s="719"/>
      <c r="K288" s="24">
        <f t="shared" si="57"/>
        <v>0.1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0.04</v>
      </c>
      <c r="F289" s="719"/>
      <c r="G289" s="24">
        <f t="shared" si="55"/>
        <v>0.02</v>
      </c>
      <c r="H289" s="719"/>
      <c r="I289" s="24">
        <f t="shared" si="56"/>
        <v>0.02</v>
      </c>
      <c r="J289" s="719"/>
      <c r="K289" s="24">
        <f t="shared" si="57"/>
        <v>0.1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0.04</v>
      </c>
      <c r="F290" s="719"/>
      <c r="G290" s="24">
        <f t="shared" si="55"/>
        <v>0.02</v>
      </c>
      <c r="H290" s="719"/>
      <c r="I290" s="24">
        <f t="shared" si="56"/>
        <v>0.02</v>
      </c>
      <c r="J290" s="719"/>
      <c r="K290" s="24">
        <f t="shared" si="57"/>
        <v>0.1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0.04</v>
      </c>
      <c r="F291" s="719"/>
      <c r="G291" s="24">
        <f t="shared" si="55"/>
        <v>0.02</v>
      </c>
      <c r="H291" s="719"/>
      <c r="I291" s="24">
        <f t="shared" si="56"/>
        <v>0.02</v>
      </c>
      <c r="J291" s="719"/>
      <c r="K291" s="24">
        <f t="shared" si="57"/>
        <v>0.1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0.04</v>
      </c>
      <c r="F292" s="719"/>
      <c r="G292" s="24">
        <f t="shared" si="55"/>
        <v>0.02</v>
      </c>
      <c r="H292" s="719"/>
      <c r="I292" s="24">
        <f t="shared" si="56"/>
        <v>0.02</v>
      </c>
      <c r="J292" s="719"/>
      <c r="K292" s="24">
        <f t="shared" si="57"/>
        <v>0.1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0.04</v>
      </c>
      <c r="F293" s="719"/>
      <c r="G293" s="24">
        <f t="shared" si="55"/>
        <v>0.02</v>
      </c>
      <c r="H293" s="719"/>
      <c r="I293" s="24">
        <f t="shared" si="56"/>
        <v>0.02</v>
      </c>
      <c r="J293" s="719"/>
      <c r="K293" s="24">
        <f t="shared" si="57"/>
        <v>0.1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0.04</v>
      </c>
      <c r="F294" s="719"/>
      <c r="G294" s="24">
        <f t="shared" si="55"/>
        <v>0.02</v>
      </c>
      <c r="H294" s="719"/>
      <c r="I294" s="24">
        <f t="shared" si="56"/>
        <v>0.02</v>
      </c>
      <c r="J294" s="719"/>
      <c r="K294" s="24">
        <f t="shared" si="57"/>
        <v>0.1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0.04</v>
      </c>
      <c r="F295" s="719"/>
      <c r="G295" s="24">
        <f t="shared" si="55"/>
        <v>0.02</v>
      </c>
      <c r="H295" s="719"/>
      <c r="I295" s="24">
        <f t="shared" si="56"/>
        <v>0.02</v>
      </c>
      <c r="J295" s="719"/>
      <c r="K295" s="24">
        <f t="shared" si="57"/>
        <v>0.1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0.04</v>
      </c>
      <c r="F296" s="719"/>
      <c r="G296" s="24">
        <f t="shared" si="55"/>
        <v>0.02</v>
      </c>
      <c r="H296" s="719"/>
      <c r="I296" s="24">
        <f t="shared" si="56"/>
        <v>0.02</v>
      </c>
      <c r="J296" s="719"/>
      <c r="K296" s="24">
        <f t="shared" si="57"/>
        <v>0.1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0.04</v>
      </c>
      <c r="F297" s="719"/>
      <c r="G297" s="24">
        <f t="shared" si="55"/>
        <v>0.02</v>
      </c>
      <c r="H297" s="719"/>
      <c r="I297" s="24">
        <f t="shared" si="56"/>
        <v>0.02</v>
      </c>
      <c r="J297" s="719"/>
      <c r="K297" s="24">
        <f t="shared" si="57"/>
        <v>0.1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0.04</v>
      </c>
      <c r="F298" s="719"/>
      <c r="G298" s="24">
        <f t="shared" si="55"/>
        <v>0.02</v>
      </c>
      <c r="H298" s="719"/>
      <c r="I298" s="24">
        <f t="shared" si="56"/>
        <v>0.02</v>
      </c>
      <c r="J298" s="719"/>
      <c r="K298" s="24">
        <f t="shared" si="57"/>
        <v>0.1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0.04</v>
      </c>
      <c r="F299" s="719"/>
      <c r="G299" s="24">
        <f t="shared" si="55"/>
        <v>0.02</v>
      </c>
      <c r="H299" s="719"/>
      <c r="I299" s="24">
        <f t="shared" si="56"/>
        <v>0.02</v>
      </c>
      <c r="J299" s="719"/>
      <c r="K299" s="24">
        <f t="shared" si="57"/>
        <v>0.1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0.04</v>
      </c>
      <c r="F300" s="719"/>
      <c r="G300" s="24">
        <f t="shared" si="55"/>
        <v>0.02</v>
      </c>
      <c r="H300" s="719"/>
      <c r="I300" s="24">
        <f t="shared" si="56"/>
        <v>0.02</v>
      </c>
      <c r="J300" s="719"/>
      <c r="K300" s="24">
        <f t="shared" si="57"/>
        <v>0.1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0.04</v>
      </c>
      <c r="F301" s="719"/>
      <c r="G301" s="24">
        <f t="shared" si="55"/>
        <v>0.02</v>
      </c>
      <c r="H301" s="719"/>
      <c r="I301" s="24">
        <f t="shared" si="56"/>
        <v>0.02</v>
      </c>
      <c r="J301" s="719"/>
      <c r="K301" s="24">
        <f t="shared" si="57"/>
        <v>0.1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0.04</v>
      </c>
      <c r="F302" s="719"/>
      <c r="G302" s="24">
        <f t="shared" si="55"/>
        <v>0.02</v>
      </c>
      <c r="H302" s="719"/>
      <c r="I302" s="24">
        <f t="shared" si="56"/>
        <v>0.02</v>
      </c>
      <c r="J302" s="719"/>
      <c r="K302" s="24">
        <f t="shared" si="57"/>
        <v>0.1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0.04</v>
      </c>
      <c r="F303" s="719"/>
      <c r="G303" s="24">
        <f t="shared" si="55"/>
        <v>0.02</v>
      </c>
      <c r="H303" s="719"/>
      <c r="I303" s="24">
        <f t="shared" si="56"/>
        <v>0.02</v>
      </c>
      <c r="J303" s="719"/>
      <c r="K303" s="24">
        <f t="shared" si="57"/>
        <v>0.1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0.04</v>
      </c>
      <c r="F304" s="719"/>
      <c r="G304" s="24">
        <f t="shared" si="55"/>
        <v>0.02</v>
      </c>
      <c r="H304" s="719"/>
      <c r="I304" s="24">
        <f t="shared" si="56"/>
        <v>0.02</v>
      </c>
      <c r="J304" s="719"/>
      <c r="K304" s="24">
        <f t="shared" si="57"/>
        <v>0.1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0.04</v>
      </c>
      <c r="F305" s="719"/>
      <c r="G305" s="24">
        <f t="shared" si="55"/>
        <v>0.02</v>
      </c>
      <c r="H305" s="719"/>
      <c r="I305" s="24">
        <f t="shared" si="56"/>
        <v>0.02</v>
      </c>
      <c r="J305" s="719"/>
      <c r="K305" s="24">
        <f t="shared" si="57"/>
        <v>0.1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0.04</v>
      </c>
      <c r="F306" s="719"/>
      <c r="G306" s="24">
        <f t="shared" si="55"/>
        <v>0.02</v>
      </c>
      <c r="H306" s="719"/>
      <c r="I306" s="24">
        <f t="shared" si="56"/>
        <v>0.02</v>
      </c>
      <c r="J306" s="719"/>
      <c r="K306" s="24">
        <f t="shared" si="57"/>
        <v>0.1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0.04</v>
      </c>
      <c r="F307" s="719"/>
      <c r="G307" s="24">
        <f t="shared" si="55"/>
        <v>0.02</v>
      </c>
      <c r="H307" s="719"/>
      <c r="I307" s="24">
        <f t="shared" si="56"/>
        <v>0.02</v>
      </c>
      <c r="J307" s="719"/>
      <c r="K307" s="24">
        <f t="shared" si="57"/>
        <v>0.1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0.04</v>
      </c>
      <c r="F308" s="719"/>
      <c r="G308" s="24">
        <f t="shared" si="55"/>
        <v>0.02</v>
      </c>
      <c r="H308" s="719"/>
      <c r="I308" s="24">
        <f t="shared" si="56"/>
        <v>0.02</v>
      </c>
      <c r="J308" s="719"/>
      <c r="K308" s="24">
        <f t="shared" si="57"/>
        <v>0.1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0.04</v>
      </c>
      <c r="F309" s="719"/>
      <c r="G309" s="24">
        <f t="shared" si="55"/>
        <v>0.02</v>
      </c>
      <c r="H309" s="719"/>
      <c r="I309" s="24">
        <f t="shared" si="56"/>
        <v>0.02</v>
      </c>
      <c r="J309" s="719"/>
      <c r="K309" s="24">
        <f t="shared" si="57"/>
        <v>0.1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0.04</v>
      </c>
      <c r="F310" s="719"/>
      <c r="G310" s="24">
        <f t="shared" si="55"/>
        <v>0.02</v>
      </c>
      <c r="H310" s="719"/>
      <c r="I310" s="24">
        <f t="shared" si="56"/>
        <v>0.02</v>
      </c>
      <c r="J310" s="719"/>
      <c r="K310" s="24">
        <f t="shared" si="57"/>
        <v>0.1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0.04</v>
      </c>
      <c r="F311" s="719"/>
      <c r="G311" s="24">
        <f t="shared" si="55"/>
        <v>0.02</v>
      </c>
      <c r="H311" s="719"/>
      <c r="I311" s="24">
        <f t="shared" si="56"/>
        <v>0.02</v>
      </c>
      <c r="J311" s="719"/>
      <c r="K311" s="24">
        <f t="shared" si="57"/>
        <v>0.1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0.04</v>
      </c>
      <c r="F312" s="719"/>
      <c r="G312" s="24">
        <f t="shared" si="55"/>
        <v>0.02</v>
      </c>
      <c r="H312" s="719"/>
      <c r="I312" s="24">
        <f t="shared" si="56"/>
        <v>0.02</v>
      </c>
      <c r="J312" s="719"/>
      <c r="K312" s="24">
        <f t="shared" si="57"/>
        <v>0.1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0.04</v>
      </c>
      <c r="F313" s="719"/>
      <c r="G313" s="24">
        <f t="shared" si="55"/>
        <v>0.02</v>
      </c>
      <c r="H313" s="719"/>
      <c r="I313" s="24">
        <f t="shared" si="56"/>
        <v>0.02</v>
      </c>
      <c r="J313" s="719"/>
      <c r="K313" s="24">
        <f t="shared" si="57"/>
        <v>0.1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0.04</v>
      </c>
      <c r="F314" s="719"/>
      <c r="G314" s="24">
        <f t="shared" si="55"/>
        <v>0.02</v>
      </c>
      <c r="H314" s="719"/>
      <c r="I314" s="24">
        <f t="shared" si="56"/>
        <v>0.02</v>
      </c>
      <c r="J314" s="719"/>
      <c r="K314" s="24">
        <f t="shared" si="57"/>
        <v>0.1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0.04</v>
      </c>
      <c r="F315" s="719"/>
      <c r="G315" s="24">
        <f t="shared" si="55"/>
        <v>0.02</v>
      </c>
      <c r="H315" s="719"/>
      <c r="I315" s="24">
        <f t="shared" si="56"/>
        <v>0.02</v>
      </c>
      <c r="J315" s="719"/>
      <c r="K315" s="24">
        <f t="shared" si="57"/>
        <v>0.1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0.04</v>
      </c>
      <c r="F316" s="719"/>
      <c r="G316" s="24">
        <f t="shared" si="55"/>
        <v>0.02</v>
      </c>
      <c r="H316" s="719"/>
      <c r="I316" s="24">
        <f t="shared" si="56"/>
        <v>0.02</v>
      </c>
      <c r="J316" s="719"/>
      <c r="K316" s="24">
        <f t="shared" si="57"/>
        <v>0.1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0.04</v>
      </c>
      <c r="F317" s="719"/>
      <c r="G317" s="24">
        <f t="shared" si="55"/>
        <v>0.02</v>
      </c>
      <c r="H317" s="719"/>
      <c r="I317" s="24">
        <f t="shared" si="56"/>
        <v>0.02</v>
      </c>
      <c r="J317" s="719"/>
      <c r="K317" s="24">
        <f t="shared" si="57"/>
        <v>0.1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0.04</v>
      </c>
      <c r="F318" s="719"/>
      <c r="G318" s="24">
        <f t="shared" si="55"/>
        <v>0.02</v>
      </c>
      <c r="H318" s="719"/>
      <c r="I318" s="24">
        <f t="shared" si="56"/>
        <v>0.02</v>
      </c>
      <c r="J318" s="719"/>
      <c r="K318" s="24">
        <f t="shared" si="57"/>
        <v>0.1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0.04</v>
      </c>
      <c r="F319" s="719"/>
      <c r="G319" s="24">
        <f t="shared" si="55"/>
        <v>0.02</v>
      </c>
      <c r="H319" s="719"/>
      <c r="I319" s="24">
        <f t="shared" si="56"/>
        <v>0.02</v>
      </c>
      <c r="J319" s="719"/>
      <c r="K319" s="24">
        <f t="shared" si="57"/>
        <v>0.1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0.04</v>
      </c>
      <c r="F320" s="719"/>
      <c r="G320" s="24">
        <f t="shared" si="55"/>
        <v>0.02</v>
      </c>
      <c r="H320" s="719"/>
      <c r="I320" s="24">
        <f t="shared" si="56"/>
        <v>0.02</v>
      </c>
      <c r="J320" s="719"/>
      <c r="K320" s="24">
        <f t="shared" si="57"/>
        <v>0.1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0.04</v>
      </c>
      <c r="F321" s="719"/>
      <c r="G321" s="24">
        <f t="shared" si="55"/>
        <v>0.02</v>
      </c>
      <c r="H321" s="719"/>
      <c r="I321" s="24">
        <f t="shared" si="56"/>
        <v>0.02</v>
      </c>
      <c r="J321" s="719"/>
      <c r="K321" s="24">
        <f t="shared" si="57"/>
        <v>0.1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0.04</v>
      </c>
      <c r="F322" s="719"/>
      <c r="G322" s="24">
        <f t="shared" si="55"/>
        <v>0.02</v>
      </c>
      <c r="H322" s="719"/>
      <c r="I322" s="24">
        <f t="shared" si="56"/>
        <v>0.02</v>
      </c>
      <c r="J322" s="719"/>
      <c r="K322" s="24">
        <f t="shared" si="57"/>
        <v>0.1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0.04</v>
      </c>
      <c r="F323" s="719"/>
      <c r="G323" s="24">
        <f t="shared" si="55"/>
        <v>0.02</v>
      </c>
      <c r="H323" s="719"/>
      <c r="I323" s="24">
        <f t="shared" si="56"/>
        <v>0.02</v>
      </c>
      <c r="J323" s="719"/>
      <c r="K323" s="24">
        <f t="shared" si="57"/>
        <v>0.1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0.04</v>
      </c>
      <c r="F324" s="719"/>
      <c r="G324" s="24">
        <f t="shared" si="55"/>
        <v>0.02</v>
      </c>
      <c r="H324" s="719"/>
      <c r="I324" s="24">
        <f t="shared" si="56"/>
        <v>0.02</v>
      </c>
      <c r="J324" s="719"/>
      <c r="K324" s="24">
        <f t="shared" si="57"/>
        <v>0.1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0.04</v>
      </c>
      <c r="F325" s="719"/>
      <c r="G325" s="24">
        <f t="shared" si="55"/>
        <v>0.02</v>
      </c>
      <c r="H325" s="719"/>
      <c r="I325" s="24">
        <f t="shared" si="56"/>
        <v>0.02</v>
      </c>
      <c r="J325" s="719"/>
      <c r="K325" s="24">
        <f t="shared" si="57"/>
        <v>0.1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0.04</v>
      </c>
      <c r="F326" s="719"/>
      <c r="G326" s="24">
        <f t="shared" si="55"/>
        <v>0.02</v>
      </c>
      <c r="H326" s="719"/>
      <c r="I326" s="24">
        <f t="shared" si="56"/>
        <v>0.02</v>
      </c>
      <c r="J326" s="719"/>
      <c r="K326" s="24">
        <f t="shared" si="57"/>
        <v>0.1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0.04</v>
      </c>
      <c r="F327" s="719"/>
      <c r="G327" s="24">
        <f t="shared" si="55"/>
        <v>0.02</v>
      </c>
      <c r="H327" s="719"/>
      <c r="I327" s="24">
        <f t="shared" si="56"/>
        <v>0.02</v>
      </c>
      <c r="J327" s="719"/>
      <c r="K327" s="24">
        <f t="shared" si="57"/>
        <v>0.1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0.04</v>
      </c>
      <c r="F328" s="719"/>
      <c r="G328" s="24">
        <f t="shared" si="55"/>
        <v>0.02</v>
      </c>
      <c r="H328" s="719"/>
      <c r="I328" s="24">
        <f t="shared" si="56"/>
        <v>0.02</v>
      </c>
      <c r="J328" s="719"/>
      <c r="K328" s="24">
        <f t="shared" si="57"/>
        <v>0.1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0.04</v>
      </c>
      <c r="F329" s="719"/>
      <c r="G329" s="24">
        <f t="shared" si="55"/>
        <v>0.02</v>
      </c>
      <c r="H329" s="719"/>
      <c r="I329" s="24">
        <f t="shared" si="56"/>
        <v>0.02</v>
      </c>
      <c r="J329" s="719"/>
      <c r="K329" s="24">
        <f t="shared" si="57"/>
        <v>0.1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0.04</v>
      </c>
      <c r="F330" s="719"/>
      <c r="G330" s="24">
        <f t="shared" si="55"/>
        <v>0.02</v>
      </c>
      <c r="H330" s="719"/>
      <c r="I330" s="24">
        <f t="shared" si="56"/>
        <v>0.02</v>
      </c>
      <c r="J330" s="719"/>
      <c r="K330" s="24">
        <f t="shared" si="57"/>
        <v>0.1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0.04</v>
      </c>
      <c r="F331" s="719"/>
      <c r="G331" s="24">
        <f t="shared" si="55"/>
        <v>0.02</v>
      </c>
      <c r="H331" s="719"/>
      <c r="I331" s="24">
        <f t="shared" si="56"/>
        <v>0.02</v>
      </c>
      <c r="J331" s="719"/>
      <c r="K331" s="24">
        <f t="shared" si="57"/>
        <v>0.1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0.04</v>
      </c>
      <c r="F332" s="719"/>
      <c r="G332" s="24">
        <f t="shared" si="55"/>
        <v>0.02</v>
      </c>
      <c r="H332" s="719"/>
      <c r="I332" s="24">
        <f t="shared" si="56"/>
        <v>0.02</v>
      </c>
      <c r="J332" s="719"/>
      <c r="K332" s="24">
        <f t="shared" si="57"/>
        <v>0.1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0.04</v>
      </c>
      <c r="F333" s="719"/>
      <c r="G333" s="24">
        <f t="shared" si="55"/>
        <v>0.02</v>
      </c>
      <c r="H333" s="719"/>
      <c r="I333" s="24">
        <f t="shared" si="56"/>
        <v>0.02</v>
      </c>
      <c r="J333" s="719"/>
      <c r="K333" s="24">
        <f t="shared" si="57"/>
        <v>0.1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0.04</v>
      </c>
      <c r="F334" s="719"/>
      <c r="G334" s="24">
        <f t="shared" si="55"/>
        <v>0.02</v>
      </c>
      <c r="H334" s="719"/>
      <c r="I334" s="24">
        <f t="shared" si="56"/>
        <v>0.02</v>
      </c>
      <c r="J334" s="719"/>
      <c r="K334" s="24">
        <f t="shared" si="57"/>
        <v>0.1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0.04</v>
      </c>
      <c r="F335" s="719"/>
      <c r="G335" s="24">
        <f t="shared" si="55"/>
        <v>0.02</v>
      </c>
      <c r="H335" s="719"/>
      <c r="I335" s="24">
        <f t="shared" si="56"/>
        <v>0.02</v>
      </c>
      <c r="J335" s="719"/>
      <c r="K335" s="24">
        <f t="shared" si="57"/>
        <v>0.1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0.04</v>
      </c>
      <c r="F336" s="719"/>
      <c r="G336" s="24">
        <f t="shared" si="55"/>
        <v>0.02</v>
      </c>
      <c r="H336" s="719"/>
      <c r="I336" s="24">
        <f t="shared" si="56"/>
        <v>0.02</v>
      </c>
      <c r="J336" s="719"/>
      <c r="K336" s="24">
        <f t="shared" si="57"/>
        <v>0.1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0.04</v>
      </c>
      <c r="F337" s="719"/>
      <c r="G337" s="24">
        <f t="shared" si="55"/>
        <v>0.02</v>
      </c>
      <c r="H337" s="719"/>
      <c r="I337" s="24">
        <f t="shared" si="56"/>
        <v>0.02</v>
      </c>
      <c r="J337" s="719"/>
      <c r="K337" s="24">
        <f t="shared" si="57"/>
        <v>0.1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0.04</v>
      </c>
      <c r="F338" s="719"/>
      <c r="G338" s="24">
        <f t="shared" si="55"/>
        <v>0.02</v>
      </c>
      <c r="H338" s="719"/>
      <c r="I338" s="24">
        <f t="shared" si="56"/>
        <v>0.02</v>
      </c>
      <c r="J338" s="719"/>
      <c r="K338" s="24">
        <f t="shared" si="57"/>
        <v>0.1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0.04</v>
      </c>
      <c r="F339" s="719"/>
      <c r="G339" s="24">
        <f t="shared" si="55"/>
        <v>0.02</v>
      </c>
      <c r="H339" s="719"/>
      <c r="I339" s="24">
        <f t="shared" si="56"/>
        <v>0.02</v>
      </c>
      <c r="J339" s="719"/>
      <c r="K339" s="24">
        <f t="shared" si="57"/>
        <v>0.1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0.04</v>
      </c>
      <c r="F340" s="719"/>
      <c r="G340" s="24">
        <f t="shared" si="55"/>
        <v>0.02</v>
      </c>
      <c r="H340" s="719"/>
      <c r="I340" s="24">
        <f t="shared" si="56"/>
        <v>0.02</v>
      </c>
      <c r="J340" s="719"/>
      <c r="K340" s="24">
        <f t="shared" si="57"/>
        <v>0.1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0.04</v>
      </c>
      <c r="F341" s="719"/>
      <c r="G341" s="24">
        <f t="shared" si="55"/>
        <v>0.02</v>
      </c>
      <c r="H341" s="719"/>
      <c r="I341" s="24">
        <f t="shared" si="56"/>
        <v>0.02</v>
      </c>
      <c r="J341" s="719"/>
      <c r="K341" s="24">
        <f t="shared" si="57"/>
        <v>0.1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0.04</v>
      </c>
      <c r="F342" s="719"/>
      <c r="G342" s="24">
        <f t="shared" si="55"/>
        <v>0.02</v>
      </c>
      <c r="H342" s="719"/>
      <c r="I342" s="24">
        <f t="shared" si="56"/>
        <v>0.02</v>
      </c>
      <c r="J342" s="719"/>
      <c r="K342" s="24">
        <f t="shared" si="57"/>
        <v>0.1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0.04</v>
      </c>
      <c r="F343" s="719"/>
      <c r="G343" s="24">
        <f t="shared" si="55"/>
        <v>0.02</v>
      </c>
      <c r="H343" s="719"/>
      <c r="I343" s="24">
        <f t="shared" si="56"/>
        <v>0.02</v>
      </c>
      <c r="J343" s="719"/>
      <c r="K343" s="24">
        <f t="shared" si="57"/>
        <v>0.1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0.04</v>
      </c>
      <c r="F344" s="719"/>
      <c r="G344" s="24">
        <f t="shared" si="55"/>
        <v>0.02</v>
      </c>
      <c r="H344" s="719"/>
      <c r="I344" s="24">
        <f t="shared" si="56"/>
        <v>0.02</v>
      </c>
      <c r="J344" s="719"/>
      <c r="K344" s="24">
        <f t="shared" si="57"/>
        <v>0.1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0.04</v>
      </c>
      <c r="F345" s="719"/>
      <c r="G345" s="24">
        <f t="shared" si="55"/>
        <v>0.02</v>
      </c>
      <c r="H345" s="719"/>
      <c r="I345" s="24">
        <f t="shared" si="56"/>
        <v>0.02</v>
      </c>
      <c r="J345" s="719"/>
      <c r="K345" s="24">
        <f t="shared" si="57"/>
        <v>0.1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0.04</v>
      </c>
      <c r="F346" s="719"/>
      <c r="G346" s="24">
        <f t="shared" ref="G346:G409" si="66">(SUMIF($7:$7,F346,$8:$8)-SUMIF($7:$7,$F$24,$8:$8)+100)/100</f>
        <v>0.02</v>
      </c>
      <c r="H346" s="719"/>
      <c r="I346" s="24">
        <f t="shared" ref="I346:I409" si="67">(SUMIF($9:$9,H346,$10:$10)-SUMIF($9:$9,$H$24,$10:$10)+100)/100</f>
        <v>0.02</v>
      </c>
      <c r="J346" s="719"/>
      <c r="K346" s="24">
        <f t="shared" ref="K346:K409" si="68">(SUMIF($11:$11,J346,$12:$12)-SUMIF($11:$11,$J$24,$12:$12)+100)/100</f>
        <v>0.1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0.04</v>
      </c>
      <c r="F347" s="719"/>
      <c r="G347" s="24">
        <f t="shared" si="66"/>
        <v>0.02</v>
      </c>
      <c r="H347" s="719"/>
      <c r="I347" s="24">
        <f t="shared" si="67"/>
        <v>0.02</v>
      </c>
      <c r="J347" s="719"/>
      <c r="K347" s="24">
        <f t="shared" si="68"/>
        <v>0.1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0.04</v>
      </c>
      <c r="F348" s="719"/>
      <c r="G348" s="24">
        <f t="shared" si="66"/>
        <v>0.02</v>
      </c>
      <c r="H348" s="719"/>
      <c r="I348" s="24">
        <f t="shared" si="67"/>
        <v>0.02</v>
      </c>
      <c r="J348" s="719"/>
      <c r="K348" s="24">
        <f t="shared" si="68"/>
        <v>0.1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0.04</v>
      </c>
      <c r="F349" s="719"/>
      <c r="G349" s="24">
        <f t="shared" si="66"/>
        <v>0.02</v>
      </c>
      <c r="H349" s="719"/>
      <c r="I349" s="24">
        <f t="shared" si="67"/>
        <v>0.02</v>
      </c>
      <c r="J349" s="719"/>
      <c r="K349" s="24">
        <f t="shared" si="68"/>
        <v>0.1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0.04</v>
      </c>
      <c r="F350" s="719"/>
      <c r="G350" s="24">
        <f t="shared" si="66"/>
        <v>0.02</v>
      </c>
      <c r="H350" s="719"/>
      <c r="I350" s="24">
        <f t="shared" si="67"/>
        <v>0.02</v>
      </c>
      <c r="J350" s="719"/>
      <c r="K350" s="24">
        <f t="shared" si="68"/>
        <v>0.1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0.04</v>
      </c>
      <c r="F351" s="719"/>
      <c r="G351" s="24">
        <f t="shared" si="66"/>
        <v>0.02</v>
      </c>
      <c r="H351" s="719"/>
      <c r="I351" s="24">
        <f t="shared" si="67"/>
        <v>0.02</v>
      </c>
      <c r="J351" s="719"/>
      <c r="K351" s="24">
        <f t="shared" si="68"/>
        <v>0.1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0.04</v>
      </c>
      <c r="F352" s="719"/>
      <c r="G352" s="24">
        <f t="shared" si="66"/>
        <v>0.02</v>
      </c>
      <c r="H352" s="719"/>
      <c r="I352" s="24">
        <f t="shared" si="67"/>
        <v>0.02</v>
      </c>
      <c r="J352" s="719"/>
      <c r="K352" s="24">
        <f t="shared" si="68"/>
        <v>0.1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0.04</v>
      </c>
      <c r="F353" s="719"/>
      <c r="G353" s="24">
        <f t="shared" si="66"/>
        <v>0.02</v>
      </c>
      <c r="H353" s="719"/>
      <c r="I353" s="24">
        <f t="shared" si="67"/>
        <v>0.02</v>
      </c>
      <c r="J353" s="719"/>
      <c r="K353" s="24">
        <f t="shared" si="68"/>
        <v>0.1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0.04</v>
      </c>
      <c r="F354" s="719"/>
      <c r="G354" s="24">
        <f t="shared" si="66"/>
        <v>0.02</v>
      </c>
      <c r="H354" s="719"/>
      <c r="I354" s="24">
        <f t="shared" si="67"/>
        <v>0.02</v>
      </c>
      <c r="J354" s="719"/>
      <c r="K354" s="24">
        <f t="shared" si="68"/>
        <v>0.1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0.04</v>
      </c>
      <c r="F355" s="719"/>
      <c r="G355" s="24">
        <f t="shared" si="66"/>
        <v>0.02</v>
      </c>
      <c r="H355" s="719"/>
      <c r="I355" s="24">
        <f t="shared" si="67"/>
        <v>0.02</v>
      </c>
      <c r="J355" s="719"/>
      <c r="K355" s="24">
        <f t="shared" si="68"/>
        <v>0.1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0.04</v>
      </c>
      <c r="F356" s="719"/>
      <c r="G356" s="24">
        <f t="shared" si="66"/>
        <v>0.02</v>
      </c>
      <c r="H356" s="719"/>
      <c r="I356" s="24">
        <f t="shared" si="67"/>
        <v>0.02</v>
      </c>
      <c r="J356" s="719"/>
      <c r="K356" s="24">
        <f t="shared" si="68"/>
        <v>0.1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0.04</v>
      </c>
      <c r="F357" s="719"/>
      <c r="G357" s="24">
        <f t="shared" si="66"/>
        <v>0.02</v>
      </c>
      <c r="H357" s="719"/>
      <c r="I357" s="24">
        <f t="shared" si="67"/>
        <v>0.02</v>
      </c>
      <c r="J357" s="719"/>
      <c r="K357" s="24">
        <f t="shared" si="68"/>
        <v>0.1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0.04</v>
      </c>
      <c r="F358" s="719"/>
      <c r="G358" s="24">
        <f t="shared" si="66"/>
        <v>0.02</v>
      </c>
      <c r="H358" s="719"/>
      <c r="I358" s="24">
        <f t="shared" si="67"/>
        <v>0.02</v>
      </c>
      <c r="J358" s="719"/>
      <c r="K358" s="24">
        <f t="shared" si="68"/>
        <v>0.1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0.04</v>
      </c>
      <c r="F359" s="719"/>
      <c r="G359" s="24">
        <f t="shared" si="66"/>
        <v>0.02</v>
      </c>
      <c r="H359" s="719"/>
      <c r="I359" s="24">
        <f t="shared" si="67"/>
        <v>0.02</v>
      </c>
      <c r="J359" s="719"/>
      <c r="K359" s="24">
        <f t="shared" si="68"/>
        <v>0.1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0.04</v>
      </c>
      <c r="F360" s="719"/>
      <c r="G360" s="24">
        <f t="shared" si="66"/>
        <v>0.02</v>
      </c>
      <c r="H360" s="719"/>
      <c r="I360" s="24">
        <f t="shared" si="67"/>
        <v>0.02</v>
      </c>
      <c r="J360" s="719"/>
      <c r="K360" s="24">
        <f t="shared" si="68"/>
        <v>0.1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0.04</v>
      </c>
      <c r="F361" s="719"/>
      <c r="G361" s="24">
        <f t="shared" si="66"/>
        <v>0.02</v>
      </c>
      <c r="H361" s="719"/>
      <c r="I361" s="24">
        <f t="shared" si="67"/>
        <v>0.02</v>
      </c>
      <c r="J361" s="719"/>
      <c r="K361" s="24">
        <f t="shared" si="68"/>
        <v>0.1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0.04</v>
      </c>
      <c r="F362" s="719"/>
      <c r="G362" s="24">
        <f t="shared" si="66"/>
        <v>0.02</v>
      </c>
      <c r="H362" s="719"/>
      <c r="I362" s="24">
        <f t="shared" si="67"/>
        <v>0.02</v>
      </c>
      <c r="J362" s="719"/>
      <c r="K362" s="24">
        <f t="shared" si="68"/>
        <v>0.1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0.04</v>
      </c>
      <c r="F363" s="719"/>
      <c r="G363" s="24">
        <f t="shared" si="66"/>
        <v>0.02</v>
      </c>
      <c r="H363" s="719"/>
      <c r="I363" s="24">
        <f t="shared" si="67"/>
        <v>0.02</v>
      </c>
      <c r="J363" s="719"/>
      <c r="K363" s="24">
        <f t="shared" si="68"/>
        <v>0.1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0.04</v>
      </c>
      <c r="F364" s="719"/>
      <c r="G364" s="24">
        <f t="shared" si="66"/>
        <v>0.02</v>
      </c>
      <c r="H364" s="719"/>
      <c r="I364" s="24">
        <f t="shared" si="67"/>
        <v>0.02</v>
      </c>
      <c r="J364" s="719"/>
      <c r="K364" s="24">
        <f t="shared" si="68"/>
        <v>0.1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0.04</v>
      </c>
      <c r="F365" s="719"/>
      <c r="G365" s="24">
        <f t="shared" si="66"/>
        <v>0.02</v>
      </c>
      <c r="H365" s="719"/>
      <c r="I365" s="24">
        <f t="shared" si="67"/>
        <v>0.02</v>
      </c>
      <c r="J365" s="719"/>
      <c r="K365" s="24">
        <f t="shared" si="68"/>
        <v>0.1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0.04</v>
      </c>
      <c r="F366" s="719"/>
      <c r="G366" s="24">
        <f t="shared" si="66"/>
        <v>0.02</v>
      </c>
      <c r="H366" s="719"/>
      <c r="I366" s="24">
        <f t="shared" si="67"/>
        <v>0.02</v>
      </c>
      <c r="J366" s="719"/>
      <c r="K366" s="24">
        <f t="shared" si="68"/>
        <v>0.1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0.04</v>
      </c>
      <c r="F367" s="719"/>
      <c r="G367" s="24">
        <f t="shared" si="66"/>
        <v>0.02</v>
      </c>
      <c r="H367" s="719"/>
      <c r="I367" s="24">
        <f t="shared" si="67"/>
        <v>0.02</v>
      </c>
      <c r="J367" s="719"/>
      <c r="K367" s="24">
        <f t="shared" si="68"/>
        <v>0.1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0.04</v>
      </c>
      <c r="F368" s="719"/>
      <c r="G368" s="24">
        <f t="shared" si="66"/>
        <v>0.02</v>
      </c>
      <c r="H368" s="719"/>
      <c r="I368" s="24">
        <f t="shared" si="67"/>
        <v>0.02</v>
      </c>
      <c r="J368" s="719"/>
      <c r="K368" s="24">
        <f t="shared" si="68"/>
        <v>0.1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0.04</v>
      </c>
      <c r="F369" s="719"/>
      <c r="G369" s="24">
        <f t="shared" si="66"/>
        <v>0.02</v>
      </c>
      <c r="H369" s="719"/>
      <c r="I369" s="24">
        <f t="shared" si="67"/>
        <v>0.02</v>
      </c>
      <c r="J369" s="719"/>
      <c r="K369" s="24">
        <f t="shared" si="68"/>
        <v>0.1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0.04</v>
      </c>
      <c r="F370" s="719"/>
      <c r="G370" s="24">
        <f t="shared" si="66"/>
        <v>0.02</v>
      </c>
      <c r="H370" s="719"/>
      <c r="I370" s="24">
        <f t="shared" si="67"/>
        <v>0.02</v>
      </c>
      <c r="J370" s="719"/>
      <c r="K370" s="24">
        <f t="shared" si="68"/>
        <v>0.1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0.04</v>
      </c>
      <c r="F371" s="719"/>
      <c r="G371" s="24">
        <f t="shared" si="66"/>
        <v>0.02</v>
      </c>
      <c r="H371" s="719"/>
      <c r="I371" s="24">
        <f t="shared" si="67"/>
        <v>0.02</v>
      </c>
      <c r="J371" s="719"/>
      <c r="K371" s="24">
        <f t="shared" si="68"/>
        <v>0.1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0.04</v>
      </c>
      <c r="F372" s="719"/>
      <c r="G372" s="24">
        <f t="shared" si="66"/>
        <v>0.02</v>
      </c>
      <c r="H372" s="719"/>
      <c r="I372" s="24">
        <f t="shared" si="67"/>
        <v>0.02</v>
      </c>
      <c r="J372" s="719"/>
      <c r="K372" s="24">
        <f t="shared" si="68"/>
        <v>0.1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0.04</v>
      </c>
      <c r="F373" s="719"/>
      <c r="G373" s="24">
        <f t="shared" si="66"/>
        <v>0.02</v>
      </c>
      <c r="H373" s="719"/>
      <c r="I373" s="24">
        <f t="shared" si="67"/>
        <v>0.02</v>
      </c>
      <c r="J373" s="719"/>
      <c r="K373" s="24">
        <f t="shared" si="68"/>
        <v>0.1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0.04</v>
      </c>
      <c r="F374" s="719"/>
      <c r="G374" s="24">
        <f t="shared" si="66"/>
        <v>0.02</v>
      </c>
      <c r="H374" s="719"/>
      <c r="I374" s="24">
        <f t="shared" si="67"/>
        <v>0.02</v>
      </c>
      <c r="J374" s="719"/>
      <c r="K374" s="24">
        <f t="shared" si="68"/>
        <v>0.1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0.04</v>
      </c>
      <c r="F375" s="719"/>
      <c r="G375" s="24">
        <f t="shared" si="66"/>
        <v>0.02</v>
      </c>
      <c r="H375" s="719"/>
      <c r="I375" s="24">
        <f t="shared" si="67"/>
        <v>0.02</v>
      </c>
      <c r="J375" s="719"/>
      <c r="K375" s="24">
        <f t="shared" si="68"/>
        <v>0.1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0.04</v>
      </c>
      <c r="F376" s="719"/>
      <c r="G376" s="24">
        <f t="shared" si="66"/>
        <v>0.02</v>
      </c>
      <c r="H376" s="719"/>
      <c r="I376" s="24">
        <f t="shared" si="67"/>
        <v>0.02</v>
      </c>
      <c r="J376" s="719"/>
      <c r="K376" s="24">
        <f t="shared" si="68"/>
        <v>0.1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0.04</v>
      </c>
      <c r="F377" s="719"/>
      <c r="G377" s="24">
        <f t="shared" si="66"/>
        <v>0.02</v>
      </c>
      <c r="H377" s="719"/>
      <c r="I377" s="24">
        <f t="shared" si="67"/>
        <v>0.02</v>
      </c>
      <c r="J377" s="719"/>
      <c r="K377" s="24">
        <f t="shared" si="68"/>
        <v>0.1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0.04</v>
      </c>
      <c r="F378" s="719"/>
      <c r="G378" s="24">
        <f t="shared" si="66"/>
        <v>0.02</v>
      </c>
      <c r="H378" s="719"/>
      <c r="I378" s="24">
        <f t="shared" si="67"/>
        <v>0.02</v>
      </c>
      <c r="J378" s="719"/>
      <c r="K378" s="24">
        <f t="shared" si="68"/>
        <v>0.1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0.04</v>
      </c>
      <c r="F379" s="719"/>
      <c r="G379" s="24">
        <f t="shared" si="66"/>
        <v>0.02</v>
      </c>
      <c r="H379" s="719"/>
      <c r="I379" s="24">
        <f t="shared" si="67"/>
        <v>0.02</v>
      </c>
      <c r="J379" s="719"/>
      <c r="K379" s="24">
        <f t="shared" si="68"/>
        <v>0.1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0.04</v>
      </c>
      <c r="F380" s="719"/>
      <c r="G380" s="24">
        <f t="shared" si="66"/>
        <v>0.02</v>
      </c>
      <c r="H380" s="719"/>
      <c r="I380" s="24">
        <f t="shared" si="67"/>
        <v>0.02</v>
      </c>
      <c r="J380" s="719"/>
      <c r="K380" s="24">
        <f t="shared" si="68"/>
        <v>0.1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0.04</v>
      </c>
      <c r="F381" s="719"/>
      <c r="G381" s="24">
        <f t="shared" si="66"/>
        <v>0.02</v>
      </c>
      <c r="H381" s="719"/>
      <c r="I381" s="24">
        <f t="shared" si="67"/>
        <v>0.02</v>
      </c>
      <c r="J381" s="719"/>
      <c r="K381" s="24">
        <f t="shared" si="68"/>
        <v>0.1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0.04</v>
      </c>
      <c r="F382" s="719"/>
      <c r="G382" s="24">
        <f t="shared" si="66"/>
        <v>0.02</v>
      </c>
      <c r="H382" s="719"/>
      <c r="I382" s="24">
        <f t="shared" si="67"/>
        <v>0.02</v>
      </c>
      <c r="J382" s="719"/>
      <c r="K382" s="24">
        <f t="shared" si="68"/>
        <v>0.1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0.04</v>
      </c>
      <c r="F383" s="719"/>
      <c r="G383" s="24">
        <f t="shared" si="66"/>
        <v>0.02</v>
      </c>
      <c r="H383" s="719"/>
      <c r="I383" s="24">
        <f t="shared" si="67"/>
        <v>0.02</v>
      </c>
      <c r="J383" s="719"/>
      <c r="K383" s="24">
        <f t="shared" si="68"/>
        <v>0.1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0.04</v>
      </c>
      <c r="F384" s="719"/>
      <c r="G384" s="24">
        <f t="shared" si="66"/>
        <v>0.02</v>
      </c>
      <c r="H384" s="719"/>
      <c r="I384" s="24">
        <f t="shared" si="67"/>
        <v>0.02</v>
      </c>
      <c r="J384" s="719"/>
      <c r="K384" s="24">
        <f t="shared" si="68"/>
        <v>0.1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0.04</v>
      </c>
      <c r="F385" s="719"/>
      <c r="G385" s="24">
        <f t="shared" si="66"/>
        <v>0.02</v>
      </c>
      <c r="H385" s="719"/>
      <c r="I385" s="24">
        <f t="shared" si="67"/>
        <v>0.02</v>
      </c>
      <c r="J385" s="719"/>
      <c r="K385" s="24">
        <f t="shared" si="68"/>
        <v>0.1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0.04</v>
      </c>
      <c r="F386" s="719"/>
      <c r="G386" s="24">
        <f t="shared" si="66"/>
        <v>0.02</v>
      </c>
      <c r="H386" s="719"/>
      <c r="I386" s="24">
        <f t="shared" si="67"/>
        <v>0.02</v>
      </c>
      <c r="J386" s="719"/>
      <c r="K386" s="24">
        <f t="shared" si="68"/>
        <v>0.1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0.04</v>
      </c>
      <c r="F387" s="719"/>
      <c r="G387" s="24">
        <f t="shared" si="66"/>
        <v>0.02</v>
      </c>
      <c r="H387" s="719"/>
      <c r="I387" s="24">
        <f t="shared" si="67"/>
        <v>0.02</v>
      </c>
      <c r="J387" s="719"/>
      <c r="K387" s="24">
        <f t="shared" si="68"/>
        <v>0.1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0.04</v>
      </c>
      <c r="F388" s="719"/>
      <c r="G388" s="24">
        <f t="shared" si="66"/>
        <v>0.02</v>
      </c>
      <c r="H388" s="719"/>
      <c r="I388" s="24">
        <f t="shared" si="67"/>
        <v>0.02</v>
      </c>
      <c r="J388" s="719"/>
      <c r="K388" s="24">
        <f t="shared" si="68"/>
        <v>0.1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0.04</v>
      </c>
      <c r="F389" s="719"/>
      <c r="G389" s="24">
        <f t="shared" si="66"/>
        <v>0.02</v>
      </c>
      <c r="H389" s="719"/>
      <c r="I389" s="24">
        <f t="shared" si="67"/>
        <v>0.02</v>
      </c>
      <c r="J389" s="719"/>
      <c r="K389" s="24">
        <f t="shared" si="68"/>
        <v>0.1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0.04</v>
      </c>
      <c r="F390" s="719"/>
      <c r="G390" s="24">
        <f t="shared" si="66"/>
        <v>0.02</v>
      </c>
      <c r="H390" s="719"/>
      <c r="I390" s="24">
        <f t="shared" si="67"/>
        <v>0.02</v>
      </c>
      <c r="J390" s="719"/>
      <c r="K390" s="24">
        <f t="shared" si="68"/>
        <v>0.1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0.04</v>
      </c>
      <c r="F391" s="719"/>
      <c r="G391" s="24">
        <f t="shared" si="66"/>
        <v>0.02</v>
      </c>
      <c r="H391" s="719"/>
      <c r="I391" s="24">
        <f t="shared" si="67"/>
        <v>0.02</v>
      </c>
      <c r="J391" s="719"/>
      <c r="K391" s="24">
        <f t="shared" si="68"/>
        <v>0.1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0.04</v>
      </c>
      <c r="F392" s="719"/>
      <c r="G392" s="24">
        <f t="shared" si="66"/>
        <v>0.02</v>
      </c>
      <c r="H392" s="719"/>
      <c r="I392" s="24">
        <f t="shared" si="67"/>
        <v>0.02</v>
      </c>
      <c r="J392" s="719"/>
      <c r="K392" s="24">
        <f t="shared" si="68"/>
        <v>0.1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0.04</v>
      </c>
      <c r="F393" s="719"/>
      <c r="G393" s="24">
        <f t="shared" si="66"/>
        <v>0.02</v>
      </c>
      <c r="H393" s="719"/>
      <c r="I393" s="24">
        <f t="shared" si="67"/>
        <v>0.02</v>
      </c>
      <c r="J393" s="719"/>
      <c r="K393" s="24">
        <f t="shared" si="68"/>
        <v>0.1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0.04</v>
      </c>
      <c r="F394" s="719"/>
      <c r="G394" s="24">
        <f t="shared" si="66"/>
        <v>0.02</v>
      </c>
      <c r="H394" s="719"/>
      <c r="I394" s="24">
        <f t="shared" si="67"/>
        <v>0.02</v>
      </c>
      <c r="J394" s="719"/>
      <c r="K394" s="24">
        <f t="shared" si="68"/>
        <v>0.1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0.04</v>
      </c>
      <c r="F395" s="719"/>
      <c r="G395" s="24">
        <f t="shared" si="66"/>
        <v>0.02</v>
      </c>
      <c r="H395" s="719"/>
      <c r="I395" s="24">
        <f t="shared" si="67"/>
        <v>0.02</v>
      </c>
      <c r="J395" s="719"/>
      <c r="K395" s="24">
        <f t="shared" si="68"/>
        <v>0.1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0.04</v>
      </c>
      <c r="F396" s="719"/>
      <c r="G396" s="24">
        <f t="shared" si="66"/>
        <v>0.02</v>
      </c>
      <c r="H396" s="719"/>
      <c r="I396" s="24">
        <f t="shared" si="67"/>
        <v>0.02</v>
      </c>
      <c r="J396" s="719"/>
      <c r="K396" s="24">
        <f t="shared" si="68"/>
        <v>0.1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0.04</v>
      </c>
      <c r="F397" s="719"/>
      <c r="G397" s="24">
        <f t="shared" si="66"/>
        <v>0.02</v>
      </c>
      <c r="H397" s="719"/>
      <c r="I397" s="24">
        <f t="shared" si="67"/>
        <v>0.02</v>
      </c>
      <c r="J397" s="719"/>
      <c r="K397" s="24">
        <f t="shared" si="68"/>
        <v>0.1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0.04</v>
      </c>
      <c r="F398" s="719"/>
      <c r="G398" s="24">
        <f t="shared" si="66"/>
        <v>0.02</v>
      </c>
      <c r="H398" s="719"/>
      <c r="I398" s="24">
        <f t="shared" si="67"/>
        <v>0.02</v>
      </c>
      <c r="J398" s="719"/>
      <c r="K398" s="24">
        <f t="shared" si="68"/>
        <v>0.1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0.04</v>
      </c>
      <c r="F399" s="719"/>
      <c r="G399" s="24">
        <f t="shared" si="66"/>
        <v>0.02</v>
      </c>
      <c r="H399" s="719"/>
      <c r="I399" s="24">
        <f t="shared" si="67"/>
        <v>0.02</v>
      </c>
      <c r="J399" s="719"/>
      <c r="K399" s="24">
        <f t="shared" si="68"/>
        <v>0.1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0.04</v>
      </c>
      <c r="F400" s="719"/>
      <c r="G400" s="24">
        <f t="shared" si="66"/>
        <v>0.02</v>
      </c>
      <c r="H400" s="719"/>
      <c r="I400" s="24">
        <f t="shared" si="67"/>
        <v>0.02</v>
      </c>
      <c r="J400" s="719"/>
      <c r="K400" s="24">
        <f t="shared" si="68"/>
        <v>0.1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0.04</v>
      </c>
      <c r="F401" s="719"/>
      <c r="G401" s="24">
        <f t="shared" si="66"/>
        <v>0.02</v>
      </c>
      <c r="H401" s="719"/>
      <c r="I401" s="24">
        <f t="shared" si="67"/>
        <v>0.02</v>
      </c>
      <c r="J401" s="719"/>
      <c r="K401" s="24">
        <f t="shared" si="68"/>
        <v>0.1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0.04</v>
      </c>
      <c r="F402" s="719"/>
      <c r="G402" s="24">
        <f t="shared" si="66"/>
        <v>0.02</v>
      </c>
      <c r="H402" s="719"/>
      <c r="I402" s="24">
        <f t="shared" si="67"/>
        <v>0.02</v>
      </c>
      <c r="J402" s="719"/>
      <c r="K402" s="24">
        <f t="shared" si="68"/>
        <v>0.1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0.04</v>
      </c>
      <c r="F403" s="719"/>
      <c r="G403" s="24">
        <f t="shared" si="66"/>
        <v>0.02</v>
      </c>
      <c r="H403" s="719"/>
      <c r="I403" s="24">
        <f t="shared" si="67"/>
        <v>0.02</v>
      </c>
      <c r="J403" s="719"/>
      <c r="K403" s="24">
        <f t="shared" si="68"/>
        <v>0.1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0.04</v>
      </c>
      <c r="F404" s="719"/>
      <c r="G404" s="24">
        <f t="shared" si="66"/>
        <v>0.02</v>
      </c>
      <c r="H404" s="719"/>
      <c r="I404" s="24">
        <f t="shared" si="67"/>
        <v>0.02</v>
      </c>
      <c r="J404" s="719"/>
      <c r="K404" s="24">
        <f t="shared" si="68"/>
        <v>0.1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0.04</v>
      </c>
      <c r="F405" s="719"/>
      <c r="G405" s="24">
        <f t="shared" si="66"/>
        <v>0.02</v>
      </c>
      <c r="H405" s="719"/>
      <c r="I405" s="24">
        <f t="shared" si="67"/>
        <v>0.02</v>
      </c>
      <c r="J405" s="719"/>
      <c r="K405" s="24">
        <f t="shared" si="68"/>
        <v>0.1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0.04</v>
      </c>
      <c r="F406" s="719"/>
      <c r="G406" s="24">
        <f t="shared" si="66"/>
        <v>0.02</v>
      </c>
      <c r="H406" s="719"/>
      <c r="I406" s="24">
        <f t="shared" si="67"/>
        <v>0.02</v>
      </c>
      <c r="J406" s="719"/>
      <c r="K406" s="24">
        <f t="shared" si="68"/>
        <v>0.1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0.04</v>
      </c>
      <c r="F407" s="719"/>
      <c r="G407" s="24">
        <f t="shared" si="66"/>
        <v>0.02</v>
      </c>
      <c r="H407" s="719"/>
      <c r="I407" s="24">
        <f t="shared" si="67"/>
        <v>0.02</v>
      </c>
      <c r="J407" s="719"/>
      <c r="K407" s="24">
        <f t="shared" si="68"/>
        <v>0.1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0.04</v>
      </c>
      <c r="F408" s="719"/>
      <c r="G408" s="24">
        <f t="shared" si="66"/>
        <v>0.02</v>
      </c>
      <c r="H408" s="719"/>
      <c r="I408" s="24">
        <f t="shared" si="67"/>
        <v>0.02</v>
      </c>
      <c r="J408" s="719"/>
      <c r="K408" s="24">
        <f t="shared" si="68"/>
        <v>0.1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0.04</v>
      </c>
      <c r="F409" s="719"/>
      <c r="G409" s="24">
        <f t="shared" si="66"/>
        <v>0.02</v>
      </c>
      <c r="H409" s="719"/>
      <c r="I409" s="24">
        <f t="shared" si="67"/>
        <v>0.02</v>
      </c>
      <c r="J409" s="719"/>
      <c r="K409" s="24">
        <f t="shared" si="68"/>
        <v>0.1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0.04</v>
      </c>
      <c r="F410" s="719"/>
      <c r="G410" s="24">
        <f t="shared" ref="G410:G473" si="76">(SUMIF($7:$7,F410,$8:$8)-SUMIF($7:$7,$F$24,$8:$8)+100)/100</f>
        <v>0.02</v>
      </c>
      <c r="H410" s="719"/>
      <c r="I410" s="24">
        <f t="shared" ref="I410:I473" si="77">(SUMIF($9:$9,H410,$10:$10)-SUMIF($9:$9,$H$24,$10:$10)+100)/100</f>
        <v>0.02</v>
      </c>
      <c r="J410" s="719"/>
      <c r="K410" s="24">
        <f t="shared" ref="K410:K473" si="78">(SUMIF($11:$11,J410,$12:$12)-SUMIF($11:$11,$J$24,$12:$12)+100)/100</f>
        <v>0.1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0.04</v>
      </c>
      <c r="F411" s="719"/>
      <c r="G411" s="24">
        <f t="shared" si="76"/>
        <v>0.02</v>
      </c>
      <c r="H411" s="719"/>
      <c r="I411" s="24">
        <f t="shared" si="77"/>
        <v>0.02</v>
      </c>
      <c r="J411" s="719"/>
      <c r="K411" s="24">
        <f t="shared" si="78"/>
        <v>0.1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0.04</v>
      </c>
      <c r="F412" s="719"/>
      <c r="G412" s="24">
        <f t="shared" si="76"/>
        <v>0.02</v>
      </c>
      <c r="H412" s="719"/>
      <c r="I412" s="24">
        <f t="shared" si="77"/>
        <v>0.02</v>
      </c>
      <c r="J412" s="719"/>
      <c r="K412" s="24">
        <f t="shared" si="78"/>
        <v>0.1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0.04</v>
      </c>
      <c r="F413" s="719"/>
      <c r="G413" s="24">
        <f t="shared" si="76"/>
        <v>0.02</v>
      </c>
      <c r="H413" s="719"/>
      <c r="I413" s="24">
        <f t="shared" si="77"/>
        <v>0.02</v>
      </c>
      <c r="J413" s="719"/>
      <c r="K413" s="24">
        <f t="shared" si="78"/>
        <v>0.1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0.04</v>
      </c>
      <c r="F414" s="719"/>
      <c r="G414" s="24">
        <f t="shared" si="76"/>
        <v>0.02</v>
      </c>
      <c r="H414" s="719"/>
      <c r="I414" s="24">
        <f t="shared" si="77"/>
        <v>0.02</v>
      </c>
      <c r="J414" s="719"/>
      <c r="K414" s="24">
        <f t="shared" si="78"/>
        <v>0.1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0.04</v>
      </c>
      <c r="F415" s="719"/>
      <c r="G415" s="24">
        <f t="shared" si="76"/>
        <v>0.02</v>
      </c>
      <c r="H415" s="719"/>
      <c r="I415" s="24">
        <f t="shared" si="77"/>
        <v>0.02</v>
      </c>
      <c r="J415" s="719"/>
      <c r="K415" s="24">
        <f t="shared" si="78"/>
        <v>0.1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0.04</v>
      </c>
      <c r="F416" s="719"/>
      <c r="G416" s="24">
        <f t="shared" si="76"/>
        <v>0.02</v>
      </c>
      <c r="H416" s="719"/>
      <c r="I416" s="24">
        <f t="shared" si="77"/>
        <v>0.02</v>
      </c>
      <c r="J416" s="719"/>
      <c r="K416" s="24">
        <f t="shared" si="78"/>
        <v>0.1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0.04</v>
      </c>
      <c r="F417" s="719"/>
      <c r="G417" s="24">
        <f t="shared" si="76"/>
        <v>0.02</v>
      </c>
      <c r="H417" s="719"/>
      <c r="I417" s="24">
        <f t="shared" si="77"/>
        <v>0.02</v>
      </c>
      <c r="J417" s="719"/>
      <c r="K417" s="24">
        <f t="shared" si="78"/>
        <v>0.1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0.04</v>
      </c>
      <c r="F418" s="719"/>
      <c r="G418" s="24">
        <f t="shared" si="76"/>
        <v>0.02</v>
      </c>
      <c r="H418" s="719"/>
      <c r="I418" s="24">
        <f t="shared" si="77"/>
        <v>0.02</v>
      </c>
      <c r="J418" s="719"/>
      <c r="K418" s="24">
        <f t="shared" si="78"/>
        <v>0.1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0.04</v>
      </c>
      <c r="F419" s="719"/>
      <c r="G419" s="24">
        <f t="shared" si="76"/>
        <v>0.02</v>
      </c>
      <c r="H419" s="719"/>
      <c r="I419" s="24">
        <f t="shared" si="77"/>
        <v>0.02</v>
      </c>
      <c r="J419" s="719"/>
      <c r="K419" s="24">
        <f t="shared" si="78"/>
        <v>0.1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0.04</v>
      </c>
      <c r="F420" s="719"/>
      <c r="G420" s="24">
        <f t="shared" si="76"/>
        <v>0.02</v>
      </c>
      <c r="H420" s="719"/>
      <c r="I420" s="24">
        <f t="shared" si="77"/>
        <v>0.02</v>
      </c>
      <c r="J420" s="719"/>
      <c r="K420" s="24">
        <f t="shared" si="78"/>
        <v>0.1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0.04</v>
      </c>
      <c r="F421" s="719"/>
      <c r="G421" s="24">
        <f t="shared" si="76"/>
        <v>0.02</v>
      </c>
      <c r="H421" s="719"/>
      <c r="I421" s="24">
        <f t="shared" si="77"/>
        <v>0.02</v>
      </c>
      <c r="J421" s="719"/>
      <c r="K421" s="24">
        <f t="shared" si="78"/>
        <v>0.1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0.04</v>
      </c>
      <c r="F422" s="719"/>
      <c r="G422" s="24">
        <f t="shared" si="76"/>
        <v>0.02</v>
      </c>
      <c r="H422" s="719"/>
      <c r="I422" s="24">
        <f t="shared" si="77"/>
        <v>0.02</v>
      </c>
      <c r="J422" s="719"/>
      <c r="K422" s="24">
        <f t="shared" si="78"/>
        <v>0.1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0.04</v>
      </c>
      <c r="F423" s="719"/>
      <c r="G423" s="24">
        <f t="shared" si="76"/>
        <v>0.02</v>
      </c>
      <c r="H423" s="719"/>
      <c r="I423" s="24">
        <f t="shared" si="77"/>
        <v>0.02</v>
      </c>
      <c r="J423" s="719"/>
      <c r="K423" s="24">
        <f t="shared" si="78"/>
        <v>0.1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0.04</v>
      </c>
      <c r="F424" s="719"/>
      <c r="G424" s="24">
        <f t="shared" si="76"/>
        <v>0.02</v>
      </c>
      <c r="H424" s="719"/>
      <c r="I424" s="24">
        <f t="shared" si="77"/>
        <v>0.02</v>
      </c>
      <c r="J424" s="719"/>
      <c r="K424" s="24">
        <f t="shared" si="78"/>
        <v>0.1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0.04</v>
      </c>
      <c r="F425" s="719"/>
      <c r="G425" s="24">
        <f t="shared" si="76"/>
        <v>0.02</v>
      </c>
      <c r="H425" s="719"/>
      <c r="I425" s="24">
        <f t="shared" si="77"/>
        <v>0.02</v>
      </c>
      <c r="J425" s="719"/>
      <c r="K425" s="24">
        <f t="shared" si="78"/>
        <v>0.1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0.04</v>
      </c>
      <c r="F426" s="719"/>
      <c r="G426" s="24">
        <f t="shared" si="76"/>
        <v>0.02</v>
      </c>
      <c r="H426" s="719"/>
      <c r="I426" s="24">
        <f t="shared" si="77"/>
        <v>0.02</v>
      </c>
      <c r="J426" s="719"/>
      <c r="K426" s="24">
        <f t="shared" si="78"/>
        <v>0.1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0.04</v>
      </c>
      <c r="F427" s="719"/>
      <c r="G427" s="24">
        <f t="shared" si="76"/>
        <v>0.02</v>
      </c>
      <c r="H427" s="719"/>
      <c r="I427" s="24">
        <f t="shared" si="77"/>
        <v>0.02</v>
      </c>
      <c r="J427" s="719"/>
      <c r="K427" s="24">
        <f t="shared" si="78"/>
        <v>0.1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0.04</v>
      </c>
      <c r="F428" s="719"/>
      <c r="G428" s="24">
        <f t="shared" si="76"/>
        <v>0.02</v>
      </c>
      <c r="H428" s="719"/>
      <c r="I428" s="24">
        <f t="shared" si="77"/>
        <v>0.02</v>
      </c>
      <c r="J428" s="719"/>
      <c r="K428" s="24">
        <f t="shared" si="78"/>
        <v>0.1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0.04</v>
      </c>
      <c r="F429" s="719"/>
      <c r="G429" s="24">
        <f t="shared" si="76"/>
        <v>0.02</v>
      </c>
      <c r="H429" s="719"/>
      <c r="I429" s="24">
        <f t="shared" si="77"/>
        <v>0.02</v>
      </c>
      <c r="J429" s="719"/>
      <c r="K429" s="24">
        <f t="shared" si="78"/>
        <v>0.1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0.04</v>
      </c>
      <c r="F430" s="719"/>
      <c r="G430" s="24">
        <f t="shared" si="76"/>
        <v>0.02</v>
      </c>
      <c r="H430" s="719"/>
      <c r="I430" s="24">
        <f t="shared" si="77"/>
        <v>0.02</v>
      </c>
      <c r="J430" s="719"/>
      <c r="K430" s="24">
        <f t="shared" si="78"/>
        <v>0.1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0.04</v>
      </c>
      <c r="F431" s="719"/>
      <c r="G431" s="24">
        <f t="shared" si="76"/>
        <v>0.02</v>
      </c>
      <c r="H431" s="719"/>
      <c r="I431" s="24">
        <f t="shared" si="77"/>
        <v>0.02</v>
      </c>
      <c r="J431" s="719"/>
      <c r="K431" s="24">
        <f t="shared" si="78"/>
        <v>0.1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0.04</v>
      </c>
      <c r="F432" s="719"/>
      <c r="G432" s="24">
        <f t="shared" si="76"/>
        <v>0.02</v>
      </c>
      <c r="H432" s="719"/>
      <c r="I432" s="24">
        <f t="shared" si="77"/>
        <v>0.02</v>
      </c>
      <c r="J432" s="719"/>
      <c r="K432" s="24">
        <f t="shared" si="78"/>
        <v>0.1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0.04</v>
      </c>
      <c r="F433" s="719"/>
      <c r="G433" s="24">
        <f t="shared" si="76"/>
        <v>0.02</v>
      </c>
      <c r="H433" s="719"/>
      <c r="I433" s="24">
        <f t="shared" si="77"/>
        <v>0.02</v>
      </c>
      <c r="J433" s="719"/>
      <c r="K433" s="24">
        <f t="shared" si="78"/>
        <v>0.1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0.04</v>
      </c>
      <c r="F434" s="719"/>
      <c r="G434" s="24">
        <f t="shared" si="76"/>
        <v>0.02</v>
      </c>
      <c r="H434" s="719"/>
      <c r="I434" s="24">
        <f t="shared" si="77"/>
        <v>0.02</v>
      </c>
      <c r="J434" s="719"/>
      <c r="K434" s="24">
        <f t="shared" si="78"/>
        <v>0.1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0.04</v>
      </c>
      <c r="F435" s="719"/>
      <c r="G435" s="24">
        <f t="shared" si="76"/>
        <v>0.02</v>
      </c>
      <c r="H435" s="719"/>
      <c r="I435" s="24">
        <f t="shared" si="77"/>
        <v>0.02</v>
      </c>
      <c r="J435" s="719"/>
      <c r="K435" s="24">
        <f t="shared" si="78"/>
        <v>0.1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0.04</v>
      </c>
      <c r="F436" s="719"/>
      <c r="G436" s="24">
        <f t="shared" si="76"/>
        <v>0.02</v>
      </c>
      <c r="H436" s="719"/>
      <c r="I436" s="24">
        <f t="shared" si="77"/>
        <v>0.02</v>
      </c>
      <c r="J436" s="719"/>
      <c r="K436" s="24">
        <f t="shared" si="78"/>
        <v>0.1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0.04</v>
      </c>
      <c r="F437" s="719"/>
      <c r="G437" s="24">
        <f t="shared" si="76"/>
        <v>0.02</v>
      </c>
      <c r="H437" s="719"/>
      <c r="I437" s="24">
        <f t="shared" si="77"/>
        <v>0.02</v>
      </c>
      <c r="J437" s="719"/>
      <c r="K437" s="24">
        <f t="shared" si="78"/>
        <v>0.1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0.04</v>
      </c>
      <c r="F438" s="719"/>
      <c r="G438" s="24">
        <f t="shared" si="76"/>
        <v>0.02</v>
      </c>
      <c r="H438" s="719"/>
      <c r="I438" s="24">
        <f t="shared" si="77"/>
        <v>0.02</v>
      </c>
      <c r="J438" s="719"/>
      <c r="K438" s="24">
        <f t="shared" si="78"/>
        <v>0.1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0.04</v>
      </c>
      <c r="F439" s="719"/>
      <c r="G439" s="24">
        <f t="shared" si="76"/>
        <v>0.02</v>
      </c>
      <c r="H439" s="719"/>
      <c r="I439" s="24">
        <f t="shared" si="77"/>
        <v>0.02</v>
      </c>
      <c r="J439" s="719"/>
      <c r="K439" s="24">
        <f t="shared" si="78"/>
        <v>0.1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0.04</v>
      </c>
      <c r="F440" s="719"/>
      <c r="G440" s="24">
        <f t="shared" si="76"/>
        <v>0.02</v>
      </c>
      <c r="H440" s="719"/>
      <c r="I440" s="24">
        <f t="shared" si="77"/>
        <v>0.02</v>
      </c>
      <c r="J440" s="719"/>
      <c r="K440" s="24">
        <f t="shared" si="78"/>
        <v>0.1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0.04</v>
      </c>
      <c r="F441" s="719"/>
      <c r="G441" s="24">
        <f t="shared" si="76"/>
        <v>0.02</v>
      </c>
      <c r="H441" s="719"/>
      <c r="I441" s="24">
        <f t="shared" si="77"/>
        <v>0.02</v>
      </c>
      <c r="J441" s="719"/>
      <c r="K441" s="24">
        <f t="shared" si="78"/>
        <v>0.1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0.04</v>
      </c>
      <c r="F442" s="719"/>
      <c r="G442" s="24">
        <f t="shared" si="76"/>
        <v>0.02</v>
      </c>
      <c r="H442" s="719"/>
      <c r="I442" s="24">
        <f t="shared" si="77"/>
        <v>0.02</v>
      </c>
      <c r="J442" s="719"/>
      <c r="K442" s="24">
        <f t="shared" si="78"/>
        <v>0.1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0.04</v>
      </c>
      <c r="F443" s="719"/>
      <c r="G443" s="24">
        <f t="shared" si="76"/>
        <v>0.02</v>
      </c>
      <c r="H443" s="719"/>
      <c r="I443" s="24">
        <f t="shared" si="77"/>
        <v>0.02</v>
      </c>
      <c r="J443" s="719"/>
      <c r="K443" s="24">
        <f t="shared" si="78"/>
        <v>0.1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0.04</v>
      </c>
      <c r="F444" s="719"/>
      <c r="G444" s="24">
        <f t="shared" si="76"/>
        <v>0.02</v>
      </c>
      <c r="H444" s="719"/>
      <c r="I444" s="24">
        <f t="shared" si="77"/>
        <v>0.02</v>
      </c>
      <c r="J444" s="719"/>
      <c r="K444" s="24">
        <f t="shared" si="78"/>
        <v>0.1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0.04</v>
      </c>
      <c r="F445" s="719"/>
      <c r="G445" s="24">
        <f t="shared" si="76"/>
        <v>0.02</v>
      </c>
      <c r="H445" s="719"/>
      <c r="I445" s="24">
        <f t="shared" si="77"/>
        <v>0.02</v>
      </c>
      <c r="J445" s="719"/>
      <c r="K445" s="24">
        <f t="shared" si="78"/>
        <v>0.1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0.04</v>
      </c>
      <c r="F446" s="719"/>
      <c r="G446" s="24">
        <f t="shared" si="76"/>
        <v>0.02</v>
      </c>
      <c r="H446" s="719"/>
      <c r="I446" s="24">
        <f t="shared" si="77"/>
        <v>0.02</v>
      </c>
      <c r="J446" s="719"/>
      <c r="K446" s="24">
        <f t="shared" si="78"/>
        <v>0.1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0.04</v>
      </c>
      <c r="F447" s="719"/>
      <c r="G447" s="24">
        <f t="shared" si="76"/>
        <v>0.02</v>
      </c>
      <c r="H447" s="719"/>
      <c r="I447" s="24">
        <f t="shared" si="77"/>
        <v>0.02</v>
      </c>
      <c r="J447" s="719"/>
      <c r="K447" s="24">
        <f t="shared" si="78"/>
        <v>0.1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0.04</v>
      </c>
      <c r="F448" s="719"/>
      <c r="G448" s="24">
        <f t="shared" si="76"/>
        <v>0.02</v>
      </c>
      <c r="H448" s="719"/>
      <c r="I448" s="24">
        <f t="shared" si="77"/>
        <v>0.02</v>
      </c>
      <c r="J448" s="719"/>
      <c r="K448" s="24">
        <f t="shared" si="78"/>
        <v>0.1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0.04</v>
      </c>
      <c r="F449" s="719"/>
      <c r="G449" s="24">
        <f t="shared" si="76"/>
        <v>0.02</v>
      </c>
      <c r="H449" s="719"/>
      <c r="I449" s="24">
        <f t="shared" si="77"/>
        <v>0.02</v>
      </c>
      <c r="J449" s="719"/>
      <c r="K449" s="24">
        <f t="shared" si="78"/>
        <v>0.1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0.04</v>
      </c>
      <c r="F450" s="719"/>
      <c r="G450" s="24">
        <f t="shared" si="76"/>
        <v>0.02</v>
      </c>
      <c r="H450" s="719"/>
      <c r="I450" s="24">
        <f t="shared" si="77"/>
        <v>0.02</v>
      </c>
      <c r="J450" s="719"/>
      <c r="K450" s="24">
        <f t="shared" si="78"/>
        <v>0.1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0.04</v>
      </c>
      <c r="F451" s="719"/>
      <c r="G451" s="24">
        <f t="shared" si="76"/>
        <v>0.02</v>
      </c>
      <c r="H451" s="719"/>
      <c r="I451" s="24">
        <f t="shared" si="77"/>
        <v>0.02</v>
      </c>
      <c r="J451" s="719"/>
      <c r="K451" s="24">
        <f t="shared" si="78"/>
        <v>0.1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0.04</v>
      </c>
      <c r="F452" s="719"/>
      <c r="G452" s="24">
        <f t="shared" si="76"/>
        <v>0.02</v>
      </c>
      <c r="H452" s="719"/>
      <c r="I452" s="24">
        <f t="shared" si="77"/>
        <v>0.02</v>
      </c>
      <c r="J452" s="719"/>
      <c r="K452" s="24">
        <f t="shared" si="78"/>
        <v>0.1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0.04</v>
      </c>
      <c r="F453" s="719"/>
      <c r="G453" s="24">
        <f t="shared" si="76"/>
        <v>0.02</v>
      </c>
      <c r="H453" s="719"/>
      <c r="I453" s="24">
        <f t="shared" si="77"/>
        <v>0.02</v>
      </c>
      <c r="J453" s="719"/>
      <c r="K453" s="24">
        <f t="shared" si="78"/>
        <v>0.1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0.04</v>
      </c>
      <c r="F454" s="719"/>
      <c r="G454" s="24">
        <f t="shared" si="76"/>
        <v>0.02</v>
      </c>
      <c r="H454" s="719"/>
      <c r="I454" s="24">
        <f t="shared" si="77"/>
        <v>0.02</v>
      </c>
      <c r="J454" s="719"/>
      <c r="K454" s="24">
        <f t="shared" si="78"/>
        <v>0.1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0.04</v>
      </c>
      <c r="F455" s="719"/>
      <c r="G455" s="24">
        <f t="shared" si="76"/>
        <v>0.02</v>
      </c>
      <c r="H455" s="719"/>
      <c r="I455" s="24">
        <f t="shared" si="77"/>
        <v>0.02</v>
      </c>
      <c r="J455" s="719"/>
      <c r="K455" s="24">
        <f t="shared" si="78"/>
        <v>0.1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0.04</v>
      </c>
      <c r="F456" s="719"/>
      <c r="G456" s="24">
        <f t="shared" si="76"/>
        <v>0.02</v>
      </c>
      <c r="H456" s="719"/>
      <c r="I456" s="24">
        <f t="shared" si="77"/>
        <v>0.02</v>
      </c>
      <c r="J456" s="719"/>
      <c r="K456" s="24">
        <f t="shared" si="78"/>
        <v>0.1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0.04</v>
      </c>
      <c r="F457" s="719"/>
      <c r="G457" s="24">
        <f t="shared" si="76"/>
        <v>0.02</v>
      </c>
      <c r="H457" s="719"/>
      <c r="I457" s="24">
        <f t="shared" si="77"/>
        <v>0.02</v>
      </c>
      <c r="J457" s="719"/>
      <c r="K457" s="24">
        <f t="shared" si="78"/>
        <v>0.1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0.04</v>
      </c>
      <c r="F458" s="719"/>
      <c r="G458" s="24">
        <f t="shared" si="76"/>
        <v>0.02</v>
      </c>
      <c r="H458" s="719"/>
      <c r="I458" s="24">
        <f t="shared" si="77"/>
        <v>0.02</v>
      </c>
      <c r="J458" s="719"/>
      <c r="K458" s="24">
        <f t="shared" si="78"/>
        <v>0.1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0.04</v>
      </c>
      <c r="F459" s="719"/>
      <c r="G459" s="24">
        <f t="shared" si="76"/>
        <v>0.02</v>
      </c>
      <c r="H459" s="719"/>
      <c r="I459" s="24">
        <f t="shared" si="77"/>
        <v>0.02</v>
      </c>
      <c r="J459" s="719"/>
      <c r="K459" s="24">
        <f t="shared" si="78"/>
        <v>0.1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0.04</v>
      </c>
      <c r="F460" s="719"/>
      <c r="G460" s="24">
        <f t="shared" si="76"/>
        <v>0.02</v>
      </c>
      <c r="H460" s="719"/>
      <c r="I460" s="24">
        <f t="shared" si="77"/>
        <v>0.02</v>
      </c>
      <c r="J460" s="719"/>
      <c r="K460" s="24">
        <f t="shared" si="78"/>
        <v>0.1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0.04</v>
      </c>
      <c r="F461" s="719"/>
      <c r="G461" s="24">
        <f t="shared" si="76"/>
        <v>0.02</v>
      </c>
      <c r="H461" s="719"/>
      <c r="I461" s="24">
        <f t="shared" si="77"/>
        <v>0.02</v>
      </c>
      <c r="J461" s="719"/>
      <c r="K461" s="24">
        <f t="shared" si="78"/>
        <v>0.1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0.04</v>
      </c>
      <c r="F462" s="719"/>
      <c r="G462" s="24">
        <f t="shared" si="76"/>
        <v>0.02</v>
      </c>
      <c r="H462" s="719"/>
      <c r="I462" s="24">
        <f t="shared" si="77"/>
        <v>0.02</v>
      </c>
      <c r="J462" s="719"/>
      <c r="K462" s="24">
        <f t="shared" si="78"/>
        <v>0.1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0.04</v>
      </c>
      <c r="F463" s="719"/>
      <c r="G463" s="24">
        <f t="shared" si="76"/>
        <v>0.02</v>
      </c>
      <c r="H463" s="719"/>
      <c r="I463" s="24">
        <f t="shared" si="77"/>
        <v>0.02</v>
      </c>
      <c r="J463" s="719"/>
      <c r="K463" s="24">
        <f t="shared" si="78"/>
        <v>0.1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0.04</v>
      </c>
      <c r="F464" s="719"/>
      <c r="G464" s="24">
        <f t="shared" si="76"/>
        <v>0.02</v>
      </c>
      <c r="H464" s="719"/>
      <c r="I464" s="24">
        <f t="shared" si="77"/>
        <v>0.02</v>
      </c>
      <c r="J464" s="719"/>
      <c r="K464" s="24">
        <f t="shared" si="78"/>
        <v>0.1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0.04</v>
      </c>
      <c r="F465" s="719"/>
      <c r="G465" s="24">
        <f t="shared" si="76"/>
        <v>0.02</v>
      </c>
      <c r="H465" s="719"/>
      <c r="I465" s="24">
        <f t="shared" si="77"/>
        <v>0.02</v>
      </c>
      <c r="J465" s="719"/>
      <c r="K465" s="24">
        <f t="shared" si="78"/>
        <v>0.1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0.04</v>
      </c>
      <c r="F466" s="719"/>
      <c r="G466" s="24">
        <f t="shared" si="76"/>
        <v>0.02</v>
      </c>
      <c r="H466" s="719"/>
      <c r="I466" s="24">
        <f t="shared" si="77"/>
        <v>0.02</v>
      </c>
      <c r="J466" s="719"/>
      <c r="K466" s="24">
        <f t="shared" si="78"/>
        <v>0.1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0.04</v>
      </c>
      <c r="F467" s="719"/>
      <c r="G467" s="24">
        <f t="shared" si="76"/>
        <v>0.02</v>
      </c>
      <c r="H467" s="719"/>
      <c r="I467" s="24">
        <f t="shared" si="77"/>
        <v>0.02</v>
      </c>
      <c r="J467" s="719"/>
      <c r="K467" s="24">
        <f t="shared" si="78"/>
        <v>0.1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0.04</v>
      </c>
      <c r="F468" s="719"/>
      <c r="G468" s="24">
        <f t="shared" si="76"/>
        <v>0.02</v>
      </c>
      <c r="H468" s="719"/>
      <c r="I468" s="24">
        <f t="shared" si="77"/>
        <v>0.02</v>
      </c>
      <c r="J468" s="719"/>
      <c r="K468" s="24">
        <f t="shared" si="78"/>
        <v>0.1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0.04</v>
      </c>
      <c r="F469" s="719"/>
      <c r="G469" s="24">
        <f t="shared" si="76"/>
        <v>0.02</v>
      </c>
      <c r="H469" s="719"/>
      <c r="I469" s="24">
        <f t="shared" si="77"/>
        <v>0.02</v>
      </c>
      <c r="J469" s="719"/>
      <c r="K469" s="24">
        <f t="shared" si="78"/>
        <v>0.1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0.04</v>
      </c>
      <c r="F470" s="719"/>
      <c r="G470" s="24">
        <f t="shared" si="76"/>
        <v>0.02</v>
      </c>
      <c r="H470" s="719"/>
      <c r="I470" s="24">
        <f t="shared" si="77"/>
        <v>0.02</v>
      </c>
      <c r="J470" s="719"/>
      <c r="K470" s="24">
        <f t="shared" si="78"/>
        <v>0.1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0.04</v>
      </c>
      <c r="F471" s="719"/>
      <c r="G471" s="24">
        <f t="shared" si="76"/>
        <v>0.02</v>
      </c>
      <c r="H471" s="719"/>
      <c r="I471" s="24">
        <f t="shared" si="77"/>
        <v>0.02</v>
      </c>
      <c r="J471" s="719"/>
      <c r="K471" s="24">
        <f t="shared" si="78"/>
        <v>0.1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0.04</v>
      </c>
      <c r="F472" s="719"/>
      <c r="G472" s="24">
        <f t="shared" si="76"/>
        <v>0.02</v>
      </c>
      <c r="H472" s="719"/>
      <c r="I472" s="24">
        <f t="shared" si="77"/>
        <v>0.02</v>
      </c>
      <c r="J472" s="719"/>
      <c r="K472" s="24">
        <f t="shared" si="78"/>
        <v>0.1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0.04</v>
      </c>
      <c r="F473" s="719"/>
      <c r="G473" s="24">
        <f t="shared" si="76"/>
        <v>0.02</v>
      </c>
      <c r="H473" s="719"/>
      <c r="I473" s="24">
        <f t="shared" si="77"/>
        <v>0.02</v>
      </c>
      <c r="J473" s="719"/>
      <c r="K473" s="24">
        <f t="shared" si="78"/>
        <v>0.1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0.04</v>
      </c>
      <c r="F474" s="719"/>
      <c r="G474" s="24">
        <f t="shared" ref="G474:G524" si="87">(SUMIF($7:$7,F474,$8:$8)-SUMIF($7:$7,$F$24,$8:$8)+100)/100</f>
        <v>0.02</v>
      </c>
      <c r="H474" s="719"/>
      <c r="I474" s="24">
        <f t="shared" ref="I474:I524" si="88">(SUMIF($9:$9,H474,$10:$10)-SUMIF($9:$9,$H$24,$10:$10)+100)/100</f>
        <v>0.02</v>
      </c>
      <c r="J474" s="719"/>
      <c r="K474" s="24">
        <f t="shared" ref="K474:K524" si="89">(SUMIF($11:$11,J474,$12:$12)-SUMIF($11:$11,$J$24,$12:$12)+100)/100</f>
        <v>0.1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0.04</v>
      </c>
      <c r="F475" s="719"/>
      <c r="G475" s="24">
        <f t="shared" si="87"/>
        <v>0.02</v>
      </c>
      <c r="H475" s="719"/>
      <c r="I475" s="24">
        <f t="shared" si="88"/>
        <v>0.02</v>
      </c>
      <c r="J475" s="719"/>
      <c r="K475" s="24">
        <f t="shared" si="89"/>
        <v>0.1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0.04</v>
      </c>
      <c r="F476" s="719"/>
      <c r="G476" s="24">
        <f t="shared" si="87"/>
        <v>0.02</v>
      </c>
      <c r="H476" s="719"/>
      <c r="I476" s="24">
        <f t="shared" si="88"/>
        <v>0.02</v>
      </c>
      <c r="J476" s="719"/>
      <c r="K476" s="24">
        <f t="shared" si="89"/>
        <v>0.1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0.04</v>
      </c>
      <c r="F477" s="719"/>
      <c r="G477" s="24">
        <f t="shared" si="87"/>
        <v>0.02</v>
      </c>
      <c r="H477" s="719"/>
      <c r="I477" s="24">
        <f t="shared" si="88"/>
        <v>0.02</v>
      </c>
      <c r="J477" s="719"/>
      <c r="K477" s="24">
        <f t="shared" si="89"/>
        <v>0.1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0.04</v>
      </c>
      <c r="F478" s="719"/>
      <c r="G478" s="24">
        <f t="shared" si="87"/>
        <v>0.02</v>
      </c>
      <c r="H478" s="719"/>
      <c r="I478" s="24">
        <f t="shared" si="88"/>
        <v>0.02</v>
      </c>
      <c r="J478" s="719"/>
      <c r="K478" s="24">
        <f t="shared" si="89"/>
        <v>0.1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0.04</v>
      </c>
      <c r="F479" s="719"/>
      <c r="G479" s="24">
        <f t="shared" si="87"/>
        <v>0.02</v>
      </c>
      <c r="H479" s="719"/>
      <c r="I479" s="24">
        <f t="shared" si="88"/>
        <v>0.02</v>
      </c>
      <c r="J479" s="719"/>
      <c r="K479" s="24">
        <f t="shared" si="89"/>
        <v>0.1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0.04</v>
      </c>
      <c r="F480" s="719"/>
      <c r="G480" s="24">
        <f t="shared" si="87"/>
        <v>0.02</v>
      </c>
      <c r="H480" s="719"/>
      <c r="I480" s="24">
        <f t="shared" si="88"/>
        <v>0.02</v>
      </c>
      <c r="J480" s="719"/>
      <c r="K480" s="24">
        <f t="shared" si="89"/>
        <v>0.1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0.04</v>
      </c>
      <c r="F481" s="719"/>
      <c r="G481" s="24">
        <f t="shared" si="87"/>
        <v>0.02</v>
      </c>
      <c r="H481" s="719"/>
      <c r="I481" s="24">
        <f t="shared" si="88"/>
        <v>0.02</v>
      </c>
      <c r="J481" s="719"/>
      <c r="K481" s="24">
        <f t="shared" si="89"/>
        <v>0.1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0.04</v>
      </c>
      <c r="F482" s="719"/>
      <c r="G482" s="24">
        <f t="shared" si="87"/>
        <v>0.02</v>
      </c>
      <c r="H482" s="719"/>
      <c r="I482" s="24">
        <f t="shared" si="88"/>
        <v>0.02</v>
      </c>
      <c r="J482" s="719"/>
      <c r="K482" s="24">
        <f t="shared" si="89"/>
        <v>0.1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0.04</v>
      </c>
      <c r="F483" s="719"/>
      <c r="G483" s="24">
        <f t="shared" si="87"/>
        <v>0.02</v>
      </c>
      <c r="H483" s="719"/>
      <c r="I483" s="24">
        <f t="shared" si="88"/>
        <v>0.02</v>
      </c>
      <c r="J483" s="719"/>
      <c r="K483" s="24">
        <f t="shared" si="89"/>
        <v>0.1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0.04</v>
      </c>
      <c r="F484" s="719"/>
      <c r="G484" s="24">
        <f t="shared" si="87"/>
        <v>0.02</v>
      </c>
      <c r="H484" s="719"/>
      <c r="I484" s="24">
        <f t="shared" si="88"/>
        <v>0.02</v>
      </c>
      <c r="J484" s="719"/>
      <c r="K484" s="24">
        <f t="shared" si="89"/>
        <v>0.1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0.04</v>
      </c>
      <c r="F485" s="719"/>
      <c r="G485" s="24">
        <f t="shared" si="87"/>
        <v>0.02</v>
      </c>
      <c r="H485" s="719"/>
      <c r="I485" s="24">
        <f t="shared" si="88"/>
        <v>0.02</v>
      </c>
      <c r="J485" s="719"/>
      <c r="K485" s="24">
        <f t="shared" si="89"/>
        <v>0.1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0.04</v>
      </c>
      <c r="F486" s="719"/>
      <c r="G486" s="24">
        <f t="shared" si="87"/>
        <v>0.02</v>
      </c>
      <c r="H486" s="719"/>
      <c r="I486" s="24">
        <f t="shared" si="88"/>
        <v>0.02</v>
      </c>
      <c r="J486" s="719"/>
      <c r="K486" s="24">
        <f t="shared" si="89"/>
        <v>0.1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0.04</v>
      </c>
      <c r="F487" s="719"/>
      <c r="G487" s="24">
        <f t="shared" si="87"/>
        <v>0.02</v>
      </c>
      <c r="H487" s="719"/>
      <c r="I487" s="24">
        <f t="shared" si="88"/>
        <v>0.02</v>
      </c>
      <c r="J487" s="719"/>
      <c r="K487" s="24">
        <f t="shared" si="89"/>
        <v>0.1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0.04</v>
      </c>
      <c r="F488" s="719"/>
      <c r="G488" s="24">
        <f t="shared" si="87"/>
        <v>0.02</v>
      </c>
      <c r="H488" s="719"/>
      <c r="I488" s="24">
        <f t="shared" si="88"/>
        <v>0.02</v>
      </c>
      <c r="J488" s="719"/>
      <c r="K488" s="24">
        <f t="shared" si="89"/>
        <v>0.1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0.04</v>
      </c>
      <c r="F489" s="719"/>
      <c r="G489" s="24">
        <f t="shared" si="87"/>
        <v>0.02</v>
      </c>
      <c r="H489" s="719"/>
      <c r="I489" s="24">
        <f t="shared" si="88"/>
        <v>0.02</v>
      </c>
      <c r="J489" s="719"/>
      <c r="K489" s="24">
        <f t="shared" si="89"/>
        <v>0.1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0.04</v>
      </c>
      <c r="F490" s="719"/>
      <c r="G490" s="24">
        <f t="shared" si="87"/>
        <v>0.02</v>
      </c>
      <c r="H490" s="719"/>
      <c r="I490" s="24">
        <f t="shared" si="88"/>
        <v>0.02</v>
      </c>
      <c r="J490" s="719"/>
      <c r="K490" s="24">
        <f t="shared" si="89"/>
        <v>0.1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0.04</v>
      </c>
      <c r="F491" s="719"/>
      <c r="G491" s="24">
        <f t="shared" si="87"/>
        <v>0.02</v>
      </c>
      <c r="H491" s="719"/>
      <c r="I491" s="24">
        <f t="shared" si="88"/>
        <v>0.02</v>
      </c>
      <c r="J491" s="719"/>
      <c r="K491" s="24">
        <f t="shared" si="89"/>
        <v>0.1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0.04</v>
      </c>
      <c r="F492" s="719"/>
      <c r="G492" s="24">
        <f t="shared" si="87"/>
        <v>0.02</v>
      </c>
      <c r="H492" s="719"/>
      <c r="I492" s="24">
        <f t="shared" si="88"/>
        <v>0.02</v>
      </c>
      <c r="J492" s="719"/>
      <c r="K492" s="24">
        <f t="shared" si="89"/>
        <v>0.1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0.04</v>
      </c>
      <c r="F493" s="719"/>
      <c r="G493" s="24">
        <f t="shared" si="87"/>
        <v>0.02</v>
      </c>
      <c r="H493" s="719"/>
      <c r="I493" s="24">
        <f t="shared" si="88"/>
        <v>0.02</v>
      </c>
      <c r="J493" s="719"/>
      <c r="K493" s="24">
        <f t="shared" si="89"/>
        <v>0.1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0.04</v>
      </c>
      <c r="F494" s="719"/>
      <c r="G494" s="24">
        <f t="shared" si="87"/>
        <v>0.02</v>
      </c>
      <c r="H494" s="719"/>
      <c r="I494" s="24">
        <f t="shared" si="88"/>
        <v>0.02</v>
      </c>
      <c r="J494" s="719"/>
      <c r="K494" s="24">
        <f t="shared" si="89"/>
        <v>0.1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0.04</v>
      </c>
      <c r="F495" s="719"/>
      <c r="G495" s="24">
        <f t="shared" si="87"/>
        <v>0.02</v>
      </c>
      <c r="H495" s="719"/>
      <c r="I495" s="24">
        <f t="shared" si="88"/>
        <v>0.02</v>
      </c>
      <c r="J495" s="719"/>
      <c r="K495" s="24">
        <f t="shared" si="89"/>
        <v>0.1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0.04</v>
      </c>
      <c r="F496" s="719"/>
      <c r="G496" s="24">
        <f t="shared" si="87"/>
        <v>0.02</v>
      </c>
      <c r="H496" s="719"/>
      <c r="I496" s="24">
        <f t="shared" si="88"/>
        <v>0.02</v>
      </c>
      <c r="J496" s="719"/>
      <c r="K496" s="24">
        <f t="shared" si="89"/>
        <v>0.1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0.04</v>
      </c>
      <c r="F497" s="719"/>
      <c r="G497" s="24">
        <f t="shared" si="87"/>
        <v>0.02</v>
      </c>
      <c r="H497" s="719"/>
      <c r="I497" s="24">
        <f t="shared" si="88"/>
        <v>0.02</v>
      </c>
      <c r="J497" s="719"/>
      <c r="K497" s="24">
        <f t="shared" si="89"/>
        <v>0.1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0.04</v>
      </c>
      <c r="F498" s="719"/>
      <c r="G498" s="24">
        <f t="shared" si="87"/>
        <v>0.02</v>
      </c>
      <c r="H498" s="719"/>
      <c r="I498" s="24">
        <f t="shared" si="88"/>
        <v>0.02</v>
      </c>
      <c r="J498" s="719"/>
      <c r="K498" s="24">
        <f t="shared" si="89"/>
        <v>0.1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0.04</v>
      </c>
      <c r="F499" s="719"/>
      <c r="G499" s="24">
        <f t="shared" si="87"/>
        <v>0.02</v>
      </c>
      <c r="H499" s="719"/>
      <c r="I499" s="24">
        <f t="shared" si="88"/>
        <v>0.02</v>
      </c>
      <c r="J499" s="719"/>
      <c r="K499" s="24">
        <f t="shared" si="89"/>
        <v>0.1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0.04</v>
      </c>
      <c r="F500" s="719"/>
      <c r="G500" s="24">
        <f t="shared" si="87"/>
        <v>0.02</v>
      </c>
      <c r="H500" s="719"/>
      <c r="I500" s="24">
        <f t="shared" si="88"/>
        <v>0.02</v>
      </c>
      <c r="J500" s="719"/>
      <c r="K500" s="24">
        <f t="shared" si="89"/>
        <v>0.1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0.04</v>
      </c>
      <c r="F501" s="719"/>
      <c r="G501" s="24">
        <f t="shared" si="87"/>
        <v>0.02</v>
      </c>
      <c r="H501" s="719"/>
      <c r="I501" s="24">
        <f t="shared" si="88"/>
        <v>0.02</v>
      </c>
      <c r="J501" s="719"/>
      <c r="K501" s="24">
        <f t="shared" si="89"/>
        <v>0.1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0.04</v>
      </c>
      <c r="F502" s="719"/>
      <c r="G502" s="24">
        <f t="shared" si="87"/>
        <v>0.02</v>
      </c>
      <c r="H502" s="719"/>
      <c r="I502" s="24">
        <f t="shared" si="88"/>
        <v>0.02</v>
      </c>
      <c r="J502" s="719"/>
      <c r="K502" s="24">
        <f t="shared" si="89"/>
        <v>0.1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0.04</v>
      </c>
      <c r="F503" s="719"/>
      <c r="G503" s="24">
        <f t="shared" si="87"/>
        <v>0.02</v>
      </c>
      <c r="H503" s="719"/>
      <c r="I503" s="24">
        <f t="shared" si="88"/>
        <v>0.02</v>
      </c>
      <c r="J503" s="719"/>
      <c r="K503" s="24">
        <f t="shared" si="89"/>
        <v>0.1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0.04</v>
      </c>
      <c r="F504" s="719"/>
      <c r="G504" s="24">
        <f t="shared" si="87"/>
        <v>0.02</v>
      </c>
      <c r="H504" s="719"/>
      <c r="I504" s="24">
        <f t="shared" si="88"/>
        <v>0.02</v>
      </c>
      <c r="J504" s="719"/>
      <c r="K504" s="24">
        <f t="shared" si="89"/>
        <v>0.1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0.04</v>
      </c>
      <c r="F505" s="719"/>
      <c r="G505" s="24">
        <f t="shared" si="87"/>
        <v>0.02</v>
      </c>
      <c r="H505" s="719"/>
      <c r="I505" s="24">
        <f t="shared" si="88"/>
        <v>0.02</v>
      </c>
      <c r="J505" s="719"/>
      <c r="K505" s="24">
        <f t="shared" si="89"/>
        <v>0.1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0.04</v>
      </c>
      <c r="F506" s="719"/>
      <c r="G506" s="24">
        <f t="shared" si="87"/>
        <v>0.02</v>
      </c>
      <c r="H506" s="719"/>
      <c r="I506" s="24">
        <f t="shared" si="88"/>
        <v>0.02</v>
      </c>
      <c r="J506" s="719"/>
      <c r="K506" s="24">
        <f t="shared" si="89"/>
        <v>0.1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0.04</v>
      </c>
      <c r="F507" s="719"/>
      <c r="G507" s="24">
        <f t="shared" si="87"/>
        <v>0.02</v>
      </c>
      <c r="H507" s="719"/>
      <c r="I507" s="24">
        <f t="shared" si="88"/>
        <v>0.02</v>
      </c>
      <c r="J507" s="719"/>
      <c r="K507" s="24">
        <f t="shared" si="89"/>
        <v>0.1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0.04</v>
      </c>
      <c r="F508" s="719"/>
      <c r="G508" s="24">
        <f t="shared" si="87"/>
        <v>0.02</v>
      </c>
      <c r="H508" s="719"/>
      <c r="I508" s="24">
        <f t="shared" si="88"/>
        <v>0.02</v>
      </c>
      <c r="J508" s="719"/>
      <c r="K508" s="24">
        <f t="shared" si="89"/>
        <v>0.1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0.04</v>
      </c>
      <c r="F509" s="719"/>
      <c r="G509" s="24">
        <f t="shared" si="87"/>
        <v>0.02</v>
      </c>
      <c r="H509" s="719"/>
      <c r="I509" s="24">
        <f t="shared" si="88"/>
        <v>0.02</v>
      </c>
      <c r="J509" s="719"/>
      <c r="K509" s="24">
        <f t="shared" si="89"/>
        <v>0.1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0.04</v>
      </c>
      <c r="F510" s="719"/>
      <c r="G510" s="24">
        <f t="shared" si="87"/>
        <v>0.02</v>
      </c>
      <c r="H510" s="719"/>
      <c r="I510" s="24">
        <f t="shared" si="88"/>
        <v>0.02</v>
      </c>
      <c r="J510" s="719"/>
      <c r="K510" s="24">
        <f t="shared" si="89"/>
        <v>0.1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0.04</v>
      </c>
      <c r="F511" s="719"/>
      <c r="G511" s="24">
        <f t="shared" si="87"/>
        <v>0.02</v>
      </c>
      <c r="H511" s="719"/>
      <c r="I511" s="24">
        <f t="shared" si="88"/>
        <v>0.02</v>
      </c>
      <c r="J511" s="719"/>
      <c r="K511" s="24">
        <f t="shared" si="89"/>
        <v>0.1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0.04</v>
      </c>
      <c r="F512" s="719"/>
      <c r="G512" s="24">
        <f t="shared" si="87"/>
        <v>0.02</v>
      </c>
      <c r="H512" s="719"/>
      <c r="I512" s="24">
        <f t="shared" si="88"/>
        <v>0.02</v>
      </c>
      <c r="J512" s="719"/>
      <c r="K512" s="24">
        <f t="shared" si="89"/>
        <v>0.1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0.04</v>
      </c>
      <c r="F513" s="719"/>
      <c r="G513" s="24">
        <f t="shared" si="87"/>
        <v>0.02</v>
      </c>
      <c r="H513" s="719"/>
      <c r="I513" s="24">
        <f t="shared" si="88"/>
        <v>0.02</v>
      </c>
      <c r="J513" s="719"/>
      <c r="K513" s="24">
        <f t="shared" si="89"/>
        <v>0.1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0.04</v>
      </c>
      <c r="F514" s="719"/>
      <c r="G514" s="24">
        <f t="shared" si="87"/>
        <v>0.02</v>
      </c>
      <c r="H514" s="719"/>
      <c r="I514" s="24">
        <f t="shared" si="88"/>
        <v>0.02</v>
      </c>
      <c r="J514" s="719"/>
      <c r="K514" s="24">
        <f t="shared" si="89"/>
        <v>0.1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0.04</v>
      </c>
      <c r="F515" s="719"/>
      <c r="G515" s="24">
        <f t="shared" si="87"/>
        <v>0.02</v>
      </c>
      <c r="H515" s="719"/>
      <c r="I515" s="24">
        <f t="shared" si="88"/>
        <v>0.02</v>
      </c>
      <c r="J515" s="719"/>
      <c r="K515" s="24">
        <f t="shared" si="89"/>
        <v>0.1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0.04</v>
      </c>
      <c r="F516" s="719"/>
      <c r="G516" s="24">
        <f t="shared" si="87"/>
        <v>0.02</v>
      </c>
      <c r="H516" s="719"/>
      <c r="I516" s="24">
        <f t="shared" si="88"/>
        <v>0.02</v>
      </c>
      <c r="J516" s="719"/>
      <c r="K516" s="24">
        <f t="shared" si="89"/>
        <v>0.1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0.04</v>
      </c>
      <c r="F517" s="719"/>
      <c r="G517" s="24">
        <f t="shared" si="87"/>
        <v>0.02</v>
      </c>
      <c r="H517" s="719"/>
      <c r="I517" s="24">
        <f t="shared" si="88"/>
        <v>0.02</v>
      </c>
      <c r="J517" s="719"/>
      <c r="K517" s="24">
        <f t="shared" si="89"/>
        <v>0.1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0.04</v>
      </c>
      <c r="F518" s="719"/>
      <c r="G518" s="24">
        <f t="shared" si="87"/>
        <v>0.02</v>
      </c>
      <c r="H518" s="719"/>
      <c r="I518" s="24">
        <f t="shared" si="88"/>
        <v>0.02</v>
      </c>
      <c r="J518" s="719"/>
      <c r="K518" s="24">
        <f t="shared" si="89"/>
        <v>0.1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0.04</v>
      </c>
      <c r="F519" s="719"/>
      <c r="G519" s="24">
        <f t="shared" si="87"/>
        <v>0.02</v>
      </c>
      <c r="H519" s="719"/>
      <c r="I519" s="24">
        <f t="shared" si="88"/>
        <v>0.02</v>
      </c>
      <c r="J519" s="719"/>
      <c r="K519" s="24">
        <f t="shared" si="89"/>
        <v>0.1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0.04</v>
      </c>
      <c r="F520" s="719"/>
      <c r="G520" s="24">
        <f t="shared" si="87"/>
        <v>0.02</v>
      </c>
      <c r="H520" s="719"/>
      <c r="I520" s="24">
        <f t="shared" si="88"/>
        <v>0.02</v>
      </c>
      <c r="J520" s="719"/>
      <c r="K520" s="24">
        <f t="shared" si="89"/>
        <v>0.1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0.04</v>
      </c>
      <c r="F521" s="719"/>
      <c r="G521" s="24">
        <f t="shared" si="87"/>
        <v>0.02</v>
      </c>
      <c r="H521" s="719"/>
      <c r="I521" s="24">
        <f t="shared" si="88"/>
        <v>0.02</v>
      </c>
      <c r="J521" s="719"/>
      <c r="K521" s="24">
        <f t="shared" si="89"/>
        <v>0.1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0.04</v>
      </c>
      <c r="F522" s="719"/>
      <c r="G522" s="24">
        <f t="shared" si="87"/>
        <v>0.02</v>
      </c>
      <c r="H522" s="719"/>
      <c r="I522" s="24">
        <f t="shared" si="88"/>
        <v>0.02</v>
      </c>
      <c r="J522" s="719"/>
      <c r="K522" s="24">
        <f t="shared" si="89"/>
        <v>0.1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0.04</v>
      </c>
      <c r="F523" s="719"/>
      <c r="G523" s="24">
        <f t="shared" si="87"/>
        <v>0.02</v>
      </c>
      <c r="H523" s="719"/>
      <c r="I523" s="24">
        <f t="shared" si="88"/>
        <v>0.02</v>
      </c>
      <c r="J523" s="719"/>
      <c r="K523" s="24">
        <f t="shared" si="89"/>
        <v>0.1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0.04</v>
      </c>
      <c r="F524" s="719"/>
      <c r="G524" s="24">
        <f t="shared" si="87"/>
        <v>0.02</v>
      </c>
      <c r="H524" s="719"/>
      <c r="I524" s="24">
        <f t="shared" si="88"/>
        <v>0.02</v>
      </c>
      <c r="J524" s="719"/>
      <c r="K524" s="24">
        <f t="shared" si="89"/>
        <v>0.1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1615</v>
      </c>
      <c r="B1" s="1955"/>
      <c r="C1" s="1955"/>
      <c r="D1" s="1955"/>
      <c r="E1" s="1955"/>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估价结果一览表（市场价值不需“结果表-1”）</v>
      </c>
      <c r="B3" s="3027"/>
      <c r="C3" s="3027"/>
      <c r="D3" s="3027"/>
      <c r="E3" s="3027"/>
    </row>
    <row r="4" spans="1:5" ht="19.5" thickBot="1">
      <c r="A4" s="1957"/>
      <c r="B4" s="3025" t="s">
        <v>1624</v>
      </c>
      <c r="C4" s="3025"/>
      <c r="D4" s="3025"/>
      <c r="E4" s="1957"/>
    </row>
    <row r="5" spans="1:5" ht="16.5" thickTop="1">
      <c r="A5" s="1955"/>
      <c r="B5" s="3023" t="s">
        <v>1616</v>
      </c>
      <c r="C5" s="1958" t="s">
        <v>1617</v>
      </c>
      <c r="D5" s="1039">
        <f ca="1">结果表!H101</f>
        <v>705</v>
      </c>
      <c r="E5" s="1955"/>
    </row>
    <row r="6" spans="1:5" ht="15.75">
      <c r="A6" s="1955"/>
      <c r="B6" s="3023"/>
      <c r="C6" s="1958" t="s">
        <v>1618</v>
      </c>
      <c r="D6" s="1039" t="str">
        <f ca="1">NUMBERSTRING(INT(D5*10000),2)&amp;"元整"</f>
        <v>柒佰零伍万元整</v>
      </c>
      <c r="E6" s="1955"/>
    </row>
    <row r="7" spans="1:5" ht="15.75">
      <c r="A7" s="1955"/>
      <c r="B7" s="3028"/>
      <c r="C7" s="1959" t="s">
        <v>1619</v>
      </c>
      <c r="D7" s="1040">
        <f ca="1">结果表!H102</f>
        <v>16620</v>
      </c>
      <c r="E7" s="1955"/>
    </row>
    <row r="8" spans="1:5" ht="15.75">
      <c r="A8" s="1955"/>
      <c r="B8" s="3029" t="str">
        <f>结果表!E103</f>
        <v>2.估价师知悉的法定优先受偿款</v>
      </c>
      <c r="C8" s="1960" t="s">
        <v>1620</v>
      </c>
      <c r="D8" s="1040">
        <f>结果表!H103</f>
        <v>0</v>
      </c>
      <c r="E8" s="1955"/>
    </row>
    <row r="9" spans="1:5" ht="15.75">
      <c r="A9" s="1955"/>
      <c r="B9" s="3031"/>
      <c r="C9" s="1958" t="s">
        <v>1618</v>
      </c>
      <c r="D9" s="1039" t="str">
        <f>NUMBERSTRING(INT(D8*10000),2)&amp;"元整"</f>
        <v>零元整</v>
      </c>
      <c r="E9" s="1955"/>
    </row>
    <row r="10" spans="1:5" ht="15">
      <c r="A10" s="1955"/>
      <c r="B10" s="1961" t="s">
        <v>1623</v>
      </c>
      <c r="C10" s="1962" t="s">
        <v>1621</v>
      </c>
      <c r="D10" s="1041">
        <f>结果表!H104</f>
        <v>0</v>
      </c>
      <c r="E10" s="1955"/>
    </row>
    <row r="11" spans="1:5" ht="15">
      <c r="A11" s="1955"/>
      <c r="B11" s="1961" t="s">
        <v>1625</v>
      </c>
      <c r="C11" s="1962" t="s">
        <v>1626</v>
      </c>
      <c r="D11" s="1041">
        <f>结果表!H105</f>
        <v>0</v>
      </c>
      <c r="E11" s="1955"/>
    </row>
    <row r="12" spans="1:5" ht="15">
      <c r="A12" s="1955"/>
      <c r="B12" s="1961" t="s">
        <v>1627</v>
      </c>
      <c r="C12" s="1962" t="s">
        <v>1626</v>
      </c>
      <c r="D12" s="1041">
        <f>结果表!H106</f>
        <v>0</v>
      </c>
      <c r="E12" s="1955"/>
    </row>
    <row r="13" spans="1:5" ht="15.75">
      <c r="A13" s="1955"/>
      <c r="B13" s="3022" t="str">
        <f>结果表!E107</f>
        <v>3.房地产抵押价值</v>
      </c>
      <c r="C13" s="1963" t="s">
        <v>1617</v>
      </c>
      <c r="D13" s="1042">
        <f ca="1">结果表!H107</f>
        <v>705</v>
      </c>
      <c r="E13" s="1955"/>
    </row>
    <row r="14" spans="1:5" ht="15.75">
      <c r="A14" s="1955"/>
      <c r="B14" s="3023"/>
      <c r="C14" s="1958" t="s">
        <v>1618</v>
      </c>
      <c r="D14" s="1039" t="str">
        <f ca="1">NUMBERSTRING(INT(D13*10000),2)&amp;"元整"</f>
        <v>柒佰零伍万元整</v>
      </c>
      <c r="E14" s="1955"/>
    </row>
    <row r="15" spans="1:5" ht="15">
      <c r="A15" s="1955"/>
      <c r="B15" s="3028"/>
      <c r="C15" s="1959" t="s">
        <v>1628</v>
      </c>
      <c r="D15" s="1051">
        <f ca="1">结果表!H108</f>
        <v>16620</v>
      </c>
      <c r="E15" s="1955"/>
    </row>
    <row r="16" spans="1:5" ht="15">
      <c r="A16" s="1955"/>
      <c r="B16" s="3029" t="str">
        <f>结果表!E109</f>
        <v>——</v>
      </c>
      <c r="C16" s="1963" t="s">
        <v>1629</v>
      </c>
      <c r="D16" s="1964" t="str">
        <f>结果表!H109</f>
        <v>——</v>
      </c>
      <c r="E16" s="1955"/>
    </row>
    <row r="17" spans="1:5" ht="15.75">
      <c r="A17" s="1955"/>
      <c r="B17" s="3030"/>
      <c r="C17" s="1958" t="s">
        <v>1630</v>
      </c>
      <c r="D17" s="1039" t="e">
        <f>NUMBERSTRING(INT(D16*10000),2)&amp;"元整"</f>
        <v>#VALUE!</v>
      </c>
      <c r="E17" s="1955"/>
    </row>
    <row r="18" spans="1:5" ht="15">
      <c r="A18" s="1955"/>
      <c r="B18" s="3031"/>
      <c r="C18" s="1959" t="s">
        <v>1619</v>
      </c>
      <c r="D18" s="1051" t="str">
        <f>结果表!H110</f>
        <v>——</v>
      </c>
      <c r="E18" s="1955"/>
    </row>
    <row r="19" spans="1:5" ht="15.75">
      <c r="A19" s="1955"/>
      <c r="B19" s="3022" t="str">
        <f>结果表!E111</f>
        <v>——</v>
      </c>
      <c r="C19" s="1963" t="s">
        <v>1617</v>
      </c>
      <c r="D19" s="1040" t="str">
        <f>结果表!H111</f>
        <v>——</v>
      </c>
      <c r="E19" s="1955"/>
    </row>
    <row r="20" spans="1:5" ht="15.75">
      <c r="A20" s="1955"/>
      <c r="B20" s="3023"/>
      <c r="C20" s="1958" t="s">
        <v>1630</v>
      </c>
      <c r="D20" s="1039" t="e">
        <f>NUMBERSTRING(INT(D19*10000),2)&amp;"元整"</f>
        <v>#VALUE!</v>
      </c>
      <c r="E20" s="1955"/>
    </row>
    <row r="21" spans="1:5" ht="15.75" thickBot="1">
      <c r="A21" s="1955"/>
      <c r="B21" s="3024"/>
      <c r="C21" s="1965" t="s">
        <v>1628</v>
      </c>
      <c r="D21" s="1052" t="str">
        <f>结果表!H112</f>
        <v>——</v>
      </c>
      <c r="E21" s="1955"/>
    </row>
    <row r="22" spans="1:5" ht="15" thickTop="1">
      <c r="A22" s="1955"/>
      <c r="B22" s="1966" t="s">
        <v>1631</v>
      </c>
      <c r="C22" s="1955"/>
      <c r="D22" s="1955"/>
      <c r="E22" s="1955"/>
    </row>
    <row r="23" spans="1:5">
      <c r="A23" s="1955"/>
      <c r="B23" s="1955"/>
      <c r="C23" s="1955"/>
      <c r="D23" s="1955"/>
      <c r="E23" s="1955"/>
    </row>
    <row r="24" spans="1:5" ht="18.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26327</v>
      </c>
      <c r="C2" s="2" t="s">
        <v>133</v>
      </c>
      <c r="D2" s="242"/>
      <c r="E2" s="242"/>
      <c r="F2" s="242"/>
      <c r="G2" s="242"/>
    </row>
    <row r="3" spans="1:7" s="243" customFormat="1" ht="18" customHeight="1" thickBot="1">
      <c r="A3" s="246" t="s">
        <v>85</v>
      </c>
      <c r="B3" s="247">
        <f ca="1">ROUND(B2*10000/'数据-汇总表'!E3,0)</f>
        <v>620627</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810</v>
      </c>
      <c r="D7" s="263"/>
      <c r="E7" s="261"/>
      <c r="F7" s="264">
        <f>'数据-取费表'!B48+'数据-取费表'!B49</f>
        <v>4.0500000000000001E-2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2</v>
      </c>
      <c r="D10" s="1031">
        <f>'数据-汇总表'!E6</f>
        <v>424.2</v>
      </c>
      <c r="E10" s="268">
        <f>'数据-取费表'!B28</f>
        <v>40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v>
      </c>
      <c r="D19" s="1035">
        <f>'数据-汇总表'!E3</f>
        <v>424.2</v>
      </c>
      <c r="E19" s="254">
        <f>'数据-取费表'!B31</f>
        <v>150</v>
      </c>
      <c r="F19" s="274"/>
      <c r="G19" s="1" t="s">
        <v>1071</v>
      </c>
    </row>
    <row r="20" spans="1:7" s="257" customFormat="1" ht="13.5" customHeight="1">
      <c r="A20" s="947" t="s">
        <v>1054</v>
      </c>
      <c r="B20" s="253" t="s">
        <v>104</v>
      </c>
      <c r="C20" s="275">
        <f>ROUND((C5+C19)*F20,0)</f>
        <v>416</v>
      </c>
      <c r="D20" s="275"/>
      <c r="E20" s="275"/>
      <c r="F20" s="276">
        <f>'数据-取费表'!B37</f>
        <v>0.02</v>
      </c>
      <c r="G20" s="1287"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914</v>
      </c>
      <c r="D22" s="278">
        <f ca="1">C26</f>
        <v>4.0000000000000002E-4</v>
      </c>
      <c r="E22" s="279" t="s">
        <v>126</v>
      </c>
      <c r="F22" s="280">
        <f ca="1">'数据-取费表'!B40</f>
        <v>4.3499999999999997E-2</v>
      </c>
      <c r="G22" s="1287" t="str">
        <f>IF('数据-取费表'!B22&lt;=1,"单利计息","复利计息")</f>
        <v>单利计息</v>
      </c>
    </row>
    <row r="23" spans="1:7" s="257" customFormat="1" ht="13.5" customHeight="1">
      <c r="A23" s="950" t="s">
        <v>794</v>
      </c>
      <c r="B23" s="258" t="s">
        <v>1058</v>
      </c>
      <c r="C23" s="1353">
        <f ca="1">ROUND(IF('数据-取费表'!B22&lt;=1,C5*F22*'数据-取费表'!B23,C5*(POWER((1+F22),'数据-取费表'!B23)-1)),0)</f>
        <v>905</v>
      </c>
      <c r="D23" s="281"/>
      <c r="E23" s="281"/>
      <c r="F23" s="282"/>
      <c r="G23" s="283" t="s">
        <v>108</v>
      </c>
    </row>
    <row r="24" spans="1:7" s="257" customFormat="1" ht="13.5" customHeight="1">
      <c r="A24" s="950" t="s">
        <v>792</v>
      </c>
      <c r="B24" s="258" t="s">
        <v>1053</v>
      </c>
      <c r="C24" s="1353">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1055</v>
      </c>
      <c r="C25" s="1353">
        <f ca="1">ROUND(IF('数据-取费表'!B22&lt;=1,C20*F22*'数据-取费表'!B23/2,C20*(POWER((1+F22),'数据-取费表'!B23/2)-1)),0)</f>
        <v>9</v>
      </c>
      <c r="D25" s="281"/>
      <c r="E25" s="284"/>
      <c r="F25" s="282"/>
      <c r="G25" s="285" t="s">
        <v>110</v>
      </c>
    </row>
    <row r="26" spans="1:7" s="257" customFormat="1">
      <c r="A26" s="950" t="s">
        <v>795</v>
      </c>
      <c r="B26" s="258" t="s">
        <v>1057</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2123</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2123</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26231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103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93</v>
      </c>
      <c r="D34" s="260"/>
      <c r="E34" s="263"/>
      <c r="F34" s="300">
        <f>IF('数据-取费表'!B24=0,1,'数据-取费表'!N16)</f>
        <v>1</v>
      </c>
      <c r="G34" s="262" t="s">
        <v>116</v>
      </c>
    </row>
    <row r="35" spans="1:7" ht="13.5" customHeight="1">
      <c r="A35" s="950" t="s">
        <v>796</v>
      </c>
      <c r="B35" s="258" t="s">
        <v>60</v>
      </c>
      <c r="C35" s="263">
        <f>ROUND(C34*F35,0)</f>
        <v>3</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6</v>
      </c>
      <c r="D37" s="260">
        <f>'数据-汇总表'!E3</f>
        <v>424.2</v>
      </c>
      <c r="E37" s="292">
        <f>'数据-取费表'!B35</f>
        <v>150</v>
      </c>
      <c r="F37" s="302"/>
      <c r="G37" s="304" t="s">
        <v>119</v>
      </c>
    </row>
    <row r="38" spans="1:7" ht="13.5" customHeight="1">
      <c r="A38" s="950" t="s">
        <v>799</v>
      </c>
      <c r="B38" s="258" t="s">
        <v>63</v>
      </c>
      <c r="C38" s="263">
        <f>ROUND(C34*F38,0)</f>
        <v>1</v>
      </c>
      <c r="D38" s="263"/>
      <c r="E38" s="263"/>
      <c r="F38" s="302">
        <f>'数据-取费表'!B36</f>
        <v>1.4999999999999999E-2</v>
      </c>
      <c r="G38" s="262" t="s">
        <v>117</v>
      </c>
    </row>
    <row r="39" spans="1:7" s="257" customFormat="1" ht="13.5" customHeight="1">
      <c r="A39" s="947" t="s">
        <v>783</v>
      </c>
      <c r="B39" s="253" t="s">
        <v>104</v>
      </c>
      <c r="C39" s="275">
        <f>ROUND(C33*F20,0)</f>
        <v>2</v>
      </c>
      <c r="D39" s="275"/>
      <c r="E39" s="275"/>
      <c r="F39" s="276"/>
      <c r="G39" s="1287"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4.0000000000000002E-4</v>
      </c>
      <c r="E41" s="279" t="s">
        <v>129</v>
      </c>
      <c r="F41" s="280"/>
      <c r="G41" s="1287" t="str">
        <f>IF('数据-取费表'!B22&lt;=1,"单利计息","复利计息")</f>
        <v>单利计息</v>
      </c>
    </row>
    <row r="42" spans="1:7" ht="13.5" customHeight="1">
      <c r="A42" s="950" t="s">
        <v>794</v>
      </c>
      <c r="B42" s="258" t="s">
        <v>1058</v>
      </c>
      <c r="C42" s="281">
        <f ca="1">ROUND(IF('数据-取费表'!B22&lt;=1,C33*F22*'数据-取费表'!B21/2,C33*(POWER((1+F22),'数据-取费表'!B21/2)-1)),0)</f>
        <v>2</v>
      </c>
      <c r="D42" s="281"/>
      <c r="E42" s="281"/>
      <c r="F42" s="282"/>
      <c r="G42" s="3207" t="s">
        <v>121</v>
      </c>
    </row>
    <row r="43" spans="1:7" ht="13.5" customHeight="1">
      <c r="A43" s="950" t="s">
        <v>792</v>
      </c>
      <c r="B43" s="258" t="s">
        <v>1061</v>
      </c>
      <c r="C43" s="281">
        <f ca="1">ROUND(IF('数据-取费表'!B22&lt;=1,C39*F22*'数据-取费表'!B21/2,C39*(POWER((1+F22),'数据-取费表'!B21/2)-1)),0)</f>
        <v>0</v>
      </c>
      <c r="D43" s="281"/>
      <c r="E43" s="281"/>
      <c r="F43" s="282"/>
      <c r="G43" s="3208"/>
    </row>
    <row r="44" spans="1:7" ht="13.5" customHeight="1">
      <c r="A44" s="950" t="s">
        <v>793</v>
      </c>
      <c r="B44" s="258" t="s">
        <v>1063</v>
      </c>
      <c r="C44" s="281">
        <f ca="1">ROUND(IF('数据-取费表'!B22&lt;=1,C40*F22*'数据-取费表'!B21/2,C40*(POWER((1+F22),'数据-取费表'!B21/2)-1)),4)</f>
        <v>4.0000000000000002E-4</v>
      </c>
      <c r="D44" s="281"/>
      <c r="E44" s="281"/>
      <c r="F44" s="282"/>
      <c r="G44" s="3209"/>
    </row>
    <row r="45" spans="1:7" s="257" customFormat="1" ht="13.5" customHeight="1">
      <c r="A45" s="947" t="s">
        <v>786</v>
      </c>
      <c r="B45" s="287" t="s">
        <v>112</v>
      </c>
      <c r="C45" s="288">
        <f>C46</f>
        <v>11</v>
      </c>
      <c r="D45" s="278">
        <f>C47</f>
        <v>2E-3</v>
      </c>
      <c r="E45" s="279" t="s">
        <v>129</v>
      </c>
      <c r="F45" s="289"/>
      <c r="G45" s="290" t="s">
        <v>1069</v>
      </c>
    </row>
    <row r="46" spans="1:7" s="257" customFormat="1" ht="13.5" customHeight="1">
      <c r="A46" s="950" t="s">
        <v>794</v>
      </c>
      <c r="B46" s="291" t="s">
        <v>1062</v>
      </c>
      <c r="C46" s="292">
        <f>ROUND((C33+C39)*F27,0)</f>
        <v>11</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128</v>
      </c>
      <c r="D49" s="275"/>
      <c r="E49" s="275"/>
      <c r="F49" s="307"/>
      <c r="G49" s="277" t="s">
        <v>1070</v>
      </c>
    </row>
    <row r="50" spans="1:7" s="301" customFormat="1" ht="24">
      <c r="A50" s="947" t="s">
        <v>789</v>
      </c>
      <c r="B50" s="253" t="s">
        <v>124</v>
      </c>
      <c r="C50" s="275"/>
      <c r="D50" s="275"/>
      <c r="E50" s="275"/>
      <c r="F50" s="307">
        <f>IF('数据-取费表'!B24=0,'数据-取费表'!N16,1)</f>
        <v>0.75</v>
      </c>
      <c r="G50" s="290" t="s">
        <v>125</v>
      </c>
    </row>
    <row r="51" spans="1:7" ht="16.5" customHeight="1">
      <c r="A51" s="947" t="s">
        <v>790</v>
      </c>
      <c r="B51" s="253" t="s">
        <v>132</v>
      </c>
      <c r="C51" s="275">
        <f ca="1">ROUND(C49*F50,0)</f>
        <v>96</v>
      </c>
      <c r="D51" s="275"/>
      <c r="E51" s="275"/>
      <c r="F51" s="307"/>
      <c r="G51" s="277" t="s">
        <v>64</v>
      </c>
    </row>
    <row r="52" spans="1:7" s="251" customFormat="1" ht="16.5" thickBot="1">
      <c r="A52" s="308" t="s">
        <v>65</v>
      </c>
      <c r="B52" s="309"/>
      <c r="C52" s="310">
        <f ca="1">C31+C51</f>
        <v>26327</v>
      </c>
      <c r="D52" s="309"/>
      <c r="E52" s="309"/>
      <c r="F52" s="309"/>
      <c r="G52" s="311"/>
    </row>
    <row r="55" spans="1:7" ht="15">
      <c r="B55" s="313" t="s">
        <v>66</v>
      </c>
      <c r="C55" s="314"/>
    </row>
    <row r="56" spans="1:7">
      <c r="B56" s="316" t="s">
        <v>67</v>
      </c>
      <c r="C56" s="317">
        <f ca="1">ROUND(C51/C52,3)</f>
        <v>4.0000000000000001E-3</v>
      </c>
    </row>
    <row r="57" spans="1:7">
      <c r="B57" s="316" t="s">
        <v>68</v>
      </c>
      <c r="C57" s="318">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6" t="s">
        <v>156</v>
      </c>
      <c r="B1" s="3346"/>
      <c r="C1" s="3346"/>
      <c r="D1" s="3346"/>
      <c r="E1" s="3346"/>
      <c r="F1" s="334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7" t="s">
        <v>169</v>
      </c>
      <c r="B2" s="3347"/>
      <c r="C2" s="3347"/>
      <c r="D2" s="3347"/>
      <c r="E2" s="3347"/>
      <c r="F2" s="334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6" t="s">
        <v>868</v>
      </c>
      <c r="B1" s="334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43676</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zoomScale="90" zoomScaleNormal="90" workbookViewId="0">
      <selection activeCell="L38" sqref="L38"/>
    </sheetView>
  </sheetViews>
  <sheetFormatPr defaultRowHeight="13.5"/>
  <cols>
    <col min="1" max="1" width="4.5" bestFit="1" customWidth="1"/>
    <col min="2" max="2" width="30.125" customWidth="1"/>
    <col min="3" max="3" width="10.125" customWidth="1"/>
    <col min="4" max="4" width="35" customWidth="1"/>
    <col min="5" max="5" width="10.75" customWidth="1"/>
  </cols>
  <sheetData>
    <row r="1" spans="1:9" ht="14.25" thickBot="1">
      <c r="A1" s="3010" t="s">
        <v>3381</v>
      </c>
      <c r="B1" s="3011" t="s">
        <v>3382</v>
      </c>
      <c r="C1" s="3012" t="s">
        <v>3383</v>
      </c>
      <c r="D1" s="3011" t="s">
        <v>3384</v>
      </c>
      <c r="E1" s="3011" t="s">
        <v>3385</v>
      </c>
      <c r="F1" s="3011" t="s">
        <v>3252</v>
      </c>
      <c r="G1" s="3012" t="s">
        <v>3386</v>
      </c>
    </row>
    <row r="2" spans="1:9" ht="14.25" thickBot="1">
      <c r="A2" s="3013">
        <v>1</v>
      </c>
      <c r="B2" s="3014" t="s">
        <v>3387</v>
      </c>
      <c r="C2" s="3350" t="s">
        <v>3457</v>
      </c>
      <c r="D2" s="3015" t="s">
        <v>3388</v>
      </c>
      <c r="E2" s="3016">
        <v>424.2</v>
      </c>
      <c r="F2" s="3016">
        <v>1</v>
      </c>
      <c r="G2" s="3017" t="s">
        <v>1373</v>
      </c>
      <c r="H2">
        <f ca="1">典型户型修正!R24</f>
        <v>16627</v>
      </c>
      <c r="I2">
        <f ca="1">典型户型修正!S24</f>
        <v>705</v>
      </c>
    </row>
    <row r="3" spans="1:9" ht="14.25" thickBot="1">
      <c r="A3" s="3013">
        <v>2</v>
      </c>
      <c r="B3" s="3014" t="s">
        <v>3389</v>
      </c>
      <c r="C3" s="3351"/>
      <c r="D3" s="3015" t="s">
        <v>3390</v>
      </c>
      <c r="E3" s="3016">
        <v>626</v>
      </c>
      <c r="F3" s="3016">
        <v>1</v>
      </c>
      <c r="G3" s="3017" t="s">
        <v>1373</v>
      </c>
      <c r="H3">
        <f ca="1">典型户型修正!R27</f>
        <v>16132</v>
      </c>
      <c r="I3">
        <f ca="1">典型户型修正!S27</f>
        <v>1010</v>
      </c>
    </row>
    <row r="4" spans="1:9" ht="14.25" thickBot="1">
      <c r="A4" s="3013">
        <v>3</v>
      </c>
      <c r="B4" s="3014" t="s">
        <v>3389</v>
      </c>
      <c r="C4" s="3351"/>
      <c r="D4" s="3015" t="s">
        <v>3391</v>
      </c>
      <c r="E4" s="3016">
        <v>163.43</v>
      </c>
      <c r="F4" s="3016">
        <v>1</v>
      </c>
      <c r="G4" s="3017" t="s">
        <v>1373</v>
      </c>
      <c r="H4">
        <f ca="1">典型户型修正!R28</f>
        <v>16457</v>
      </c>
      <c r="I4">
        <f ca="1">典型户型修正!S28</f>
        <v>269</v>
      </c>
    </row>
    <row r="5" spans="1:9" ht="14.25" thickBot="1">
      <c r="A5" s="3013">
        <v>4</v>
      </c>
      <c r="B5" s="3014" t="s">
        <v>3389</v>
      </c>
      <c r="C5" s="3351"/>
      <c r="D5" s="3015" t="s">
        <v>3392</v>
      </c>
      <c r="E5" s="3016">
        <v>564.07000000000005</v>
      </c>
      <c r="F5" s="3016">
        <v>1</v>
      </c>
      <c r="G5" s="3017" t="s">
        <v>1373</v>
      </c>
      <c r="H5">
        <f ca="1">典型户型修正!R30</f>
        <v>14518</v>
      </c>
      <c r="I5">
        <f ca="1">典型户型修正!S30</f>
        <v>819</v>
      </c>
    </row>
    <row r="6" spans="1:9" ht="14.25" thickBot="1">
      <c r="A6" s="3013">
        <v>5</v>
      </c>
      <c r="B6" s="3014" t="s">
        <v>3393</v>
      </c>
      <c r="C6" s="3351"/>
      <c r="D6" s="3015" t="s">
        <v>3394</v>
      </c>
      <c r="E6" s="3016">
        <v>149.12</v>
      </c>
      <c r="F6" s="3016">
        <v>1</v>
      </c>
      <c r="G6" s="3017" t="s">
        <v>1373</v>
      </c>
      <c r="H6">
        <f ca="1">典型户型修正!R31</f>
        <v>14812</v>
      </c>
      <c r="I6">
        <f ca="1">典型户型修正!S31</f>
        <v>221</v>
      </c>
    </row>
    <row r="7" spans="1:9" ht="14.25" thickBot="1">
      <c r="A7" s="3013">
        <v>6</v>
      </c>
      <c r="B7" s="3014" t="s">
        <v>3395</v>
      </c>
      <c r="C7" s="3351"/>
      <c r="D7" s="3015" t="s">
        <v>3396</v>
      </c>
      <c r="E7" s="3016">
        <v>386.96</v>
      </c>
      <c r="F7" s="3016">
        <v>1</v>
      </c>
      <c r="G7" s="3017" t="s">
        <v>1373</v>
      </c>
      <c r="H7">
        <f ca="1">典型户型修正!R33</f>
        <v>16294</v>
      </c>
      <c r="I7">
        <f ca="1">典型户型修正!S33</f>
        <v>631</v>
      </c>
    </row>
    <row r="8" spans="1:9" ht="14.25" thickBot="1">
      <c r="A8" s="3013">
        <v>7</v>
      </c>
      <c r="B8" s="3014" t="s">
        <v>3389</v>
      </c>
      <c r="C8" s="3351"/>
      <c r="D8" s="3015" t="s">
        <v>3391</v>
      </c>
      <c r="E8" s="3016">
        <v>3296.46</v>
      </c>
      <c r="F8" s="3016">
        <v>1</v>
      </c>
      <c r="G8" s="3017" t="s">
        <v>1373</v>
      </c>
      <c r="H8">
        <f ca="1">典型户型修正!R36</f>
        <v>15643</v>
      </c>
      <c r="I8">
        <f ca="1">典型户型修正!S36</f>
        <v>5157</v>
      </c>
    </row>
    <row r="9" spans="1:9" ht="14.25" thickBot="1">
      <c r="A9" s="3013">
        <v>8</v>
      </c>
      <c r="B9" s="3014" t="s">
        <v>3397</v>
      </c>
      <c r="C9" s="3351"/>
      <c r="D9" s="3015" t="s">
        <v>3398</v>
      </c>
      <c r="E9" s="3016">
        <v>235.63</v>
      </c>
      <c r="F9" s="3016">
        <v>1</v>
      </c>
      <c r="G9" s="3017" t="s">
        <v>1373</v>
      </c>
      <c r="H9">
        <f ca="1">典型户型修正!R38</f>
        <v>14665</v>
      </c>
      <c r="I9">
        <f ca="1">典型户型修正!S38</f>
        <v>346</v>
      </c>
    </row>
    <row r="10" spans="1:9" ht="14.25" thickBot="1">
      <c r="A10" s="3013">
        <v>9</v>
      </c>
      <c r="B10" s="3014" t="s">
        <v>3399</v>
      </c>
      <c r="C10" s="3351"/>
      <c r="D10" s="3015" t="s">
        <v>3400</v>
      </c>
      <c r="E10" s="3016">
        <v>209.46</v>
      </c>
      <c r="F10" s="3016">
        <v>1</v>
      </c>
      <c r="G10" s="3017" t="s">
        <v>1373</v>
      </c>
      <c r="H10">
        <f ca="1">典型户型修正!R39</f>
        <v>14665</v>
      </c>
      <c r="I10">
        <f ca="1">典型户型修正!S39</f>
        <v>307</v>
      </c>
    </row>
    <row r="11" spans="1:9" ht="14.25" thickBot="1">
      <c r="A11" s="3013">
        <v>10</v>
      </c>
      <c r="B11" s="3014" t="s">
        <v>3401</v>
      </c>
      <c r="C11" s="3351"/>
      <c r="D11" s="3015" t="s">
        <v>3402</v>
      </c>
      <c r="E11" s="3016">
        <v>215.47</v>
      </c>
      <c r="F11" s="3016">
        <v>1</v>
      </c>
      <c r="G11" s="3017" t="s">
        <v>1373</v>
      </c>
      <c r="H11">
        <f ca="1">典型户型修正!R41</f>
        <v>16294</v>
      </c>
      <c r="I11">
        <f ca="1">典型户型修正!S41</f>
        <v>351</v>
      </c>
    </row>
    <row r="12" spans="1:9" ht="14.25" thickBot="1">
      <c r="A12" s="3013">
        <v>11</v>
      </c>
      <c r="B12" s="3014" t="s">
        <v>3403</v>
      </c>
      <c r="C12" s="3351"/>
      <c r="D12" s="3015" t="s">
        <v>3404</v>
      </c>
      <c r="E12" s="3016">
        <v>1193.8599999999999</v>
      </c>
      <c r="F12" s="3016" t="s">
        <v>3063</v>
      </c>
      <c r="G12" s="3017" t="s">
        <v>1373</v>
      </c>
      <c r="H12">
        <f ca="1">典型户型修正!R42</f>
        <v>11976</v>
      </c>
      <c r="I12">
        <f ca="1">典型户型修正!S42</f>
        <v>1430</v>
      </c>
    </row>
    <row r="13" spans="1:9" ht="14.25" thickBot="1">
      <c r="A13" s="3013">
        <v>12</v>
      </c>
      <c r="B13" s="3014" t="s">
        <v>3405</v>
      </c>
      <c r="C13" s="3351"/>
      <c r="D13" s="3015" t="s">
        <v>3406</v>
      </c>
      <c r="E13" s="3016">
        <v>122.4</v>
      </c>
      <c r="F13" s="3016">
        <v>1</v>
      </c>
      <c r="G13" s="3017" t="s">
        <v>1373</v>
      </c>
      <c r="H13">
        <f ca="1">典型户型修正!R43</f>
        <v>14812</v>
      </c>
      <c r="I13">
        <f ca="1">典型户型修正!S43</f>
        <v>181</v>
      </c>
    </row>
    <row r="14" spans="1:9" ht="14.25" thickBot="1">
      <c r="A14" s="3013">
        <v>13</v>
      </c>
      <c r="B14" s="3014" t="s">
        <v>3407</v>
      </c>
      <c r="C14" s="3351"/>
      <c r="D14" s="3015" t="s">
        <v>3408</v>
      </c>
      <c r="E14" s="3016">
        <v>144.21</v>
      </c>
      <c r="F14" s="3016">
        <v>1</v>
      </c>
      <c r="G14" s="3017" t="s">
        <v>1373</v>
      </c>
      <c r="H14">
        <f ca="1">典型户型修正!R44</f>
        <v>14812</v>
      </c>
      <c r="I14">
        <f ca="1">典型户型修正!S44</f>
        <v>214</v>
      </c>
    </row>
    <row r="15" spans="1:9" ht="14.25" thickBot="1">
      <c r="A15" s="3013">
        <v>14</v>
      </c>
      <c r="B15" s="3014" t="s">
        <v>3409</v>
      </c>
      <c r="C15" s="3351"/>
      <c r="D15" s="3014" t="s">
        <v>3410</v>
      </c>
      <c r="E15" s="3016">
        <v>51.65</v>
      </c>
      <c r="F15" s="3016">
        <v>1</v>
      </c>
      <c r="G15" s="3017" t="s">
        <v>1373</v>
      </c>
      <c r="H15">
        <f ca="1">典型户型修正!R47</f>
        <v>14958</v>
      </c>
      <c r="I15">
        <f ca="1">典型户型修正!S47</f>
        <v>77</v>
      </c>
    </row>
    <row r="16" spans="1:9" ht="14.25" thickBot="1">
      <c r="A16" s="3013">
        <v>15</v>
      </c>
      <c r="B16" s="3014" t="s">
        <v>3411</v>
      </c>
      <c r="C16" s="3352"/>
      <c r="D16" s="3014" t="s">
        <v>3398</v>
      </c>
      <c r="E16" s="3016">
        <v>266.39</v>
      </c>
      <c r="F16" s="3016">
        <v>1</v>
      </c>
      <c r="G16" s="3017" t="s">
        <v>1373</v>
      </c>
      <c r="H16">
        <f ca="1">典型户型修正!R48</f>
        <v>14665</v>
      </c>
      <c r="I16">
        <f ca="1">典型户型修正!S48</f>
        <v>391</v>
      </c>
    </row>
    <row r="17" spans="1:9" ht="14.25" thickBot="1">
      <c r="A17" s="3013">
        <v>16</v>
      </c>
      <c r="B17" s="3014" t="s">
        <v>3412</v>
      </c>
      <c r="C17" s="3350" t="s">
        <v>3458</v>
      </c>
      <c r="D17" s="3015" t="s">
        <v>3402</v>
      </c>
      <c r="E17" s="3016">
        <v>1318.25</v>
      </c>
      <c r="F17" s="3016" t="s">
        <v>3063</v>
      </c>
      <c r="G17" s="3017" t="s">
        <v>1373</v>
      </c>
      <c r="H17">
        <f ca="1">典型户型修正!R25</f>
        <v>12715</v>
      </c>
      <c r="I17">
        <f ca="1">典型户型修正!S25</f>
        <v>1676</v>
      </c>
    </row>
    <row r="18" spans="1:9" ht="14.25" thickBot="1">
      <c r="A18" s="3013">
        <v>17</v>
      </c>
      <c r="B18" s="3014" t="s">
        <v>3413</v>
      </c>
      <c r="C18" s="3351"/>
      <c r="D18" s="3015" t="s">
        <v>3402</v>
      </c>
      <c r="E18" s="3016">
        <v>1498.53</v>
      </c>
      <c r="F18" s="3016" t="s">
        <v>3064</v>
      </c>
      <c r="G18" s="3017" t="s">
        <v>1373</v>
      </c>
      <c r="H18">
        <f ca="1">典型户型修正!R26</f>
        <v>8476</v>
      </c>
      <c r="I18">
        <f ca="1">典型户型修正!S26</f>
        <v>1270</v>
      </c>
    </row>
    <row r="19" spans="1:9" ht="14.25" thickBot="1">
      <c r="A19" s="3013">
        <v>18</v>
      </c>
      <c r="B19" s="3014" t="s">
        <v>3414</v>
      </c>
      <c r="C19" s="3351"/>
      <c r="D19" s="3015" t="s">
        <v>3415</v>
      </c>
      <c r="E19" s="3016">
        <v>285.99</v>
      </c>
      <c r="F19" s="3016">
        <v>1</v>
      </c>
      <c r="G19" s="3017" t="s">
        <v>1373</v>
      </c>
      <c r="H19">
        <f ca="1">典型户型修正!R29</f>
        <v>15264</v>
      </c>
      <c r="I19">
        <f ca="1">典型户型修正!S29</f>
        <v>437</v>
      </c>
    </row>
    <row r="20" spans="1:9" ht="14.25" hidden="1" thickBot="1">
      <c r="A20" s="3013">
        <v>19</v>
      </c>
      <c r="B20" s="3014" t="s">
        <v>3389</v>
      </c>
      <c r="C20" s="3351"/>
      <c r="D20" s="3015" t="s">
        <v>3392</v>
      </c>
      <c r="E20" s="3016">
        <v>514.71</v>
      </c>
      <c r="F20" s="3016">
        <v>1</v>
      </c>
      <c r="G20" s="3017" t="s">
        <v>1373</v>
      </c>
      <c r="H20">
        <f>典型户型修正!R32</f>
        <v>0</v>
      </c>
      <c r="I20">
        <f>典型户型修正!S32</f>
        <v>0</v>
      </c>
    </row>
    <row r="21" spans="1:9" ht="14.25" thickBot="1">
      <c r="A21" s="3013">
        <v>20</v>
      </c>
      <c r="B21" s="3014" t="s">
        <v>3416</v>
      </c>
      <c r="C21" s="3351"/>
      <c r="D21" s="3015" t="s">
        <v>3417</v>
      </c>
      <c r="E21" s="3016">
        <v>440.3</v>
      </c>
      <c r="F21" s="3016">
        <v>1</v>
      </c>
      <c r="G21" s="3017" t="s">
        <v>1373</v>
      </c>
      <c r="H21">
        <f ca="1">典型户型修正!R34</f>
        <v>17299</v>
      </c>
      <c r="I21">
        <f ca="1">典型户型修正!S34</f>
        <v>762</v>
      </c>
    </row>
    <row r="22" spans="1:9" ht="14.25" thickBot="1">
      <c r="A22" s="3013">
        <v>21</v>
      </c>
      <c r="B22" s="3014" t="s">
        <v>3418</v>
      </c>
      <c r="C22" s="3351"/>
      <c r="D22" s="3015" t="s">
        <v>3417</v>
      </c>
      <c r="E22" s="3016">
        <v>404.55</v>
      </c>
      <c r="F22" s="3016">
        <v>2</v>
      </c>
      <c r="G22" s="3017" t="s">
        <v>1373</v>
      </c>
      <c r="H22">
        <f ca="1">典型户型修正!R35</f>
        <v>8310</v>
      </c>
      <c r="I22">
        <f ca="1">典型户型修正!S35</f>
        <v>336</v>
      </c>
    </row>
    <row r="23" spans="1:9" ht="14.25" thickBot="1">
      <c r="A23" s="3013" t="s">
        <v>3464</v>
      </c>
      <c r="B23" s="3014" t="s">
        <v>3419</v>
      </c>
      <c r="C23" s="3351"/>
      <c r="D23" s="3015" t="s">
        <v>3420</v>
      </c>
      <c r="E23" s="3016">
        <v>1339.77</v>
      </c>
      <c r="F23" s="3016">
        <v>1</v>
      </c>
      <c r="G23" s="3017" t="s">
        <v>1373</v>
      </c>
      <c r="H23">
        <f ca="1">ROUND(典型户型修正!U39,0)</f>
        <v>12890</v>
      </c>
      <c r="I23">
        <f ca="1">典型户型修正!U38</f>
        <v>1727</v>
      </c>
    </row>
    <row r="24" spans="1:9" ht="14.25" hidden="1" thickBot="1">
      <c r="A24" s="3013">
        <v>23</v>
      </c>
      <c r="B24" s="3014" t="s">
        <v>3389</v>
      </c>
      <c r="C24" s="3351"/>
      <c r="D24" s="3015" t="s">
        <v>3421</v>
      </c>
      <c r="E24" s="3016">
        <v>231.51</v>
      </c>
      <c r="F24" s="3016">
        <v>1</v>
      </c>
      <c r="G24" s="3017" t="s">
        <v>1373</v>
      </c>
      <c r="H24">
        <f>典型户型修正!R40</f>
        <v>0</v>
      </c>
      <c r="I24">
        <f>典型户型修正!S40</f>
        <v>0</v>
      </c>
    </row>
    <row r="25" spans="1:9" ht="14.25" hidden="1" thickBot="1">
      <c r="A25" s="3013">
        <v>24</v>
      </c>
      <c r="B25" s="3014" t="s">
        <v>3389</v>
      </c>
      <c r="C25" s="3352"/>
      <c r="D25" s="3015" t="s">
        <v>3422</v>
      </c>
      <c r="E25" s="3016">
        <v>139.24</v>
      </c>
      <c r="F25" s="3016">
        <v>1</v>
      </c>
      <c r="G25" s="3017" t="s">
        <v>1373</v>
      </c>
      <c r="H25">
        <f>典型户型修正!R45</f>
        <v>0</v>
      </c>
      <c r="I25">
        <f>典型户型修正!S45</f>
        <v>0</v>
      </c>
    </row>
    <row r="26" spans="1:9" ht="14.25" hidden="1" thickBot="1">
      <c r="A26" s="3013">
        <v>25</v>
      </c>
      <c r="B26" s="3014" t="s">
        <v>3423</v>
      </c>
      <c r="C26" s="3353" t="s">
        <v>3459</v>
      </c>
      <c r="D26" s="3014" t="s">
        <v>3424</v>
      </c>
      <c r="E26" s="3016">
        <v>808.61</v>
      </c>
      <c r="F26" s="3016">
        <v>3</v>
      </c>
      <c r="G26" s="3017" t="s">
        <v>1373</v>
      </c>
      <c r="H26">
        <f>典型户型修正!R49</f>
        <v>0</v>
      </c>
      <c r="I26">
        <f>典型户型修正!S49</f>
        <v>0</v>
      </c>
    </row>
    <row r="27" spans="1:9" ht="14.25" hidden="1" thickBot="1">
      <c r="A27" s="3013">
        <v>26</v>
      </c>
      <c r="B27" s="3014" t="s">
        <v>3425</v>
      </c>
      <c r="C27" s="3354"/>
      <c r="D27" s="3014" t="s">
        <v>3426</v>
      </c>
      <c r="E27" s="3016">
        <v>1091.22</v>
      </c>
      <c r="F27" s="3016">
        <v>4</v>
      </c>
      <c r="G27" s="3017" t="s">
        <v>1373</v>
      </c>
      <c r="H27">
        <f>典型户型修正!R50</f>
        <v>0</v>
      </c>
      <c r="I27">
        <f>典型户型修正!S50</f>
        <v>0</v>
      </c>
    </row>
    <row r="28" spans="1:9" ht="14.25" hidden="1" thickBot="1">
      <c r="A28" s="3013">
        <v>27</v>
      </c>
      <c r="B28" s="3014" t="s">
        <v>3427</v>
      </c>
      <c r="C28" s="3354"/>
      <c r="D28" s="3014" t="s">
        <v>3428</v>
      </c>
      <c r="E28" s="3016">
        <v>281.77999999999997</v>
      </c>
      <c r="F28" s="3016">
        <v>1</v>
      </c>
      <c r="G28" s="3017" t="s">
        <v>1373</v>
      </c>
      <c r="H28">
        <f>典型户型修正!R51</f>
        <v>0</v>
      </c>
      <c r="I28">
        <f>典型户型修正!S51</f>
        <v>0</v>
      </c>
    </row>
    <row r="29" spans="1:9" ht="14.25" hidden="1" thickBot="1">
      <c r="A29" s="3013">
        <v>28</v>
      </c>
      <c r="B29" s="3014" t="s">
        <v>3429</v>
      </c>
      <c r="C29" s="3354"/>
      <c r="D29" s="3014" t="s">
        <v>3430</v>
      </c>
      <c r="E29" s="3016">
        <v>967.98</v>
      </c>
      <c r="F29" s="3016">
        <v>4</v>
      </c>
      <c r="G29" s="3017" t="s">
        <v>1373</v>
      </c>
      <c r="H29">
        <f>典型户型修正!R52</f>
        <v>0</v>
      </c>
      <c r="I29">
        <f>典型户型修正!S52</f>
        <v>0</v>
      </c>
    </row>
    <row r="30" spans="1:9" ht="14.25" hidden="1" thickBot="1">
      <c r="A30" s="3013">
        <v>29</v>
      </c>
      <c r="B30" s="3014" t="s">
        <v>3431</v>
      </c>
      <c r="C30" s="3354"/>
      <c r="D30" s="3014" t="s">
        <v>3432</v>
      </c>
      <c r="E30" s="3016">
        <v>809.67</v>
      </c>
      <c r="F30" s="3016">
        <v>4</v>
      </c>
      <c r="G30" s="3017" t="s">
        <v>1373</v>
      </c>
      <c r="H30">
        <f>典型户型修正!R53</f>
        <v>0</v>
      </c>
      <c r="I30">
        <f>典型户型修正!S53</f>
        <v>0</v>
      </c>
    </row>
    <row r="31" spans="1:9" ht="14.25" hidden="1" thickBot="1">
      <c r="A31" s="3013">
        <v>30</v>
      </c>
      <c r="B31" s="3014" t="s">
        <v>3433</v>
      </c>
      <c r="C31" s="3354"/>
      <c r="D31" s="3014" t="s">
        <v>3434</v>
      </c>
      <c r="E31" s="3016">
        <v>125.49</v>
      </c>
      <c r="F31" s="3016">
        <v>1</v>
      </c>
      <c r="G31" s="3017" t="s">
        <v>1373</v>
      </c>
      <c r="H31">
        <f>典型户型修正!R54</f>
        <v>0</v>
      </c>
      <c r="I31">
        <f>典型户型修正!S54</f>
        <v>0</v>
      </c>
    </row>
    <row r="32" spans="1:9" ht="14.25" hidden="1" thickBot="1">
      <c r="A32" s="3013">
        <v>31</v>
      </c>
      <c r="B32" s="3014" t="s">
        <v>3435</v>
      </c>
      <c r="C32" s="3354"/>
      <c r="D32" s="3014" t="s">
        <v>3436</v>
      </c>
      <c r="E32" s="3016">
        <v>848.61</v>
      </c>
      <c r="F32" s="3016">
        <v>2</v>
      </c>
      <c r="G32" s="3017" t="s">
        <v>1373</v>
      </c>
      <c r="H32">
        <f>典型户型修正!R55</f>
        <v>0</v>
      </c>
      <c r="I32">
        <f>典型户型修正!S55</f>
        <v>0</v>
      </c>
    </row>
    <row r="33" spans="1:9" ht="14.25" hidden="1" thickBot="1">
      <c r="A33" s="3013">
        <v>32</v>
      </c>
      <c r="B33" s="3014" t="s">
        <v>3437</v>
      </c>
      <c r="C33" s="3354"/>
      <c r="D33" s="3014" t="s">
        <v>3438</v>
      </c>
      <c r="E33" s="3016">
        <v>974.85</v>
      </c>
      <c r="F33" s="3016">
        <v>3</v>
      </c>
      <c r="G33" s="3017" t="s">
        <v>1373</v>
      </c>
      <c r="H33">
        <f>典型户型修正!R56</f>
        <v>0</v>
      </c>
      <c r="I33">
        <f>典型户型修正!S56</f>
        <v>0</v>
      </c>
    </row>
    <row r="34" spans="1:9" ht="14.25" hidden="1" thickBot="1">
      <c r="A34" s="3013">
        <v>33</v>
      </c>
      <c r="B34" s="3014" t="s">
        <v>3439</v>
      </c>
      <c r="C34" s="3354"/>
      <c r="D34" s="3014" t="s">
        <v>3440</v>
      </c>
      <c r="E34" s="3016">
        <v>55.16</v>
      </c>
      <c r="F34" s="3016">
        <v>1</v>
      </c>
      <c r="G34" s="3017" t="s">
        <v>1373</v>
      </c>
      <c r="H34">
        <f>典型户型修正!R57</f>
        <v>0</v>
      </c>
      <c r="I34">
        <f>典型户型修正!S57</f>
        <v>0</v>
      </c>
    </row>
    <row r="35" spans="1:9" ht="14.25" hidden="1" thickBot="1">
      <c r="A35" s="3013">
        <v>34</v>
      </c>
      <c r="B35" s="3014" t="s">
        <v>3441</v>
      </c>
      <c r="C35" s="3354"/>
      <c r="D35" s="3014" t="s">
        <v>3442</v>
      </c>
      <c r="E35" s="3016">
        <v>129.04</v>
      </c>
      <c r="F35" s="3016">
        <v>1</v>
      </c>
      <c r="G35" s="3017" t="s">
        <v>1373</v>
      </c>
      <c r="H35">
        <f>典型户型修正!R58</f>
        <v>0</v>
      </c>
      <c r="I35">
        <f>典型户型修正!S58</f>
        <v>0</v>
      </c>
    </row>
    <row r="36" spans="1:9" ht="14.25" hidden="1" thickBot="1">
      <c r="A36" s="3013">
        <v>35</v>
      </c>
      <c r="B36" s="3014" t="s">
        <v>3443</v>
      </c>
      <c r="C36" s="3354"/>
      <c r="D36" s="3014" t="s">
        <v>3444</v>
      </c>
      <c r="E36" s="3016">
        <v>169.95</v>
      </c>
      <c r="F36" s="3016">
        <v>1</v>
      </c>
      <c r="G36" s="3017" t="s">
        <v>1373</v>
      </c>
      <c r="H36">
        <f>典型户型修正!R59</f>
        <v>0</v>
      </c>
      <c r="I36">
        <f>典型户型修正!S59</f>
        <v>0</v>
      </c>
    </row>
    <row r="37" spans="1:9" ht="14.25" hidden="1" thickBot="1">
      <c r="A37" s="3013">
        <v>36</v>
      </c>
      <c r="B37" s="3014" t="s">
        <v>3445</v>
      </c>
      <c r="C37" s="3354"/>
      <c r="D37" s="3014" t="s">
        <v>3446</v>
      </c>
      <c r="E37" s="3016">
        <v>1093.67</v>
      </c>
      <c r="F37" s="3016">
        <v>3</v>
      </c>
      <c r="G37" s="3017" t="s">
        <v>1373</v>
      </c>
      <c r="H37">
        <f>典型户型修正!R60</f>
        <v>0</v>
      </c>
      <c r="I37">
        <f>典型户型修正!S60</f>
        <v>0</v>
      </c>
    </row>
    <row r="38" spans="1:9" ht="14.25" thickBot="1">
      <c r="A38" s="3013">
        <v>37</v>
      </c>
      <c r="B38" s="3014" t="s">
        <v>3447</v>
      </c>
      <c r="C38" s="3354"/>
      <c r="D38" s="3014" t="s">
        <v>3448</v>
      </c>
      <c r="E38" s="3016">
        <v>1488.07</v>
      </c>
      <c r="F38" s="3016">
        <v>2</v>
      </c>
      <c r="G38" s="3017" t="s">
        <v>1373</v>
      </c>
      <c r="H38">
        <f ca="1">典型户型修正!R61</f>
        <v>7778</v>
      </c>
      <c r="I38">
        <f ca="1">典型户型修正!S61</f>
        <v>1157</v>
      </c>
    </row>
    <row r="39" spans="1:9" ht="14.25" thickBot="1">
      <c r="A39" s="3013">
        <v>38</v>
      </c>
      <c r="B39" s="3014" t="s">
        <v>3449</v>
      </c>
      <c r="C39" s="3354"/>
      <c r="D39" s="3014" t="s">
        <v>3450</v>
      </c>
      <c r="E39" s="3016">
        <v>484.66</v>
      </c>
      <c r="F39" s="3016">
        <v>1</v>
      </c>
      <c r="G39" s="3017" t="s">
        <v>1373</v>
      </c>
      <c r="H39">
        <f ca="1">典型户型修正!R62</f>
        <v>15874</v>
      </c>
      <c r="I39">
        <f ca="1">典型户型修正!S62</f>
        <v>769</v>
      </c>
    </row>
    <row r="40" spans="1:9" ht="14.25" thickBot="1">
      <c r="A40" s="3013">
        <v>39</v>
      </c>
      <c r="B40" s="3014" t="s">
        <v>3451</v>
      </c>
      <c r="C40" s="3354"/>
      <c r="D40" s="3014" t="s">
        <v>3452</v>
      </c>
      <c r="E40" s="3016">
        <v>974.85</v>
      </c>
      <c r="F40" s="3016">
        <v>2</v>
      </c>
      <c r="G40" s="3017" t="s">
        <v>1373</v>
      </c>
      <c r="H40">
        <f ca="1">典型户型修正!R63</f>
        <v>7858</v>
      </c>
      <c r="I40">
        <f ca="1">典型户型修正!S63</f>
        <v>766</v>
      </c>
    </row>
    <row r="41" spans="1:9" ht="14.25" hidden="1" thickBot="1">
      <c r="A41" s="3013">
        <v>40</v>
      </c>
      <c r="B41" s="3014" t="s">
        <v>3453</v>
      </c>
      <c r="C41" s="3354"/>
      <c r="D41" s="3014" t="s">
        <v>3454</v>
      </c>
      <c r="E41" s="3016">
        <v>265.35000000000002</v>
      </c>
      <c r="F41" s="3016">
        <v>1</v>
      </c>
      <c r="G41" s="3017" t="s">
        <v>1373</v>
      </c>
      <c r="H41">
        <f>典型户型修正!R64</f>
        <v>0</v>
      </c>
      <c r="I41">
        <f>典型户型修正!S64</f>
        <v>0</v>
      </c>
    </row>
    <row r="42" spans="1:9" ht="14.25" hidden="1" thickBot="1">
      <c r="A42" s="3013">
        <v>41</v>
      </c>
      <c r="B42" s="3014" t="s">
        <v>3455</v>
      </c>
      <c r="C42" s="3355"/>
      <c r="D42" s="3014" t="s">
        <v>3456</v>
      </c>
      <c r="E42" s="3016">
        <v>781.93</v>
      </c>
      <c r="F42" s="3016">
        <v>3</v>
      </c>
      <c r="G42" s="3017" t="s">
        <v>1373</v>
      </c>
      <c r="H42">
        <f>典型户型修正!R65</f>
        <v>0</v>
      </c>
      <c r="I42">
        <f>典型户型修正!S65</f>
        <v>0</v>
      </c>
    </row>
    <row r="43" spans="1:9" ht="14.25" thickBot="1">
      <c r="A43" s="3356"/>
      <c r="B43" s="3357"/>
      <c r="C43" s="3358" t="s">
        <v>37</v>
      </c>
      <c r="D43" s="3359"/>
      <c r="E43" s="3360">
        <f>典型户型修正!B22</f>
        <v>16284.279999999995</v>
      </c>
      <c r="F43" s="3014" t="s">
        <v>70</v>
      </c>
      <c r="G43" s="3017" t="s">
        <v>70</v>
      </c>
      <c r="I43">
        <f ca="1">SUM(I2:I42)</f>
        <v>21009</v>
      </c>
    </row>
  </sheetData>
  <mergeCells count="5">
    <mergeCell ref="C2:C16"/>
    <mergeCell ref="C17:C25"/>
    <mergeCell ref="C26:C42"/>
    <mergeCell ref="A43:B43"/>
    <mergeCell ref="C43:D4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zoomScaleNormal="100" workbookViewId="0">
      <selection activeCell="C20" sqref="C20"/>
    </sheetView>
  </sheetViews>
  <sheetFormatPr defaultRowHeight="13.5"/>
  <cols>
    <col min="1" max="1" width="27" bestFit="1" customWidth="1"/>
    <col min="2" max="2" width="11.25" customWidth="1"/>
    <col min="4" max="4" width="10.5" bestFit="1" customWidth="1"/>
    <col min="6" max="6" width="12.125" customWidth="1"/>
    <col min="7" max="7" width="11" customWidth="1"/>
    <col min="9" max="9" width="11" bestFit="1" customWidth="1"/>
    <col min="11" max="12" width="16.25" customWidth="1"/>
    <col min="13" max="13" width="11.375" customWidth="1"/>
    <col min="14" max="14" width="17.875" customWidth="1"/>
  </cols>
  <sheetData>
    <row r="1" spans="1:16">
      <c r="C1" s="2947" t="s">
        <v>3046</v>
      </c>
      <c r="D1" s="2947" t="s">
        <v>3047</v>
      </c>
      <c r="E1" s="2947" t="s">
        <v>3048</v>
      </c>
      <c r="F1" s="2947" t="s">
        <v>3203</v>
      </c>
      <c r="G1" s="2947" t="s">
        <v>3204</v>
      </c>
      <c r="I1" s="2947" t="s">
        <v>3205</v>
      </c>
      <c r="L1" s="2947" t="s">
        <v>3342</v>
      </c>
      <c r="M1" s="2947" t="s">
        <v>3331</v>
      </c>
      <c r="N1" s="2947" t="s">
        <v>3332</v>
      </c>
      <c r="P1" s="2947" t="s">
        <v>3340</v>
      </c>
    </row>
    <row r="2" spans="1:16" s="3006" customFormat="1">
      <c r="A2" s="3005" t="s">
        <v>3224</v>
      </c>
      <c r="B2" s="3005" t="s">
        <v>3049</v>
      </c>
      <c r="C2" s="3006">
        <v>424.2</v>
      </c>
      <c r="D2" s="3007">
        <v>1</v>
      </c>
      <c r="E2" s="3006">
        <v>70</v>
      </c>
      <c r="K2" s="3006">
        <v>43799064.530000001</v>
      </c>
      <c r="L2" s="3006">
        <f ca="1">典型户型修正!R24</f>
        <v>16627</v>
      </c>
      <c r="N2" s="3005" t="s">
        <v>3333</v>
      </c>
    </row>
    <row r="3" spans="1:16">
      <c r="A3" s="2947" t="s">
        <v>3227</v>
      </c>
      <c r="B3" s="2947" t="s">
        <v>3050</v>
      </c>
      <c r="C3">
        <v>1318.25</v>
      </c>
      <c r="D3" s="2948" t="s">
        <v>3063</v>
      </c>
      <c r="E3">
        <v>1998</v>
      </c>
      <c r="F3" s="2979">
        <f>ROUND(1-(2019-1998)/50,2)</f>
        <v>0.57999999999999996</v>
      </c>
      <c r="G3">
        <v>0.82</v>
      </c>
      <c r="H3">
        <f>F3+G3</f>
        <v>1.4</v>
      </c>
      <c r="I3">
        <f>H3/2</f>
        <v>0.7</v>
      </c>
      <c r="K3">
        <v>47792547.359999999</v>
      </c>
      <c r="L3">
        <f ca="1">典型户型修正!R25</f>
        <v>12715</v>
      </c>
      <c r="N3" s="2947" t="s">
        <v>3335</v>
      </c>
    </row>
    <row r="4" spans="1:16">
      <c r="A4" s="2947" t="s">
        <v>3228</v>
      </c>
      <c r="B4" s="2947" t="s">
        <v>3051</v>
      </c>
      <c r="C4">
        <v>1498.53</v>
      </c>
      <c r="D4" s="2948" t="s">
        <v>3064</v>
      </c>
      <c r="E4">
        <v>1998</v>
      </c>
      <c r="I4">
        <v>0.7</v>
      </c>
      <c r="K4">
        <v>20065661.27</v>
      </c>
      <c r="L4">
        <f ca="1">典型户型修正!R26</f>
        <v>8476</v>
      </c>
    </row>
    <row r="5" spans="1:16" s="3006" customFormat="1">
      <c r="B5" s="3005" t="s">
        <v>3324</v>
      </c>
      <c r="C5" s="3006">
        <v>626</v>
      </c>
      <c r="D5" s="3008">
        <v>1</v>
      </c>
      <c r="K5" s="3006">
        <v>4274780.33</v>
      </c>
      <c r="L5" s="3006">
        <f ca="1">典型户型修正!R27</f>
        <v>16132</v>
      </c>
    </row>
    <row r="6" spans="1:16" s="3006" customFormat="1">
      <c r="B6" s="3005" t="s">
        <v>3052</v>
      </c>
      <c r="C6" s="3006">
        <v>163.43</v>
      </c>
      <c r="D6" s="3008">
        <v>1</v>
      </c>
      <c r="K6" s="3006">
        <v>9088213.9199999999</v>
      </c>
      <c r="L6" s="3006">
        <f ca="1">典型户型修正!R28</f>
        <v>16457</v>
      </c>
      <c r="N6" s="3005" t="s">
        <v>3333</v>
      </c>
    </row>
    <row r="7" spans="1:16">
      <c r="A7" s="2947" t="s">
        <v>3226</v>
      </c>
      <c r="B7" s="2947" t="s">
        <v>3053</v>
      </c>
      <c r="C7">
        <v>285.99</v>
      </c>
      <c r="D7" s="2949">
        <v>1</v>
      </c>
      <c r="E7">
        <v>2010</v>
      </c>
      <c r="F7">
        <f>ROUND(1-(2019-2010)/50,2)</f>
        <v>0.82</v>
      </c>
      <c r="G7">
        <v>0.9</v>
      </c>
      <c r="H7">
        <f>F7+G7</f>
        <v>1.72</v>
      </c>
      <c r="I7">
        <f>H7/2</f>
        <v>0.86</v>
      </c>
      <c r="K7">
        <v>15446718.720000001</v>
      </c>
      <c r="L7">
        <f ca="1">典型户型修正!R29</f>
        <v>15264</v>
      </c>
    </row>
    <row r="8" spans="1:16" s="3006" customFormat="1">
      <c r="B8" s="3005" t="s">
        <v>3054</v>
      </c>
      <c r="C8" s="3006">
        <v>564.07000000000005</v>
      </c>
      <c r="D8" s="3008">
        <v>1</v>
      </c>
      <c r="K8" s="3006">
        <v>4611583.12</v>
      </c>
      <c r="L8" s="3006">
        <f ca="1">典型户型修正!R30</f>
        <v>14518</v>
      </c>
      <c r="N8" s="3005" t="s">
        <v>3333</v>
      </c>
    </row>
    <row r="9" spans="1:16" s="3006" customFormat="1">
      <c r="A9" s="3005" t="s">
        <v>3236</v>
      </c>
      <c r="B9" s="3005" t="s">
        <v>3325</v>
      </c>
      <c r="C9" s="3006">
        <v>149.12</v>
      </c>
      <c r="D9" s="3008">
        <v>1</v>
      </c>
      <c r="E9" s="3006">
        <v>80</v>
      </c>
      <c r="K9" s="3006">
        <v>15917569.4</v>
      </c>
      <c r="L9" s="3006">
        <f ca="1">典型户型修正!R31</f>
        <v>14812</v>
      </c>
      <c r="N9" s="3005" t="s">
        <v>3333</v>
      </c>
    </row>
    <row r="10" spans="1:16">
      <c r="B10" s="2947" t="s">
        <v>3055</v>
      </c>
      <c r="C10">
        <v>514.71</v>
      </c>
      <c r="D10" s="2949">
        <v>1</v>
      </c>
      <c r="K10">
        <v>12013533.07</v>
      </c>
      <c r="L10">
        <f>典型户型修正!R32</f>
        <v>0</v>
      </c>
      <c r="N10" s="2947" t="s">
        <v>3333</v>
      </c>
    </row>
    <row r="11" spans="1:16" s="3006" customFormat="1">
      <c r="A11" s="3005" t="s">
        <v>3222</v>
      </c>
      <c r="B11" s="3005" t="s">
        <v>3326</v>
      </c>
      <c r="C11" s="3006">
        <v>386.96</v>
      </c>
      <c r="D11" s="3008">
        <v>1</v>
      </c>
      <c r="E11" s="3006">
        <v>1982</v>
      </c>
      <c r="K11" s="3006">
        <v>13935054.699999999</v>
      </c>
      <c r="L11" s="3006">
        <f ca="1">典型户型修正!R33</f>
        <v>16294</v>
      </c>
    </row>
    <row r="12" spans="1:16">
      <c r="A12" s="2947" t="s">
        <v>3219</v>
      </c>
      <c r="B12" s="2947" t="s">
        <v>3056</v>
      </c>
      <c r="C12">
        <v>440.3</v>
      </c>
      <c r="D12" s="2948" t="s">
        <v>3063</v>
      </c>
      <c r="E12">
        <v>2004</v>
      </c>
      <c r="F12">
        <f>ROUND(1-(2019-2004)/50,2)</f>
        <v>0.7</v>
      </c>
      <c r="G12">
        <v>0.85</v>
      </c>
      <c r="H12">
        <f>F12+G12</f>
        <v>1.5499999999999998</v>
      </c>
      <c r="I12">
        <f>H12/2</f>
        <v>0.77499999999999991</v>
      </c>
      <c r="K12">
        <v>6401801.4800000004</v>
      </c>
      <c r="L12">
        <f ca="1">典型户型修正!R34</f>
        <v>17299</v>
      </c>
      <c r="N12" s="2947" t="s">
        <v>3336</v>
      </c>
    </row>
    <row r="13" spans="1:16">
      <c r="A13" s="2947" t="s">
        <v>3218</v>
      </c>
      <c r="B13" s="2947" t="s">
        <v>3327</v>
      </c>
      <c r="C13">
        <v>404.55</v>
      </c>
      <c r="D13" s="2949">
        <v>1</v>
      </c>
      <c r="E13">
        <v>2004</v>
      </c>
      <c r="K13">
        <v>86224072.620000005</v>
      </c>
      <c r="L13">
        <f ca="1">典型户型修正!R35</f>
        <v>8310</v>
      </c>
    </row>
    <row r="14" spans="1:16" s="3006" customFormat="1">
      <c r="B14" s="3005" t="s">
        <v>3052</v>
      </c>
      <c r="C14" s="3006">
        <v>3296.46</v>
      </c>
      <c r="D14" s="3008">
        <v>1</v>
      </c>
      <c r="K14" s="3006">
        <v>38299723.640000001</v>
      </c>
      <c r="L14" s="3006">
        <f ca="1">典型户型修正!R36</f>
        <v>15643</v>
      </c>
      <c r="N14" s="3005" t="s">
        <v>3333</v>
      </c>
    </row>
    <row r="15" spans="1:16">
      <c r="A15" s="2947" t="s">
        <v>3217</v>
      </c>
      <c r="B15" s="2947" t="s">
        <v>3328</v>
      </c>
      <c r="C15">
        <v>1339.77</v>
      </c>
      <c r="D15" s="2948" t="s">
        <v>3063</v>
      </c>
      <c r="E15">
        <v>50</v>
      </c>
      <c r="K15">
        <v>7244301.79</v>
      </c>
      <c r="L15">
        <f ca="1">典型户型修正!R37</f>
        <v>16454</v>
      </c>
      <c r="N15" s="2947" t="s">
        <v>3333</v>
      </c>
    </row>
    <row r="16" spans="1:16" s="3006" customFormat="1">
      <c r="A16" s="3005" t="s">
        <v>3221</v>
      </c>
      <c r="B16" s="3005" t="s">
        <v>3057</v>
      </c>
      <c r="C16" s="3006">
        <v>235.63</v>
      </c>
      <c r="D16" s="3008">
        <v>1</v>
      </c>
      <c r="E16" s="3006">
        <v>1986</v>
      </c>
      <c r="K16" s="3006">
        <v>6439720.9800000004</v>
      </c>
      <c r="L16" s="3006">
        <f ca="1">典型户型修正!R38</f>
        <v>14665</v>
      </c>
      <c r="N16" s="3005" t="s">
        <v>3333</v>
      </c>
    </row>
    <row r="17" spans="1:16" s="3006" customFormat="1">
      <c r="A17" s="3005" t="s">
        <v>3220</v>
      </c>
      <c r="B17" s="3005" t="s">
        <v>3058</v>
      </c>
      <c r="C17" s="3006">
        <v>209.46</v>
      </c>
      <c r="D17" s="3008">
        <v>1</v>
      </c>
      <c r="E17" s="3005" t="s">
        <v>3070</v>
      </c>
      <c r="K17" s="3006">
        <v>6055590.9199999999</v>
      </c>
      <c r="L17" s="3006">
        <f ca="1">典型户型修正!R39</f>
        <v>14665</v>
      </c>
      <c r="N17" s="3005" t="s">
        <v>3333</v>
      </c>
    </row>
    <row r="18" spans="1:16">
      <c r="B18" s="2947" t="s">
        <v>3059</v>
      </c>
      <c r="C18">
        <v>231.51</v>
      </c>
      <c r="D18" s="2949">
        <v>1</v>
      </c>
      <c r="K18">
        <v>6624494.79</v>
      </c>
      <c r="L18">
        <f>典型户型修正!R40</f>
        <v>0</v>
      </c>
      <c r="N18" s="2947" t="s">
        <v>3337</v>
      </c>
    </row>
    <row r="19" spans="1:16" s="3006" customFormat="1">
      <c r="A19" s="3005" t="s">
        <v>3225</v>
      </c>
      <c r="B19" s="3005" t="s">
        <v>3329</v>
      </c>
      <c r="C19" s="3006">
        <v>215.47</v>
      </c>
      <c r="D19" s="3008">
        <v>1</v>
      </c>
      <c r="E19" s="3006">
        <v>70</v>
      </c>
      <c r="K19" s="3006">
        <v>13041772.359999999</v>
      </c>
      <c r="L19" s="3006">
        <f ca="1">典型户型修正!R41</f>
        <v>16294</v>
      </c>
      <c r="N19" s="3005" t="s">
        <v>3338</v>
      </c>
    </row>
    <row r="20" spans="1:16" s="3006" customFormat="1">
      <c r="A20" s="3005" t="s">
        <v>3230</v>
      </c>
      <c r="B20" s="3005" t="s">
        <v>3060</v>
      </c>
      <c r="C20" s="3006">
        <v>1193.8599999999999</v>
      </c>
      <c r="D20" s="3009" t="s">
        <v>3065</v>
      </c>
      <c r="E20" s="3006">
        <v>60</v>
      </c>
      <c r="K20" s="3006">
        <v>19467892.050000001</v>
      </c>
      <c r="L20" s="3006">
        <f ca="1">典型户型修正!R42</f>
        <v>11976</v>
      </c>
      <c r="N20" s="3005" t="s">
        <v>3339</v>
      </c>
    </row>
    <row r="21" spans="1:16" s="3006" customFormat="1">
      <c r="A21" s="3005" t="s">
        <v>3229</v>
      </c>
      <c r="B21" s="3005" t="s">
        <v>3061</v>
      </c>
      <c r="C21" s="3006">
        <v>122.4</v>
      </c>
      <c r="D21" s="3008">
        <v>1</v>
      </c>
      <c r="E21" s="3006">
        <v>80</v>
      </c>
      <c r="K21" s="3006">
        <v>3785258.68</v>
      </c>
      <c r="L21" s="3006">
        <f ca="1">典型户型修正!R43</f>
        <v>14812</v>
      </c>
      <c r="N21" s="3005" t="s">
        <v>3334</v>
      </c>
      <c r="P21" s="3005" t="s">
        <v>3341</v>
      </c>
    </row>
    <row r="22" spans="1:16" s="3006" customFormat="1">
      <c r="A22" s="3005" t="s">
        <v>3223</v>
      </c>
      <c r="B22" s="3005" t="s">
        <v>3330</v>
      </c>
      <c r="C22" s="3006">
        <v>144.21</v>
      </c>
      <c r="D22" s="3008">
        <v>1</v>
      </c>
      <c r="E22" s="3006">
        <v>80</v>
      </c>
      <c r="K22" s="3006">
        <v>4459739.82</v>
      </c>
      <c r="L22" s="3006">
        <f ca="1">典型户型修正!R44</f>
        <v>14812</v>
      </c>
      <c r="N22" s="3005" t="s">
        <v>3333</v>
      </c>
    </row>
    <row r="23" spans="1:16">
      <c r="B23" s="2947" t="s">
        <v>3062</v>
      </c>
      <c r="C23">
        <v>139.24</v>
      </c>
      <c r="D23" s="2949">
        <v>1</v>
      </c>
      <c r="K23">
        <v>4305969.87</v>
      </c>
      <c r="L23">
        <f>典型户型修正!R45</f>
        <v>0</v>
      </c>
      <c r="N23" s="2947" t="s">
        <v>3333</v>
      </c>
    </row>
    <row r="24" spans="1:16">
      <c r="C24">
        <f>SUM(C2:C23)</f>
        <v>13904.119999999997</v>
      </c>
      <c r="D24" s="2948"/>
      <c r="K24">
        <f>SUM(K2:K23)</f>
        <v>389295065.42000008</v>
      </c>
    </row>
    <row r="26" spans="1:16" s="3006" customFormat="1">
      <c r="A26" s="3005" t="s">
        <v>3376</v>
      </c>
      <c r="B26" s="3005" t="s">
        <v>3377</v>
      </c>
      <c r="C26" s="3006">
        <v>51.65</v>
      </c>
      <c r="D26" s="3006">
        <v>1</v>
      </c>
    </row>
    <row r="27" spans="1:16" s="3006" customFormat="1">
      <c r="A27" s="3005" t="s">
        <v>3378</v>
      </c>
      <c r="B27" s="3005" t="s">
        <v>3379</v>
      </c>
      <c r="C27" s="3006">
        <v>266.39</v>
      </c>
      <c r="D27" s="3006">
        <v>1</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A4" workbookViewId="0">
      <selection activeCell="J38" sqref="J38"/>
    </sheetView>
  </sheetViews>
  <sheetFormatPr defaultRowHeight="13.5"/>
  <cols>
    <col min="1" max="1" width="31.875" customWidth="1"/>
    <col min="6" max="6" width="13.125" customWidth="1"/>
  </cols>
  <sheetData>
    <row r="1" spans="1:14">
      <c r="A1" s="2951" t="s">
        <v>3083</v>
      </c>
      <c r="B1" s="2951" t="s">
        <v>3084</v>
      </c>
      <c r="C1" s="2951" t="s">
        <v>3085</v>
      </c>
      <c r="D1" s="2951" t="s">
        <v>3086</v>
      </c>
      <c r="E1" s="2951" t="s">
        <v>3087</v>
      </c>
      <c r="F1" s="2951" t="s">
        <v>3088</v>
      </c>
      <c r="G1" s="2951" t="s">
        <v>3089</v>
      </c>
      <c r="H1" s="2951" t="s">
        <v>3090</v>
      </c>
      <c r="I1" s="2951" t="s">
        <v>3091</v>
      </c>
      <c r="J1" s="2951" t="s">
        <v>3092</v>
      </c>
      <c r="K1" s="2951" t="s">
        <v>3093</v>
      </c>
      <c r="L1" s="2951" t="s">
        <v>3094</v>
      </c>
      <c r="M1" s="2951" t="s">
        <v>3095</v>
      </c>
      <c r="N1" s="2951" t="s">
        <v>3096</v>
      </c>
    </row>
    <row r="2" spans="1:14" s="2955" customFormat="1">
      <c r="A2" s="2954" t="s">
        <v>3097</v>
      </c>
      <c r="B2" s="2954" t="s">
        <v>3098</v>
      </c>
      <c r="C2" s="2954" t="s">
        <v>3099</v>
      </c>
      <c r="D2" s="2954">
        <v>53773</v>
      </c>
      <c r="E2" s="2954">
        <v>134432.5</v>
      </c>
      <c r="F2" s="2954" t="s">
        <v>3100</v>
      </c>
      <c r="G2" s="2954" t="s">
        <v>3101</v>
      </c>
      <c r="H2" s="2954" t="s">
        <v>3102</v>
      </c>
      <c r="I2" s="2954">
        <v>17600</v>
      </c>
      <c r="J2" s="2954">
        <v>17600</v>
      </c>
      <c r="K2" s="2954">
        <v>1309.21</v>
      </c>
      <c r="L2" s="2954">
        <v>0</v>
      </c>
      <c r="M2" s="2954" t="s">
        <v>3103</v>
      </c>
      <c r="N2" s="2954" t="s">
        <v>3104</v>
      </c>
    </row>
    <row r="3" spans="1:14">
      <c r="A3" s="2951" t="s">
        <v>3105</v>
      </c>
      <c r="B3" s="2951" t="s">
        <v>3098</v>
      </c>
      <c r="C3" s="2951" t="s">
        <v>3099</v>
      </c>
      <c r="D3" s="2951">
        <v>131151</v>
      </c>
      <c r="E3" s="2951">
        <v>515423.4</v>
      </c>
      <c r="F3" s="2951" t="s">
        <v>3106</v>
      </c>
      <c r="G3" s="2951" t="s">
        <v>3101</v>
      </c>
      <c r="H3" s="2951" t="s">
        <v>3107</v>
      </c>
      <c r="I3" s="2951">
        <v>41998</v>
      </c>
      <c r="J3" s="2951">
        <v>43058</v>
      </c>
      <c r="K3" s="2951">
        <v>835.38</v>
      </c>
      <c r="L3" s="2951">
        <v>2.52</v>
      </c>
      <c r="M3" s="2951" t="s">
        <v>3108</v>
      </c>
      <c r="N3" s="2951" t="s">
        <v>3104</v>
      </c>
    </row>
    <row r="4" spans="1:14" s="2953" customFormat="1">
      <c r="A4" s="2952" t="s">
        <v>3109</v>
      </c>
      <c r="B4" s="2952" t="s">
        <v>3098</v>
      </c>
      <c r="C4" s="2952" t="s">
        <v>3099</v>
      </c>
      <c r="D4" s="2952">
        <v>137892</v>
      </c>
      <c r="E4" s="2952">
        <v>179259.6</v>
      </c>
      <c r="F4" s="2952" t="s">
        <v>3110</v>
      </c>
      <c r="G4" s="2952" t="s">
        <v>3101</v>
      </c>
      <c r="H4" s="2952" t="s">
        <v>3107</v>
      </c>
      <c r="I4" s="2952">
        <v>33387</v>
      </c>
      <c r="J4" s="2952">
        <v>34227</v>
      </c>
      <c r="K4" s="2952">
        <v>1909.34</v>
      </c>
      <c r="L4" s="2952">
        <v>2.52</v>
      </c>
      <c r="M4" s="2952" t="s">
        <v>3108</v>
      </c>
      <c r="N4" s="2952" t="s">
        <v>3104</v>
      </c>
    </row>
    <row r="5" spans="1:14" s="2953" customFormat="1">
      <c r="A5" s="2952" t="s">
        <v>3111</v>
      </c>
      <c r="B5" s="2952" t="s">
        <v>3098</v>
      </c>
      <c r="C5" s="2952" t="s">
        <v>3099</v>
      </c>
      <c r="D5" s="2952">
        <v>29426</v>
      </c>
      <c r="E5" s="2952">
        <v>73565</v>
      </c>
      <c r="F5" s="2952" t="s">
        <v>3100</v>
      </c>
      <c r="G5" s="2952" t="s">
        <v>3101</v>
      </c>
      <c r="H5" s="2952" t="s">
        <v>3112</v>
      </c>
      <c r="I5" s="2952">
        <v>9200</v>
      </c>
      <c r="J5" s="2952">
        <v>9210</v>
      </c>
      <c r="K5" s="2952">
        <v>1251.95</v>
      </c>
      <c r="L5" s="2952">
        <v>0.11</v>
      </c>
      <c r="M5" s="2952" t="s">
        <v>3113</v>
      </c>
      <c r="N5" s="2952" t="s">
        <v>3104</v>
      </c>
    </row>
    <row r="6" spans="1:14">
      <c r="A6" s="2951" t="s">
        <v>3114</v>
      </c>
      <c r="B6" s="2951" t="s">
        <v>3098</v>
      </c>
      <c r="C6" s="2951" t="s">
        <v>3099</v>
      </c>
      <c r="D6" s="2951">
        <v>1787.95</v>
      </c>
      <c r="E6" s="2951">
        <v>321.83</v>
      </c>
      <c r="F6" s="2951" t="s">
        <v>3115</v>
      </c>
      <c r="G6" s="2951" t="s">
        <v>3101</v>
      </c>
      <c r="H6" s="2951" t="s">
        <v>3116</v>
      </c>
      <c r="I6" s="2951">
        <v>150</v>
      </c>
      <c r="J6" s="2951">
        <v>210</v>
      </c>
      <c r="K6" s="2951">
        <v>6525.18</v>
      </c>
      <c r="L6" s="2951">
        <v>40</v>
      </c>
      <c r="M6" s="2951" t="s">
        <v>3117</v>
      </c>
      <c r="N6" s="2951" t="s">
        <v>3104</v>
      </c>
    </row>
    <row r="7" spans="1:14">
      <c r="A7" s="2951" t="s">
        <v>3118</v>
      </c>
      <c r="B7" s="2951" t="s">
        <v>3098</v>
      </c>
      <c r="C7" s="2951" t="s">
        <v>3099</v>
      </c>
      <c r="D7" s="2951">
        <v>773.5</v>
      </c>
      <c r="E7" s="2951">
        <v>966.88</v>
      </c>
      <c r="F7" s="2951" t="s">
        <v>3119</v>
      </c>
      <c r="G7" s="2951" t="s">
        <v>3101</v>
      </c>
      <c r="H7" s="2951" t="s">
        <v>3116</v>
      </c>
      <c r="I7" s="2951">
        <v>23</v>
      </c>
      <c r="J7" s="2951">
        <v>25</v>
      </c>
      <c r="K7" s="2951">
        <v>258.56</v>
      </c>
      <c r="L7" s="2951">
        <v>8.6999999999999993</v>
      </c>
      <c r="M7" s="2951" t="s">
        <v>3120</v>
      </c>
      <c r="N7" s="2951" t="s">
        <v>3104</v>
      </c>
    </row>
    <row r="8" spans="1:14">
      <c r="A8" s="2951" t="s">
        <v>3121</v>
      </c>
      <c r="B8" s="2951" t="s">
        <v>3098</v>
      </c>
      <c r="C8" s="2951" t="s">
        <v>3099</v>
      </c>
      <c r="D8" s="2951">
        <v>3242.21</v>
      </c>
      <c r="E8" s="2951">
        <v>972.66</v>
      </c>
      <c r="F8" s="2951" t="s">
        <v>3122</v>
      </c>
      <c r="G8" s="2951" t="s">
        <v>3101</v>
      </c>
      <c r="H8" s="2951" t="s">
        <v>3116</v>
      </c>
      <c r="I8" s="2951">
        <v>245</v>
      </c>
      <c r="J8" s="2951">
        <v>355</v>
      </c>
      <c r="K8" s="2951">
        <v>3649.78</v>
      </c>
      <c r="L8" s="2951">
        <v>44.9</v>
      </c>
      <c r="M8" s="2951" t="s">
        <v>3123</v>
      </c>
      <c r="N8" s="2951" t="s">
        <v>3104</v>
      </c>
    </row>
    <row r="9" spans="1:14">
      <c r="A9" s="2951" t="s">
        <v>3124</v>
      </c>
      <c r="B9" s="2951" t="s">
        <v>3098</v>
      </c>
      <c r="C9" s="2951" t="s">
        <v>3099</v>
      </c>
      <c r="D9" s="2951">
        <v>3902.31</v>
      </c>
      <c r="E9" s="2951">
        <v>975.58</v>
      </c>
      <c r="F9" s="2951" t="s">
        <v>3125</v>
      </c>
      <c r="G9" s="2951" t="s">
        <v>3101</v>
      </c>
      <c r="H9" s="2951" t="s">
        <v>3126</v>
      </c>
      <c r="I9" s="2951">
        <v>190</v>
      </c>
      <c r="J9" s="2951">
        <v>200</v>
      </c>
      <c r="K9" s="2951">
        <v>2050.0500000000002</v>
      </c>
      <c r="L9" s="2951">
        <v>5.26</v>
      </c>
      <c r="M9" s="2951" t="s">
        <v>3127</v>
      </c>
      <c r="N9" s="2951" t="s">
        <v>3104</v>
      </c>
    </row>
    <row r="10" spans="1:14" s="2953" customFormat="1">
      <c r="A10" s="2952" t="s">
        <v>3128</v>
      </c>
      <c r="B10" s="2952" t="s">
        <v>3098</v>
      </c>
      <c r="C10" s="2952" t="s">
        <v>3099</v>
      </c>
      <c r="D10" s="2952">
        <v>11663.2</v>
      </c>
      <c r="E10" s="2952">
        <v>34989.599999999999</v>
      </c>
      <c r="F10" s="2952" t="s">
        <v>3129</v>
      </c>
      <c r="G10" s="2952" t="s">
        <v>3101</v>
      </c>
      <c r="H10" s="2952" t="s">
        <v>3130</v>
      </c>
      <c r="I10" s="2952">
        <v>6100</v>
      </c>
      <c r="J10" s="2952">
        <v>6250</v>
      </c>
      <c r="K10" s="2952">
        <v>1786.25</v>
      </c>
      <c r="L10" s="2952">
        <v>2.46</v>
      </c>
      <c r="M10" s="2952" t="s">
        <v>3131</v>
      </c>
      <c r="N10" s="2952" t="s">
        <v>3104</v>
      </c>
    </row>
    <row r="11" spans="1:14">
      <c r="A11" s="2951" t="s">
        <v>3132</v>
      </c>
      <c r="B11" s="2951" t="s">
        <v>3098</v>
      </c>
      <c r="C11" s="2951" t="s">
        <v>3099</v>
      </c>
      <c r="D11" s="2951">
        <v>41049</v>
      </c>
      <c r="E11" s="2951">
        <v>184720.5</v>
      </c>
      <c r="F11" s="2951" t="s">
        <v>3133</v>
      </c>
      <c r="G11" s="2951" t="s">
        <v>3101</v>
      </c>
      <c r="H11" s="2951" t="s">
        <v>3130</v>
      </c>
      <c r="I11" s="2951">
        <v>19000</v>
      </c>
      <c r="J11" s="2951">
        <v>19200</v>
      </c>
      <c r="K11" s="2951">
        <v>1039.4100000000001</v>
      </c>
      <c r="L11" s="2951">
        <v>1.05</v>
      </c>
      <c r="M11" s="2951" t="s">
        <v>3134</v>
      </c>
      <c r="N11" s="2951" t="s">
        <v>3104</v>
      </c>
    </row>
    <row r="12" spans="1:14">
      <c r="A12" s="2951" t="s">
        <v>3135</v>
      </c>
      <c r="B12" s="2951" t="s">
        <v>3098</v>
      </c>
      <c r="C12" s="2951" t="s">
        <v>3099</v>
      </c>
      <c r="D12" s="2951">
        <v>22267</v>
      </c>
      <c r="E12" s="2951">
        <v>77934.5</v>
      </c>
      <c r="F12" s="2951" t="s">
        <v>3136</v>
      </c>
      <c r="G12" s="2951" t="s">
        <v>3101</v>
      </c>
      <c r="H12" s="2951" t="s">
        <v>3130</v>
      </c>
      <c r="I12" s="2951">
        <v>7100</v>
      </c>
      <c r="J12" s="2951">
        <v>7200</v>
      </c>
      <c r="K12" s="2951">
        <v>923.85</v>
      </c>
      <c r="L12" s="2951">
        <v>1.41</v>
      </c>
      <c r="M12" s="2951" t="s">
        <v>3134</v>
      </c>
      <c r="N12" s="2951" t="s">
        <v>3104</v>
      </c>
    </row>
    <row r="13" spans="1:14">
      <c r="A13" s="2951" t="s">
        <v>3137</v>
      </c>
      <c r="B13" s="2951" t="s">
        <v>3098</v>
      </c>
      <c r="C13" s="2951" t="s">
        <v>3099</v>
      </c>
      <c r="D13" s="2951">
        <v>22839</v>
      </c>
      <c r="E13" s="2951">
        <v>91356</v>
      </c>
      <c r="F13" s="2951" t="s">
        <v>3138</v>
      </c>
      <c r="G13" s="2951" t="s">
        <v>3101</v>
      </c>
      <c r="H13" s="2951" t="s">
        <v>3130</v>
      </c>
      <c r="I13" s="2951">
        <v>9300</v>
      </c>
      <c r="J13" s="2951">
        <v>9400</v>
      </c>
      <c r="K13" s="2951">
        <v>1028.94</v>
      </c>
      <c r="L13" s="2951">
        <v>1.08</v>
      </c>
      <c r="M13" s="2951" t="s">
        <v>3134</v>
      </c>
      <c r="N13" s="2951" t="s">
        <v>3104</v>
      </c>
    </row>
    <row r="14" spans="1:14">
      <c r="A14" s="2951" t="s">
        <v>3139</v>
      </c>
      <c r="B14" s="2951" t="s">
        <v>3098</v>
      </c>
      <c r="C14" s="2951" t="s">
        <v>3099</v>
      </c>
      <c r="D14" s="2951">
        <v>37578</v>
      </c>
      <c r="E14" s="2951">
        <v>150312</v>
      </c>
      <c r="F14" s="2951" t="s">
        <v>3138</v>
      </c>
      <c r="G14" s="2951" t="s">
        <v>3101</v>
      </c>
      <c r="H14" s="2951" t="s">
        <v>3130</v>
      </c>
      <c r="I14" s="2951">
        <v>15800</v>
      </c>
      <c r="J14" s="2951">
        <v>15900</v>
      </c>
      <c r="K14" s="2951">
        <v>1057.79</v>
      </c>
      <c r="L14" s="2951">
        <v>0.63</v>
      </c>
      <c r="M14" s="2951" t="s">
        <v>3134</v>
      </c>
      <c r="N14" s="2951" t="s">
        <v>3104</v>
      </c>
    </row>
    <row r="15" spans="1:14">
      <c r="A15" s="2951" t="s">
        <v>3140</v>
      </c>
      <c r="B15" s="2951" t="s">
        <v>3098</v>
      </c>
      <c r="C15" s="2951" t="s">
        <v>3099</v>
      </c>
      <c r="D15" s="2951">
        <v>28809</v>
      </c>
      <c r="E15" s="2951">
        <v>86427</v>
      </c>
      <c r="F15" s="2951" t="s">
        <v>3129</v>
      </c>
      <c r="G15" s="2951" t="s">
        <v>3101</v>
      </c>
      <c r="H15" s="2951" t="s">
        <v>3130</v>
      </c>
      <c r="I15" s="2951">
        <v>9300</v>
      </c>
      <c r="J15" s="2951">
        <v>9400</v>
      </c>
      <c r="K15" s="2951">
        <v>1087.6099999999999</v>
      </c>
      <c r="L15" s="2951">
        <v>1.08</v>
      </c>
      <c r="M15" s="2951" t="s">
        <v>3134</v>
      </c>
      <c r="N15" s="2951" t="s">
        <v>3104</v>
      </c>
    </row>
    <row r="16" spans="1:14">
      <c r="A16" s="2951" t="s">
        <v>3141</v>
      </c>
      <c r="B16" s="2951" t="s">
        <v>3098</v>
      </c>
      <c r="C16" s="2951" t="s">
        <v>3099</v>
      </c>
      <c r="D16" s="2951">
        <v>20512</v>
      </c>
      <c r="E16" s="2951">
        <v>30768</v>
      </c>
      <c r="F16" s="2951" t="s">
        <v>3142</v>
      </c>
      <c r="G16" s="2951" t="s">
        <v>3101</v>
      </c>
      <c r="H16" s="2951" t="s">
        <v>3130</v>
      </c>
      <c r="I16" s="2951">
        <v>3300</v>
      </c>
      <c r="J16" s="2951">
        <v>3400</v>
      </c>
      <c r="K16" s="2951">
        <v>1105.03</v>
      </c>
      <c r="L16" s="2951">
        <v>3.03</v>
      </c>
      <c r="M16" s="2951" t="s">
        <v>3134</v>
      </c>
      <c r="N16" s="2951" t="s">
        <v>3104</v>
      </c>
    </row>
    <row r="17" spans="1:14">
      <c r="A17" s="2951" t="s">
        <v>3143</v>
      </c>
      <c r="B17" s="2951" t="s">
        <v>3098</v>
      </c>
      <c r="C17" s="2951" t="s">
        <v>3099</v>
      </c>
      <c r="D17" s="2951">
        <v>39193</v>
      </c>
      <c r="E17" s="2951">
        <v>78386</v>
      </c>
      <c r="F17" s="2951" t="s">
        <v>3144</v>
      </c>
      <c r="G17" s="2951" t="s">
        <v>3101</v>
      </c>
      <c r="H17" s="2951" t="s">
        <v>3130</v>
      </c>
      <c r="I17" s="2951">
        <v>8900</v>
      </c>
      <c r="J17" s="2951">
        <v>9000</v>
      </c>
      <c r="K17" s="2951">
        <v>1148.1600000000001</v>
      </c>
      <c r="L17" s="2951">
        <v>1.1200000000000001</v>
      </c>
      <c r="M17" s="2951" t="s">
        <v>3145</v>
      </c>
      <c r="N17" s="2951" t="s">
        <v>3104</v>
      </c>
    </row>
    <row r="18" spans="1:14">
      <c r="A18" s="2951" t="s">
        <v>3146</v>
      </c>
      <c r="B18" s="2951" t="s">
        <v>3098</v>
      </c>
      <c r="C18" s="2951" t="s">
        <v>3099</v>
      </c>
      <c r="D18" s="2951">
        <v>34474</v>
      </c>
      <c r="E18" s="2951">
        <v>137896</v>
      </c>
      <c r="F18" s="2951" t="s">
        <v>3138</v>
      </c>
      <c r="G18" s="2951" t="s">
        <v>3101</v>
      </c>
      <c r="H18" s="2951" t="s">
        <v>3130</v>
      </c>
      <c r="I18" s="2951">
        <v>14400</v>
      </c>
      <c r="J18" s="2951">
        <v>14500</v>
      </c>
      <c r="K18" s="2951">
        <v>1051.51</v>
      </c>
      <c r="L18" s="2951">
        <v>0.69</v>
      </c>
      <c r="M18" s="2951" t="s">
        <v>3134</v>
      </c>
      <c r="N18" s="2951" t="s">
        <v>3104</v>
      </c>
    </row>
    <row r="19" spans="1:14">
      <c r="A19" s="2951" t="s">
        <v>3147</v>
      </c>
      <c r="B19" s="2951" t="s">
        <v>3098</v>
      </c>
      <c r="C19" s="2951" t="s">
        <v>3099</v>
      </c>
      <c r="D19" s="2951">
        <v>19452</v>
      </c>
      <c r="E19" s="2951">
        <v>68082</v>
      </c>
      <c r="F19" s="2951" t="s">
        <v>3136</v>
      </c>
      <c r="G19" s="2951" t="s">
        <v>3101</v>
      </c>
      <c r="H19" s="2951" t="s">
        <v>3130</v>
      </c>
      <c r="I19" s="2951">
        <v>6200</v>
      </c>
      <c r="J19" s="2951">
        <v>6300</v>
      </c>
      <c r="K19" s="2951">
        <v>925.35</v>
      </c>
      <c r="L19" s="2951">
        <v>1.61</v>
      </c>
      <c r="M19" s="2951" t="s">
        <v>3134</v>
      </c>
      <c r="N19" s="2951" t="s">
        <v>3104</v>
      </c>
    </row>
    <row r="20" spans="1:14">
      <c r="A20" s="2951" t="s">
        <v>3148</v>
      </c>
      <c r="B20" s="2951" t="s">
        <v>3098</v>
      </c>
      <c r="C20" s="2951" t="s">
        <v>3099</v>
      </c>
      <c r="D20" s="2951">
        <v>18153</v>
      </c>
      <c r="E20" s="2951">
        <v>27229.5</v>
      </c>
      <c r="F20" s="2951" t="s">
        <v>3142</v>
      </c>
      <c r="G20" s="2951" t="s">
        <v>3101</v>
      </c>
      <c r="H20" s="2951" t="s">
        <v>3130</v>
      </c>
      <c r="I20" s="2951">
        <v>2550</v>
      </c>
      <c r="J20" s="2951">
        <v>2600</v>
      </c>
      <c r="K20" s="2951">
        <v>954.85</v>
      </c>
      <c r="L20" s="2951">
        <v>1.96</v>
      </c>
      <c r="M20" s="2951" t="s">
        <v>3134</v>
      </c>
      <c r="N20" s="2951" t="s">
        <v>3104</v>
      </c>
    </row>
    <row r="21" spans="1:14">
      <c r="A21" s="2951" t="s">
        <v>3149</v>
      </c>
      <c r="B21" s="2951" t="s">
        <v>3098</v>
      </c>
      <c r="C21" s="2951" t="s">
        <v>3099</v>
      </c>
      <c r="D21" s="2951">
        <v>11844.3</v>
      </c>
      <c r="E21" s="2951">
        <v>17766.45</v>
      </c>
      <c r="F21" s="2951" t="s">
        <v>3142</v>
      </c>
      <c r="G21" s="2951" t="s">
        <v>3101</v>
      </c>
      <c r="H21" s="2951" t="s">
        <v>3130</v>
      </c>
      <c r="I21" s="2951">
        <v>2800</v>
      </c>
      <c r="J21" s="2951">
        <v>2900</v>
      </c>
      <c r="K21" s="2951">
        <v>1632.28</v>
      </c>
      <c r="L21" s="2951">
        <v>3.57</v>
      </c>
      <c r="M21" s="2951" t="s">
        <v>3131</v>
      </c>
      <c r="N21" s="2951" t="s">
        <v>3104</v>
      </c>
    </row>
    <row r="22" spans="1:14">
      <c r="A22" s="2951" t="s">
        <v>3150</v>
      </c>
      <c r="B22" s="2951" t="s">
        <v>3098</v>
      </c>
      <c r="C22" s="2951" t="s">
        <v>3099</v>
      </c>
      <c r="D22" s="2951">
        <v>3464.48</v>
      </c>
      <c r="E22" s="2951">
        <v>692.9</v>
      </c>
      <c r="F22" s="2951" t="s">
        <v>3151</v>
      </c>
      <c r="G22" s="2951" t="s">
        <v>3101</v>
      </c>
      <c r="H22" s="2951" t="s">
        <v>3152</v>
      </c>
      <c r="I22" s="2951">
        <v>190</v>
      </c>
      <c r="J22" s="2951">
        <v>280</v>
      </c>
      <c r="K22" s="2951">
        <v>4040.98</v>
      </c>
      <c r="L22" s="2951">
        <v>47.37</v>
      </c>
      <c r="M22" s="2951" t="s">
        <v>3123</v>
      </c>
      <c r="N22" s="2951" t="s">
        <v>3104</v>
      </c>
    </row>
    <row r="23" spans="1:14">
      <c r="A23" s="2951" t="s">
        <v>3153</v>
      </c>
      <c r="B23" s="2951" t="s">
        <v>3098</v>
      </c>
      <c r="C23" s="2951" t="s">
        <v>3099</v>
      </c>
      <c r="D23" s="2951">
        <v>45534</v>
      </c>
      <c r="E23" s="2951">
        <v>182136</v>
      </c>
      <c r="F23" s="2951" t="s">
        <v>3138</v>
      </c>
      <c r="G23" s="2951" t="s">
        <v>3101</v>
      </c>
      <c r="H23" s="2951" t="s">
        <v>3154</v>
      </c>
      <c r="I23" s="2951">
        <v>9000</v>
      </c>
      <c r="J23" s="2951">
        <v>9010</v>
      </c>
      <c r="K23" s="2951">
        <v>494.68</v>
      </c>
      <c r="L23" s="2951">
        <v>0.11</v>
      </c>
      <c r="M23" s="2951" t="s">
        <v>3134</v>
      </c>
      <c r="N23" s="2951" t="s">
        <v>3104</v>
      </c>
    </row>
    <row r="24" spans="1:14">
      <c r="A24" s="2951" t="s">
        <v>3155</v>
      </c>
      <c r="B24" s="2951" t="s">
        <v>3098</v>
      </c>
      <c r="C24" s="2951" t="s">
        <v>3099</v>
      </c>
      <c r="D24" s="2951">
        <v>55280</v>
      </c>
      <c r="E24" s="2951">
        <v>221120</v>
      </c>
      <c r="F24" s="2951" t="s">
        <v>3138</v>
      </c>
      <c r="G24" s="2951" t="s">
        <v>3101</v>
      </c>
      <c r="H24" s="2951" t="s">
        <v>3154</v>
      </c>
      <c r="I24" s="2951">
        <v>11000</v>
      </c>
      <c r="J24" s="2951">
        <v>11010</v>
      </c>
      <c r="K24" s="2951">
        <v>497.92</v>
      </c>
      <c r="L24" s="2951">
        <v>0.09</v>
      </c>
      <c r="M24" s="2951" t="s">
        <v>3134</v>
      </c>
      <c r="N24" s="2951" t="s">
        <v>3104</v>
      </c>
    </row>
    <row r="25" spans="1:14">
      <c r="A25" s="2951" t="s">
        <v>3156</v>
      </c>
      <c r="B25" s="2951" t="s">
        <v>3098</v>
      </c>
      <c r="C25" s="2951" t="s">
        <v>3099</v>
      </c>
      <c r="D25" s="2951">
        <v>4777.3999999999996</v>
      </c>
      <c r="E25" s="2951">
        <v>1910.96</v>
      </c>
      <c r="F25" s="2951" t="s">
        <v>3157</v>
      </c>
      <c r="G25" s="2951" t="s">
        <v>3101</v>
      </c>
      <c r="H25" s="2951" t="s">
        <v>3158</v>
      </c>
      <c r="I25" s="2951">
        <v>360</v>
      </c>
      <c r="J25" s="2951">
        <v>470</v>
      </c>
      <c r="K25" s="2951">
        <v>2459.5</v>
      </c>
      <c r="L25" s="2951">
        <v>30.56</v>
      </c>
      <c r="M25" s="2951" t="s">
        <v>3159</v>
      </c>
      <c r="N25" s="2951" t="s">
        <v>3104</v>
      </c>
    </row>
    <row r="26" spans="1:14">
      <c r="A26" s="2951" t="s">
        <v>3160</v>
      </c>
      <c r="B26" s="2951" t="s">
        <v>3098</v>
      </c>
      <c r="C26" s="2951" t="s">
        <v>3099</v>
      </c>
      <c r="D26" s="2951">
        <v>2842</v>
      </c>
      <c r="E26" s="2951">
        <v>1421</v>
      </c>
      <c r="F26" s="2951" t="s">
        <v>3161</v>
      </c>
      <c r="G26" s="2951" t="s">
        <v>3101</v>
      </c>
      <c r="H26" s="2951" t="s">
        <v>3162</v>
      </c>
      <c r="I26" s="2951">
        <v>858</v>
      </c>
      <c r="J26" s="2951">
        <v>1118</v>
      </c>
      <c r="K26" s="2951">
        <v>7867.69</v>
      </c>
      <c r="L26" s="2951">
        <v>30.3</v>
      </c>
      <c r="M26" s="2951" t="s">
        <v>3123</v>
      </c>
      <c r="N26" s="2951" t="s">
        <v>3104</v>
      </c>
    </row>
    <row r="27" spans="1:14">
      <c r="A27" s="2951" t="s">
        <v>3163</v>
      </c>
      <c r="B27" s="2951" t="s">
        <v>3098</v>
      </c>
      <c r="C27" s="2951" t="s">
        <v>3099</v>
      </c>
      <c r="D27" s="2951">
        <v>30535.97</v>
      </c>
      <c r="E27" s="2951">
        <v>137411.87</v>
      </c>
      <c r="F27" s="2951" t="s">
        <v>3133</v>
      </c>
      <c r="G27" s="2951" t="s">
        <v>3101</v>
      </c>
      <c r="H27" s="2951" t="s">
        <v>3164</v>
      </c>
      <c r="I27" s="2951">
        <v>5500</v>
      </c>
      <c r="J27" s="2951">
        <v>5880</v>
      </c>
      <c r="K27" s="2951">
        <v>427.91</v>
      </c>
      <c r="L27" s="2951">
        <v>6.91</v>
      </c>
      <c r="M27" s="2951" t="s">
        <v>3131</v>
      </c>
      <c r="N27" s="2951" t="s">
        <v>3104</v>
      </c>
    </row>
    <row r="28" spans="1:14">
      <c r="A28" s="2951" t="s">
        <v>3165</v>
      </c>
      <c r="B28" s="2951" t="s">
        <v>3098</v>
      </c>
      <c r="C28" s="2951" t="s">
        <v>3099</v>
      </c>
      <c r="D28" s="2951">
        <v>105002.76</v>
      </c>
      <c r="E28" s="2951">
        <v>262506.90000000002</v>
      </c>
      <c r="F28" s="2951" t="s">
        <v>3100</v>
      </c>
      <c r="G28" s="2951" t="s">
        <v>3101</v>
      </c>
      <c r="H28" s="2951" t="s">
        <v>3164</v>
      </c>
      <c r="I28" s="2951">
        <v>11510</v>
      </c>
      <c r="J28" s="2951">
        <v>12580</v>
      </c>
      <c r="K28" s="2951">
        <v>479.23</v>
      </c>
      <c r="L28" s="2951">
        <v>9.3000000000000007</v>
      </c>
      <c r="M28" s="2951" t="s">
        <v>3131</v>
      </c>
      <c r="N28" s="2951" t="s">
        <v>3104</v>
      </c>
    </row>
    <row r="29" spans="1:14">
      <c r="A29" s="2951" t="s">
        <v>3166</v>
      </c>
      <c r="B29" s="2951" t="s">
        <v>3098</v>
      </c>
      <c r="C29" s="2951" t="s">
        <v>3099</v>
      </c>
      <c r="D29" s="2951">
        <v>14211</v>
      </c>
      <c r="E29" s="2951">
        <v>21316.5</v>
      </c>
      <c r="F29" s="2951" t="s">
        <v>3142</v>
      </c>
      <c r="G29" s="2951" t="s">
        <v>3101</v>
      </c>
      <c r="H29" s="2951" t="s">
        <v>3167</v>
      </c>
      <c r="I29" s="2951">
        <v>1620</v>
      </c>
      <c r="J29" s="2951">
        <v>1620</v>
      </c>
      <c r="K29" s="2951">
        <v>759.97</v>
      </c>
      <c r="L29" s="2951">
        <v>0</v>
      </c>
      <c r="M29" s="2951" t="s">
        <v>3168</v>
      </c>
      <c r="N29" s="2951" t="s">
        <v>3104</v>
      </c>
    </row>
    <row r="30" spans="1:14">
      <c r="A30" s="2951" t="s">
        <v>3169</v>
      </c>
      <c r="B30" s="2951" t="s">
        <v>3098</v>
      </c>
      <c r="C30" s="2951" t="s">
        <v>3099</v>
      </c>
      <c r="D30" s="2951">
        <v>23507</v>
      </c>
      <c r="E30" s="2951">
        <v>105781.5</v>
      </c>
      <c r="F30" s="2951" t="s">
        <v>3170</v>
      </c>
      <c r="G30" s="2951" t="s">
        <v>3101</v>
      </c>
      <c r="H30" s="2951" t="s">
        <v>3171</v>
      </c>
      <c r="I30" s="2951">
        <v>10580</v>
      </c>
      <c r="J30" s="2951">
        <v>10600</v>
      </c>
      <c r="K30" s="2951">
        <v>1002.07</v>
      </c>
      <c r="L30" s="2951">
        <v>0.19</v>
      </c>
      <c r="M30" s="2951" t="s">
        <v>3172</v>
      </c>
      <c r="N30" s="2951" t="s">
        <v>3104</v>
      </c>
    </row>
    <row r="31" spans="1:14">
      <c r="A31" s="2951" t="s">
        <v>3173</v>
      </c>
      <c r="B31" s="2951" t="s">
        <v>3098</v>
      </c>
      <c r="C31" s="2951" t="s">
        <v>3099</v>
      </c>
      <c r="D31" s="2951">
        <v>23507</v>
      </c>
      <c r="E31" s="2951">
        <v>105781.5</v>
      </c>
      <c r="F31" s="2951" t="s">
        <v>3170</v>
      </c>
      <c r="G31" s="2951" t="s">
        <v>3101</v>
      </c>
      <c r="H31" s="2951" t="s">
        <v>3171</v>
      </c>
      <c r="I31" s="2951">
        <v>10580</v>
      </c>
      <c r="J31" s="2951">
        <v>10580</v>
      </c>
      <c r="K31" s="2951">
        <v>1000.16</v>
      </c>
      <c r="L31" s="2951">
        <v>0</v>
      </c>
      <c r="M31" s="2951" t="s">
        <v>3174</v>
      </c>
      <c r="N31" s="2951" t="s">
        <v>3104</v>
      </c>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Q26" sqref="Q26"/>
    </sheetView>
  </sheetViews>
  <sheetFormatPr defaultRowHeight="13.5"/>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topLeftCell="A34" zoomScale="90" zoomScaleNormal="90" workbookViewId="0">
      <selection activeCell="O26" sqref="O26"/>
    </sheetView>
  </sheetViews>
  <sheetFormatPr defaultRowHeight="13.5"/>
  <cols>
    <col min="14" max="14" width="11.125" customWidth="1"/>
  </cols>
  <sheetData>
    <row r="1" spans="14:16">
      <c r="N1" s="2947" t="s">
        <v>3244</v>
      </c>
      <c r="O1" s="2947" t="s">
        <v>3322</v>
      </c>
      <c r="P1" s="2947" t="s">
        <v>3323</v>
      </c>
    </row>
    <row r="2" spans="14:16">
      <c r="N2" s="2947" t="s">
        <v>3245</v>
      </c>
      <c r="O2">
        <v>6942</v>
      </c>
      <c r="P2">
        <v>0.62</v>
      </c>
    </row>
    <row r="3" spans="14:16">
      <c r="N3" s="2947" t="s">
        <v>3246</v>
      </c>
      <c r="O3">
        <v>7807</v>
      </c>
    </row>
    <row r="4" spans="14:16">
      <c r="N4" s="2947" t="s">
        <v>3247</v>
      </c>
      <c r="O4">
        <v>11852</v>
      </c>
      <c r="P4">
        <v>1.8</v>
      </c>
    </row>
    <row r="5" spans="14:16">
      <c r="N5" s="2947" t="s">
        <v>3248</v>
      </c>
      <c r="O5">
        <v>7542</v>
      </c>
      <c r="P5">
        <v>1.2</v>
      </c>
    </row>
    <row r="8" spans="14:16">
      <c r="N8" s="2947" t="s">
        <v>3321</v>
      </c>
    </row>
    <row r="9" spans="14:16">
      <c r="N9" s="2947" t="s">
        <v>3245</v>
      </c>
      <c r="O9">
        <v>5609</v>
      </c>
      <c r="P9">
        <v>0.39</v>
      </c>
    </row>
    <row r="10" spans="14:16">
      <c r="N10" s="2947" t="s">
        <v>3246</v>
      </c>
      <c r="O10">
        <v>5240</v>
      </c>
    </row>
    <row r="11" spans="14:16">
      <c r="N11" s="2947" t="s">
        <v>3247</v>
      </c>
      <c r="O11">
        <v>8428</v>
      </c>
      <c r="P11">
        <v>1.48</v>
      </c>
    </row>
    <row r="12" spans="14:16">
      <c r="N12" s="2947" t="s">
        <v>3248</v>
      </c>
      <c r="O12">
        <v>5888</v>
      </c>
      <c r="P12">
        <v>0.69</v>
      </c>
    </row>
    <row r="14" spans="14:16">
      <c r="N14" s="2992" t="s">
        <v>3463</v>
      </c>
    </row>
    <row r="38" spans="1:1">
      <c r="A38" s="2992"/>
    </row>
    <row r="39" spans="1:1">
      <c r="A39" s="2992"/>
    </row>
  </sheetData>
  <phoneticPr fontId="143" type="noConversion"/>
  <hyperlinks>
    <hyperlink ref="N14"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1" t="str">
        <f>IF(项目基本情况!B9="房地产市场价值","估价结果一览表","结果表-2")</f>
        <v>估价结果一览表</v>
      </c>
      <c r="B1" s="3041"/>
      <c r="C1" s="3041"/>
      <c r="D1" s="3041"/>
      <c r="E1" s="3041"/>
      <c r="F1" s="3041"/>
      <c r="G1" s="3041"/>
      <c r="H1" s="3041"/>
      <c r="I1" s="3041"/>
    </row>
    <row r="2" spans="1:9" ht="30" customHeight="1" thickTop="1">
      <c r="A2" s="3042" t="s">
        <v>1635</v>
      </c>
      <c r="B2" s="3042" t="s">
        <v>1636</v>
      </c>
      <c r="C2" s="3042" t="s">
        <v>1637</v>
      </c>
      <c r="D2" s="3042" t="str">
        <f>结果表!D116</f>
        <v>出让国有建设用地使用权价值</v>
      </c>
      <c r="E2" s="3042"/>
      <c r="F2" s="3042" t="str">
        <f>结果表!F116</f>
        <v>在建建筑物价值</v>
      </c>
      <c r="G2" s="3042"/>
      <c r="H2" s="3042" t="str">
        <f>IF(项目基本情况!B9="房地产市场价值","房地产市场价值","房地产价值")</f>
        <v>房地产市场价值</v>
      </c>
      <c r="I2" s="3042"/>
    </row>
    <row r="3" spans="1:9" ht="15">
      <c r="A3" s="3036"/>
      <c r="B3" s="3036"/>
      <c r="C3" s="3036"/>
      <c r="D3" s="1043" t="s">
        <v>1632</v>
      </c>
      <c r="E3" s="1043" t="s">
        <v>1638</v>
      </c>
      <c r="F3" s="1043" t="s">
        <v>1632</v>
      </c>
      <c r="G3" s="1043" t="s">
        <v>1633</v>
      </c>
      <c r="H3" s="1043" t="s">
        <v>1632</v>
      </c>
      <c r="I3" s="1043" t="s">
        <v>1633</v>
      </c>
    </row>
    <row r="4" spans="1:9" ht="45">
      <c r="A4" s="1969" t="str">
        <f>项目基本情况!S2</f>
        <v>湖北省黄石市大冶市东岳路办事处新华路十五万楼等商业用房房地产</v>
      </c>
      <c r="B4" s="1043">
        <f>项目基本情况!C17</f>
        <v>424.2</v>
      </c>
      <c r="C4" s="1043">
        <f>项目基本情况!C18</f>
        <v>0</v>
      </c>
      <c r="D4" s="1043" t="e">
        <f ca="1">结果表!D118</f>
        <v>#REF!</v>
      </c>
      <c r="E4" s="1043" t="e">
        <f ca="1">结果表!E118</f>
        <v>#REF!</v>
      </c>
      <c r="F4" s="1043" t="e">
        <f ca="1">结果表!F118</f>
        <v>#REF!</v>
      </c>
      <c r="G4" s="1043" t="e">
        <f ca="1">结果表!G118</f>
        <v>#REF!</v>
      </c>
      <c r="H4" s="1043">
        <f ca="1">结果表!H118</f>
        <v>705</v>
      </c>
      <c r="I4" s="1043">
        <f ca="1">结果表!I118</f>
        <v>16620</v>
      </c>
    </row>
    <row r="5" spans="1:9" ht="30" customHeight="1">
      <c r="A5" s="3036" t="s">
        <v>1634</v>
      </c>
      <c r="B5" s="3036"/>
      <c r="C5" s="3036"/>
      <c r="D5" s="3037" t="e">
        <f ca="1">结果表!D119</f>
        <v>#REF!</v>
      </c>
      <c r="E5" s="3037"/>
      <c r="F5" s="3037" t="e">
        <f ca="1">结果表!F119</f>
        <v>#REF!</v>
      </c>
      <c r="G5" s="3037"/>
      <c r="H5" s="3037" t="str">
        <f ca="1">结果表!H119</f>
        <v>柒佰零伍万元整</v>
      </c>
      <c r="I5" s="3037"/>
    </row>
    <row r="6" spans="1:9" ht="15.75">
      <c r="A6" s="3035" t="str">
        <f>结果表!A120</f>
        <v/>
      </c>
      <c r="B6" s="3035"/>
      <c r="C6" s="3035"/>
      <c r="D6" s="3035">
        <f>结果表!D120</f>
        <v>0</v>
      </c>
      <c r="E6" s="3035"/>
      <c r="F6" s="3035"/>
      <c r="G6" s="3035"/>
      <c r="H6" s="3035"/>
      <c r="I6" s="3035"/>
    </row>
    <row r="7" spans="1:9" ht="15">
      <c r="A7" s="3036" t="s">
        <v>1634</v>
      </c>
      <c r="B7" s="3036"/>
      <c r="C7" s="3036"/>
      <c r="D7" s="3038" t="str">
        <f>结果表!D121</f>
        <v>零元整</v>
      </c>
      <c r="E7" s="3039"/>
      <c r="F7" s="3039"/>
      <c r="G7" s="3039"/>
      <c r="H7" s="3039"/>
      <c r="I7" s="3040"/>
    </row>
    <row r="8" spans="1:9" ht="15.75">
      <c r="A8" s="3035" t="str">
        <f>结果表!A122</f>
        <v/>
      </c>
      <c r="B8" s="3035"/>
      <c r="C8" s="3035"/>
      <c r="D8" s="3035">
        <f ca="1">结果表!D122</f>
        <v>705</v>
      </c>
      <c r="E8" s="3035"/>
      <c r="F8" s="3035"/>
      <c r="G8" s="3035"/>
      <c r="H8" s="3035"/>
      <c r="I8" s="3035"/>
    </row>
    <row r="9" spans="1:9" ht="15">
      <c r="A9" s="3036" t="s">
        <v>1634</v>
      </c>
      <c r="B9" s="3036"/>
      <c r="C9" s="3036"/>
      <c r="D9" s="3037" t="str">
        <f ca="1">结果表!D123</f>
        <v>柒佰零伍万元整</v>
      </c>
      <c r="E9" s="3037"/>
      <c r="F9" s="3037"/>
      <c r="G9" s="3037"/>
      <c r="H9" s="3037"/>
      <c r="I9" s="3037"/>
    </row>
    <row r="10" spans="1:9" ht="15.75">
      <c r="A10" s="3035" t="str">
        <f>结果表!A124</f>
        <v/>
      </c>
      <c r="B10" s="3035"/>
      <c r="C10" s="3035"/>
      <c r="D10" s="3035" t="str">
        <f>结果表!D124</f>
        <v>——</v>
      </c>
      <c r="E10" s="3035"/>
      <c r="F10" s="3035"/>
      <c r="G10" s="3035"/>
      <c r="H10" s="3035"/>
      <c r="I10" s="3035"/>
    </row>
    <row r="11" spans="1:9" ht="15">
      <c r="A11" s="3036" t="s">
        <v>1634</v>
      </c>
      <c r="B11" s="3036"/>
      <c r="C11" s="3036"/>
      <c r="D11" s="3037" t="e">
        <f>结果表!D125</f>
        <v>#VALUE!</v>
      </c>
      <c r="E11" s="3037"/>
      <c r="F11" s="3037"/>
      <c r="G11" s="3037"/>
      <c r="H11" s="3037"/>
      <c r="I11" s="3037"/>
    </row>
    <row r="12" spans="1:9" ht="15.75">
      <c r="A12" s="3035" t="str">
        <f>结果表!A126</f>
        <v/>
      </c>
      <c r="B12" s="3035"/>
      <c r="C12" s="3035"/>
      <c r="D12" s="3035" t="str">
        <f>结果表!D126</f>
        <v>——</v>
      </c>
      <c r="E12" s="3035"/>
      <c r="F12" s="3035"/>
      <c r="G12" s="3035"/>
      <c r="H12" s="3035"/>
      <c r="I12" s="3035"/>
    </row>
    <row r="13" spans="1:9" ht="15.75" thickBot="1">
      <c r="A13" s="3032" t="s">
        <v>1634</v>
      </c>
      <c r="B13" s="3032"/>
      <c r="C13" s="3032"/>
      <c r="D13" s="3033" t="e">
        <f>结果表!D127</f>
        <v>#VALUE!</v>
      </c>
      <c r="E13" s="3033"/>
      <c r="F13" s="3033"/>
      <c r="G13" s="3033"/>
      <c r="H13" s="3033"/>
      <c r="I13" s="3033"/>
    </row>
    <row r="14" spans="1:9" ht="15" thickTop="1">
      <c r="A14" s="3034" t="s">
        <v>1639</v>
      </c>
      <c r="B14" s="3034"/>
      <c r="C14" s="3034"/>
      <c r="D14" s="3034"/>
      <c r="E14" s="3034"/>
      <c r="F14" s="3034"/>
      <c r="G14" s="3034"/>
      <c r="H14" s="3034"/>
      <c r="I14" s="3034"/>
    </row>
    <row r="16" spans="1:9" ht="18.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4"/>
  <sheetViews>
    <sheetView workbookViewId="0">
      <selection activeCell="H21" sqref="H21"/>
    </sheetView>
  </sheetViews>
  <sheetFormatPr defaultRowHeight="13.5"/>
  <cols>
    <col min="16" max="16" width="9.5" bestFit="1" customWidth="1"/>
    <col min="24" max="24" width="11.625" customWidth="1"/>
  </cols>
  <sheetData>
    <row r="1" spans="1:32">
      <c r="R1" s="2987" t="s">
        <v>3260</v>
      </c>
      <c r="Z1" s="2947" t="s">
        <v>3290</v>
      </c>
    </row>
    <row r="2" spans="1:32" ht="14.25" thickBot="1">
      <c r="R2" s="2987" t="s">
        <v>3261</v>
      </c>
      <c r="Z2" s="2987" t="s">
        <v>3261</v>
      </c>
    </row>
    <row r="3" spans="1:32">
      <c r="R3" s="2982" t="s">
        <v>3249</v>
      </c>
      <c r="S3" s="2982" t="s">
        <v>3250</v>
      </c>
      <c r="T3" s="2982" t="s">
        <v>3251</v>
      </c>
      <c r="U3" s="2982" t="s">
        <v>3252</v>
      </c>
      <c r="V3" s="2982" t="s">
        <v>1356</v>
      </c>
      <c r="W3" s="2982" t="s">
        <v>3254</v>
      </c>
      <c r="Z3" s="2982" t="s">
        <v>3249</v>
      </c>
      <c r="AA3" s="2982" t="s">
        <v>3250</v>
      </c>
      <c r="AB3" s="2982" t="s">
        <v>3251</v>
      </c>
      <c r="AC3" s="2982" t="s">
        <v>3252</v>
      </c>
      <c r="AD3" s="2982" t="s">
        <v>3253</v>
      </c>
      <c r="AE3" s="2982" t="s">
        <v>3254</v>
      </c>
    </row>
    <row r="4" spans="1:32" ht="14.25" thickBot="1">
      <c r="R4" s="2983" t="s">
        <v>3262</v>
      </c>
      <c r="S4" s="2983" t="s">
        <v>1327</v>
      </c>
      <c r="T4" s="2983">
        <v>52</v>
      </c>
      <c r="U4" s="2990">
        <v>43472</v>
      </c>
      <c r="V4" s="2983">
        <v>46</v>
      </c>
      <c r="W4" s="2986">
        <v>43805</v>
      </c>
      <c r="X4" s="2988">
        <f>V4*10000/T4</f>
        <v>8846.1538461538457</v>
      </c>
      <c r="Z4" s="2983" t="s">
        <v>1327</v>
      </c>
      <c r="AA4" s="2983" t="s">
        <v>1327</v>
      </c>
      <c r="AB4" s="2983">
        <v>14</v>
      </c>
      <c r="AC4" s="2984">
        <v>43811</v>
      </c>
      <c r="AD4" s="2985">
        <v>3800</v>
      </c>
      <c r="AE4" s="2986">
        <v>43809</v>
      </c>
      <c r="AF4" s="2988"/>
    </row>
    <row r="5" spans="1:32" ht="14.25" thickBot="1">
      <c r="R5" s="2983" t="s">
        <v>1327</v>
      </c>
      <c r="S5" s="2983" t="s">
        <v>1327</v>
      </c>
      <c r="T5" s="2983">
        <v>34</v>
      </c>
      <c r="U5" s="2990" t="s">
        <v>1327</v>
      </c>
      <c r="V5" s="2983">
        <v>31</v>
      </c>
      <c r="W5" s="2986">
        <v>43796</v>
      </c>
      <c r="X5" s="2988">
        <f t="shared" ref="X5:X38" si="0">V5*10000/T5</f>
        <v>9117.6470588235297</v>
      </c>
      <c r="Z5" s="2983" t="s">
        <v>3291</v>
      </c>
      <c r="AA5" s="2983" t="s">
        <v>1327</v>
      </c>
      <c r="AB5" s="2983">
        <v>73</v>
      </c>
      <c r="AC5" s="2984">
        <v>43473</v>
      </c>
      <c r="AD5" s="2985">
        <v>2300</v>
      </c>
      <c r="AE5" s="2986">
        <v>43809</v>
      </c>
      <c r="AF5" s="2988">
        <f t="shared" ref="AF5:AF68" si="1">AD5/30/AB5</f>
        <v>1.0502283105022832</v>
      </c>
    </row>
    <row r="6" spans="1:32" ht="14.25" thickBot="1">
      <c r="R6" s="2983" t="s">
        <v>3263</v>
      </c>
      <c r="S6" s="2983">
        <v>3</v>
      </c>
      <c r="T6" s="2983">
        <v>87</v>
      </c>
      <c r="U6" s="2990" t="s">
        <v>1327</v>
      </c>
      <c r="V6" s="2983">
        <v>83</v>
      </c>
      <c r="W6" s="2986">
        <v>43793</v>
      </c>
      <c r="X6" s="2988">
        <f t="shared" si="0"/>
        <v>9540.2298850574716</v>
      </c>
      <c r="Z6" s="2983" t="s">
        <v>3292</v>
      </c>
      <c r="AA6" s="2983">
        <v>1</v>
      </c>
      <c r="AB6" s="2983">
        <v>45</v>
      </c>
      <c r="AC6" s="2984">
        <v>43488</v>
      </c>
      <c r="AD6" s="2985">
        <v>5000</v>
      </c>
      <c r="AE6" s="2986">
        <v>43809</v>
      </c>
      <c r="AF6" s="2988">
        <f t="shared" si="1"/>
        <v>3.7037037037037033</v>
      </c>
    </row>
    <row r="7" spans="1:32" ht="14.25" thickBot="1">
      <c r="R7" s="2983" t="s">
        <v>3263</v>
      </c>
      <c r="S7" s="2983" t="s">
        <v>1327</v>
      </c>
      <c r="T7" s="2983">
        <v>115</v>
      </c>
      <c r="U7" s="2990" t="s">
        <v>3264</v>
      </c>
      <c r="V7" s="2983">
        <v>115</v>
      </c>
      <c r="W7" s="2986">
        <v>43793</v>
      </c>
      <c r="X7" s="2988">
        <f t="shared" si="0"/>
        <v>10000</v>
      </c>
      <c r="Z7" s="2983" t="s">
        <v>1327</v>
      </c>
      <c r="AA7" s="2983">
        <v>1</v>
      </c>
      <c r="AB7" s="2983">
        <v>60</v>
      </c>
      <c r="AC7" s="2984">
        <v>43498</v>
      </c>
      <c r="AD7" s="2985">
        <v>4300</v>
      </c>
      <c r="AE7" s="2986">
        <v>43809</v>
      </c>
      <c r="AF7" s="2988"/>
    </row>
    <row r="8" spans="1:32" ht="14.25" thickBot="1">
      <c r="R8" s="2983" t="s">
        <v>3263</v>
      </c>
      <c r="S8" s="2983">
        <v>3</v>
      </c>
      <c r="T8" s="2983">
        <v>131</v>
      </c>
      <c r="U8" s="2990">
        <v>43481</v>
      </c>
      <c r="V8" s="2983">
        <v>288</v>
      </c>
      <c r="W8" s="2986">
        <v>43792</v>
      </c>
      <c r="X8" s="2988">
        <f t="shared" si="0"/>
        <v>21984.732824427479</v>
      </c>
      <c r="Z8" s="2983" t="s">
        <v>3270</v>
      </c>
      <c r="AA8" s="2983" t="s">
        <v>1327</v>
      </c>
      <c r="AB8" s="2983">
        <v>180</v>
      </c>
      <c r="AC8" s="2984">
        <v>43498</v>
      </c>
      <c r="AD8" s="2985">
        <v>2600</v>
      </c>
      <c r="AE8" s="2986">
        <v>43809</v>
      </c>
      <c r="AF8" s="2988">
        <f t="shared" si="1"/>
        <v>0.48148148148148151</v>
      </c>
    </row>
    <row r="9" spans="1:32" ht="14.25" thickBot="1">
      <c r="R9" s="2983" t="s">
        <v>3265</v>
      </c>
      <c r="S9" s="2983" t="s">
        <v>1327</v>
      </c>
      <c r="T9" s="2983">
        <v>57</v>
      </c>
      <c r="U9" s="2990">
        <v>43466</v>
      </c>
      <c r="V9" s="2983">
        <v>75</v>
      </c>
      <c r="W9" s="2986">
        <v>43791</v>
      </c>
      <c r="X9" s="2988">
        <f t="shared" si="0"/>
        <v>13157.894736842105</v>
      </c>
      <c r="Z9" s="2983" t="s">
        <v>3293</v>
      </c>
      <c r="AA9" s="2983" t="s">
        <v>1327</v>
      </c>
      <c r="AB9" s="2983">
        <v>37</v>
      </c>
      <c r="AC9" s="2984">
        <v>43499</v>
      </c>
      <c r="AD9" s="2985">
        <v>4700</v>
      </c>
      <c r="AE9" s="2986">
        <v>43808</v>
      </c>
      <c r="AF9" s="2988">
        <f t="shared" si="1"/>
        <v>4.2342342342342336</v>
      </c>
    </row>
    <row r="10" spans="1:32" ht="14.25" thickBot="1">
      <c r="R10" s="2983" t="s">
        <v>3266</v>
      </c>
      <c r="S10" s="2983" t="s">
        <v>1327</v>
      </c>
      <c r="T10" s="2983">
        <v>150</v>
      </c>
      <c r="U10" s="2990" t="s">
        <v>1327</v>
      </c>
      <c r="V10" s="2983">
        <v>110</v>
      </c>
      <c r="W10" s="2986">
        <v>43787</v>
      </c>
      <c r="X10" s="2988">
        <f t="shared" si="0"/>
        <v>7333.333333333333</v>
      </c>
      <c r="Z10" s="2983" t="s">
        <v>3293</v>
      </c>
      <c r="AA10" s="2983">
        <v>1</v>
      </c>
      <c r="AB10" s="2983">
        <v>40</v>
      </c>
      <c r="AC10" s="2984">
        <v>43504</v>
      </c>
      <c r="AD10" s="2985">
        <v>4700</v>
      </c>
      <c r="AE10" s="2986">
        <v>43808</v>
      </c>
      <c r="AF10" s="2988">
        <f t="shared" si="1"/>
        <v>3.9166666666666665</v>
      </c>
    </row>
    <row r="11" spans="1:32" ht="14.25" thickBot="1">
      <c r="R11" s="2983" t="s">
        <v>1327</v>
      </c>
      <c r="S11" s="2983" t="s">
        <v>1327</v>
      </c>
      <c r="T11" s="2983">
        <v>30</v>
      </c>
      <c r="U11" s="2990" t="s">
        <v>1327</v>
      </c>
      <c r="V11" s="2983">
        <v>21</v>
      </c>
      <c r="W11" s="2986">
        <v>43783</v>
      </c>
      <c r="X11" s="2988">
        <f t="shared" si="0"/>
        <v>7000</v>
      </c>
      <c r="Z11" s="2983" t="s">
        <v>3293</v>
      </c>
      <c r="AA11" s="2983" t="s">
        <v>1327</v>
      </c>
      <c r="AB11" s="2983">
        <v>48</v>
      </c>
      <c r="AC11" s="2984">
        <v>43469</v>
      </c>
      <c r="AD11" s="2985">
        <v>7500</v>
      </c>
      <c r="AE11" s="2986">
        <v>43808</v>
      </c>
      <c r="AF11" s="2988">
        <f t="shared" si="1"/>
        <v>5.208333333333333</v>
      </c>
    </row>
    <row r="12" spans="1:32" ht="14.25" thickBot="1">
      <c r="R12" s="2983" t="s">
        <v>3267</v>
      </c>
      <c r="S12" s="2983" t="s">
        <v>1327</v>
      </c>
      <c r="T12" s="2983">
        <v>10</v>
      </c>
      <c r="U12" s="2990">
        <v>43467</v>
      </c>
      <c r="V12" s="2983">
        <v>20</v>
      </c>
      <c r="W12" s="2986">
        <v>43782</v>
      </c>
      <c r="X12" s="2988">
        <f t="shared" si="0"/>
        <v>20000</v>
      </c>
      <c r="Z12" s="2983" t="s">
        <v>3294</v>
      </c>
      <c r="AA12" s="2983" t="s">
        <v>1327</v>
      </c>
      <c r="AB12" s="2983">
        <v>130</v>
      </c>
      <c r="AC12" s="2984">
        <v>43468</v>
      </c>
      <c r="AD12" s="2985">
        <v>1500</v>
      </c>
      <c r="AE12" s="2986">
        <v>43808</v>
      </c>
      <c r="AF12" s="2988">
        <f t="shared" si="1"/>
        <v>0.38461538461538464</v>
      </c>
    </row>
    <row r="13" spans="1:32" ht="14.25" thickBot="1">
      <c r="A13" s="2982" t="s">
        <v>3249</v>
      </c>
      <c r="B13" s="2982" t="s">
        <v>3250</v>
      </c>
      <c r="C13" s="2982" t="s">
        <v>3251</v>
      </c>
      <c r="D13" s="2982" t="s">
        <v>3252</v>
      </c>
      <c r="E13" s="2982" t="s">
        <v>3253</v>
      </c>
      <c r="F13" s="2982" t="s">
        <v>3254</v>
      </c>
      <c r="G13" s="2989" t="s">
        <v>3289</v>
      </c>
      <c r="I13" s="2982" t="s">
        <v>3249</v>
      </c>
      <c r="J13" s="2982" t="s">
        <v>3250</v>
      </c>
      <c r="K13" s="2982" t="s">
        <v>3251</v>
      </c>
      <c r="L13" s="2982" t="s">
        <v>3252</v>
      </c>
      <c r="M13" s="2982" t="s">
        <v>1356</v>
      </c>
      <c r="N13" s="2982" t="s">
        <v>3254</v>
      </c>
      <c r="O13" s="2982" t="s">
        <v>3249</v>
      </c>
      <c r="R13" s="2983" t="s">
        <v>3268</v>
      </c>
      <c r="S13" s="2983">
        <v>4</v>
      </c>
      <c r="T13" s="2983">
        <v>160</v>
      </c>
      <c r="U13" s="2990">
        <v>43471</v>
      </c>
      <c r="V13" s="2983">
        <v>80</v>
      </c>
      <c r="W13" s="2986">
        <v>43781</v>
      </c>
      <c r="X13" s="2988">
        <f t="shared" si="0"/>
        <v>5000</v>
      </c>
      <c r="Z13" s="2983" t="s">
        <v>3270</v>
      </c>
      <c r="AA13" s="2983" t="s">
        <v>1327</v>
      </c>
      <c r="AB13" s="2983">
        <v>100</v>
      </c>
      <c r="AC13" s="2984">
        <v>43498</v>
      </c>
      <c r="AD13" s="2985">
        <v>2000</v>
      </c>
      <c r="AE13" s="2986">
        <v>43808</v>
      </c>
      <c r="AF13" s="2988">
        <f t="shared" si="1"/>
        <v>0.66666666666666674</v>
      </c>
    </row>
    <row r="14" spans="1:32" ht="14.25" thickBot="1">
      <c r="A14" s="2983" t="s">
        <v>3255</v>
      </c>
      <c r="B14" s="2983" t="s">
        <v>1327</v>
      </c>
      <c r="C14" s="2983">
        <v>38</v>
      </c>
      <c r="D14" s="2990">
        <v>43466</v>
      </c>
      <c r="E14" s="2985">
        <v>1250</v>
      </c>
      <c r="F14" s="2986">
        <v>43809</v>
      </c>
      <c r="G14" s="2988">
        <f>E14/30/C14</f>
        <v>1.0964912280701753</v>
      </c>
      <c r="I14" s="2983" t="s">
        <v>3286</v>
      </c>
      <c r="J14" s="2983">
        <v>1</v>
      </c>
      <c r="K14" s="2983">
        <v>35</v>
      </c>
      <c r="L14" s="2990" t="s">
        <v>1327</v>
      </c>
      <c r="M14" s="2983">
        <v>14</v>
      </c>
      <c r="N14" s="2986">
        <v>43792</v>
      </c>
      <c r="O14" s="2983" t="s">
        <v>3286</v>
      </c>
      <c r="P14" s="2988">
        <f>M14*10000/K14</f>
        <v>4000</v>
      </c>
      <c r="R14" s="2983" t="s">
        <v>1327</v>
      </c>
      <c r="S14" s="2983">
        <v>4</v>
      </c>
      <c r="T14" s="2983">
        <v>15</v>
      </c>
      <c r="U14" s="2990" t="s">
        <v>1327</v>
      </c>
      <c r="V14" s="2983">
        <v>18</v>
      </c>
      <c r="W14" s="2986">
        <v>43781</v>
      </c>
      <c r="X14" s="2988">
        <f t="shared" si="0"/>
        <v>12000</v>
      </c>
      <c r="Z14" s="2983" t="s">
        <v>3263</v>
      </c>
      <c r="AA14" s="2983" t="s">
        <v>1327</v>
      </c>
      <c r="AB14" s="2983">
        <v>150</v>
      </c>
      <c r="AC14" s="2984">
        <v>43505</v>
      </c>
      <c r="AD14" s="2985">
        <v>5800</v>
      </c>
      <c r="AE14" s="2986">
        <v>43808</v>
      </c>
      <c r="AF14" s="2988">
        <f t="shared" si="1"/>
        <v>1.288888888888889</v>
      </c>
    </row>
    <row r="15" spans="1:32" ht="14.25" thickBot="1">
      <c r="A15" s="2983" t="s">
        <v>3256</v>
      </c>
      <c r="B15" s="2983" t="s">
        <v>1327</v>
      </c>
      <c r="C15" s="2983">
        <v>55</v>
      </c>
      <c r="D15" s="2990">
        <v>43466</v>
      </c>
      <c r="E15" s="2985">
        <v>3300</v>
      </c>
      <c r="F15" s="2986">
        <v>43809</v>
      </c>
      <c r="G15" s="2988">
        <f t="shared" ref="G15:G33" si="2">E15/30/C15</f>
        <v>2</v>
      </c>
      <c r="I15" s="2983" t="s">
        <v>3287</v>
      </c>
      <c r="J15" s="2983" t="s">
        <v>1327</v>
      </c>
      <c r="K15" s="2983">
        <v>29</v>
      </c>
      <c r="L15" s="2990">
        <v>43471</v>
      </c>
      <c r="M15" s="2983">
        <v>18</v>
      </c>
      <c r="N15" s="2986">
        <v>43786</v>
      </c>
      <c r="O15" s="2983" t="s">
        <v>3287</v>
      </c>
      <c r="P15" s="2988">
        <f t="shared" ref="P15:P16" si="3">M15*10000/K15</f>
        <v>6206.8965517241377</v>
      </c>
      <c r="R15" s="2983" t="s">
        <v>3269</v>
      </c>
      <c r="S15" s="2983" t="s">
        <v>1327</v>
      </c>
      <c r="T15" s="2983">
        <v>31</v>
      </c>
      <c r="U15" s="2990">
        <v>43472</v>
      </c>
      <c r="V15" s="2983">
        <v>25</v>
      </c>
      <c r="W15" s="2986">
        <v>43780</v>
      </c>
      <c r="X15" s="2988">
        <f t="shared" si="0"/>
        <v>8064.5161290322585</v>
      </c>
      <c r="Z15" s="2983" t="s">
        <v>3293</v>
      </c>
      <c r="AA15" s="2983" t="s">
        <v>1327</v>
      </c>
      <c r="AB15" s="2983">
        <v>50</v>
      </c>
      <c r="AC15" s="2984">
        <v>43466</v>
      </c>
      <c r="AD15" s="2985">
        <v>1500</v>
      </c>
      <c r="AE15" s="2986">
        <v>43808</v>
      </c>
      <c r="AF15" s="2988">
        <f t="shared" si="1"/>
        <v>1</v>
      </c>
    </row>
    <row r="16" spans="1:32" ht="14.25" thickBot="1">
      <c r="A16" s="2983" t="s">
        <v>3256</v>
      </c>
      <c r="B16" s="2983" t="s">
        <v>1327</v>
      </c>
      <c r="C16" s="2983">
        <v>150</v>
      </c>
      <c r="D16" s="2990">
        <v>43500</v>
      </c>
      <c r="E16" s="2985">
        <v>3000</v>
      </c>
      <c r="F16" s="2986">
        <v>43807</v>
      </c>
      <c r="G16" s="2988">
        <f t="shared" si="2"/>
        <v>0.66666666666666663</v>
      </c>
      <c r="I16" s="2983" t="s">
        <v>3288</v>
      </c>
      <c r="J16" s="2983" t="s">
        <v>1327</v>
      </c>
      <c r="K16" s="2983">
        <v>25</v>
      </c>
      <c r="L16" s="2990" t="s">
        <v>1327</v>
      </c>
      <c r="M16" s="2983">
        <v>13</v>
      </c>
      <c r="N16" s="2986">
        <v>43780</v>
      </c>
      <c r="O16" s="2983" t="s">
        <v>3288</v>
      </c>
      <c r="P16" s="2988">
        <f t="shared" si="3"/>
        <v>5200</v>
      </c>
      <c r="R16" s="2983" t="s">
        <v>3270</v>
      </c>
      <c r="S16" s="2983" t="s">
        <v>1327</v>
      </c>
      <c r="T16" s="2983">
        <v>61</v>
      </c>
      <c r="U16" s="2990">
        <v>43468</v>
      </c>
      <c r="V16" s="2983">
        <v>68</v>
      </c>
      <c r="W16" s="2986">
        <v>43779</v>
      </c>
      <c r="X16" s="2988">
        <f t="shared" si="0"/>
        <v>11147.540983606557</v>
      </c>
      <c r="Z16" s="2983" t="s">
        <v>3271</v>
      </c>
      <c r="AA16" s="2983" t="s">
        <v>1327</v>
      </c>
      <c r="AB16" s="2983">
        <v>25</v>
      </c>
      <c r="AC16" s="2984">
        <v>43466</v>
      </c>
      <c r="AD16" s="2985">
        <v>2000</v>
      </c>
      <c r="AE16" s="2986">
        <v>43808</v>
      </c>
      <c r="AF16" s="2988">
        <f t="shared" si="1"/>
        <v>2.666666666666667</v>
      </c>
    </row>
    <row r="17" spans="1:32" ht="26.25" thickBot="1">
      <c r="A17" s="2983" t="s">
        <v>1327</v>
      </c>
      <c r="B17" s="2983" t="s">
        <v>1327</v>
      </c>
      <c r="C17" s="2983">
        <v>9</v>
      </c>
      <c r="D17" s="2990">
        <v>43466</v>
      </c>
      <c r="E17" s="2985">
        <v>2600</v>
      </c>
      <c r="F17" s="2986">
        <v>43807</v>
      </c>
      <c r="G17" s="2988"/>
      <c r="R17" s="2983" t="s">
        <v>3271</v>
      </c>
      <c r="S17" s="2983" t="s">
        <v>1327</v>
      </c>
      <c r="T17" s="2983">
        <v>665</v>
      </c>
      <c r="U17" s="2990">
        <v>43498</v>
      </c>
      <c r="V17" s="2983">
        <v>800</v>
      </c>
      <c r="W17" s="2986">
        <v>43779</v>
      </c>
      <c r="X17" s="2988">
        <f t="shared" si="0"/>
        <v>12030.075187969926</v>
      </c>
      <c r="Z17" s="2983" t="s">
        <v>3274</v>
      </c>
      <c r="AA17" s="2983" t="s">
        <v>1327</v>
      </c>
      <c r="AB17" s="2983">
        <v>80</v>
      </c>
      <c r="AC17" s="2984">
        <v>43466</v>
      </c>
      <c r="AD17" s="2985">
        <v>6600</v>
      </c>
      <c r="AE17" s="2986">
        <v>43807</v>
      </c>
      <c r="AF17" s="2988">
        <f t="shared" si="1"/>
        <v>2.75</v>
      </c>
    </row>
    <row r="18" spans="1:32" ht="14.25" thickBot="1">
      <c r="A18" s="2983" t="s">
        <v>3257</v>
      </c>
      <c r="B18" s="2983" t="s">
        <v>1327</v>
      </c>
      <c r="C18" s="2983">
        <v>700</v>
      </c>
      <c r="D18" s="2990">
        <v>43468</v>
      </c>
      <c r="E18" s="2985">
        <v>30000</v>
      </c>
      <c r="F18" s="2986">
        <v>43806</v>
      </c>
      <c r="G18" s="2988">
        <f t="shared" si="2"/>
        <v>1.4285714285714286</v>
      </c>
      <c r="R18" s="2983" t="s">
        <v>3272</v>
      </c>
      <c r="S18" s="2983">
        <v>3</v>
      </c>
      <c r="T18" s="2983">
        <v>101</v>
      </c>
      <c r="U18" s="2990">
        <v>43530</v>
      </c>
      <c r="V18" s="2983">
        <v>165</v>
      </c>
      <c r="W18" s="2986">
        <v>43778</v>
      </c>
      <c r="X18" s="2988">
        <f t="shared" si="0"/>
        <v>16336.633663366336</v>
      </c>
      <c r="Z18" s="2983" t="s">
        <v>1327</v>
      </c>
      <c r="AA18" s="2983" t="s">
        <v>1327</v>
      </c>
      <c r="AB18" s="2983">
        <v>390</v>
      </c>
      <c r="AC18" s="2984">
        <v>43498</v>
      </c>
      <c r="AD18" s="2985">
        <v>4000</v>
      </c>
      <c r="AE18" s="2986">
        <v>43807</v>
      </c>
      <c r="AF18" s="2988"/>
    </row>
    <row r="19" spans="1:32" ht="14.25" thickBot="1">
      <c r="A19" s="2983" t="s">
        <v>3258</v>
      </c>
      <c r="B19" s="2983" t="s">
        <v>1327</v>
      </c>
      <c r="C19" s="2983">
        <v>112</v>
      </c>
      <c r="D19" s="2990">
        <v>43498</v>
      </c>
      <c r="E19" s="2985">
        <v>2500</v>
      </c>
      <c r="F19" s="2986">
        <v>43806</v>
      </c>
      <c r="G19" s="2988">
        <f t="shared" si="2"/>
        <v>0.74404761904761896</v>
      </c>
      <c r="R19" s="2983" t="s">
        <v>3273</v>
      </c>
      <c r="S19" s="2983">
        <v>2</v>
      </c>
      <c r="T19" s="2983">
        <v>110</v>
      </c>
      <c r="U19" s="2990" t="s">
        <v>1327</v>
      </c>
      <c r="V19" s="2983">
        <v>101</v>
      </c>
      <c r="W19" s="2986">
        <v>43778</v>
      </c>
      <c r="X19" s="2988">
        <f t="shared" si="0"/>
        <v>9181.818181818182</v>
      </c>
      <c r="Z19" s="2983" t="s">
        <v>3295</v>
      </c>
      <c r="AA19" s="2983" t="s">
        <v>1327</v>
      </c>
      <c r="AB19" s="2983">
        <v>53</v>
      </c>
      <c r="AC19" s="2984">
        <v>43466</v>
      </c>
      <c r="AD19" s="2985">
        <v>7000</v>
      </c>
      <c r="AE19" s="2986">
        <v>43807</v>
      </c>
      <c r="AF19" s="2988">
        <f t="shared" si="1"/>
        <v>4.4025157232704402</v>
      </c>
    </row>
    <row r="20" spans="1:32" ht="26.25" thickBot="1">
      <c r="A20" s="2983" t="s">
        <v>3343</v>
      </c>
      <c r="B20" s="2983">
        <v>2</v>
      </c>
      <c r="C20" s="2983">
        <v>70</v>
      </c>
      <c r="D20" s="2990">
        <v>43466</v>
      </c>
      <c r="E20" s="2985">
        <v>2100</v>
      </c>
      <c r="F20" s="2986">
        <v>43806</v>
      </c>
      <c r="G20" s="2988">
        <f t="shared" si="2"/>
        <v>1</v>
      </c>
      <c r="R20" s="2983" t="s">
        <v>3263</v>
      </c>
      <c r="S20" s="2983" t="s">
        <v>1327</v>
      </c>
      <c r="T20" s="2983">
        <v>60</v>
      </c>
      <c r="U20" s="2990">
        <v>43467</v>
      </c>
      <c r="V20" s="2983">
        <v>78</v>
      </c>
      <c r="W20" s="2986">
        <v>43777</v>
      </c>
      <c r="X20" s="2988">
        <f t="shared" si="0"/>
        <v>13000</v>
      </c>
      <c r="Z20" s="2983" t="s">
        <v>3296</v>
      </c>
      <c r="AA20" s="2983">
        <v>3</v>
      </c>
      <c r="AB20" s="2983">
        <v>127</v>
      </c>
      <c r="AC20" s="2984">
        <v>43502</v>
      </c>
      <c r="AD20" s="2985">
        <v>2600</v>
      </c>
      <c r="AE20" s="2986">
        <v>43807</v>
      </c>
      <c r="AF20" s="2988">
        <f t="shared" si="1"/>
        <v>0.6824146981627297</v>
      </c>
    </row>
    <row r="21" spans="1:32" ht="14.25" thickBot="1">
      <c r="A21" s="2983" t="s">
        <v>3256</v>
      </c>
      <c r="B21" s="2983" t="s">
        <v>1327</v>
      </c>
      <c r="C21" s="2983">
        <v>200</v>
      </c>
      <c r="D21" s="2990">
        <v>43498</v>
      </c>
      <c r="E21" s="2985">
        <v>3500</v>
      </c>
      <c r="F21" s="2986">
        <v>43804</v>
      </c>
      <c r="G21" s="2988">
        <f t="shared" si="2"/>
        <v>0.58333333333333337</v>
      </c>
      <c r="R21" s="2983" t="s">
        <v>3270</v>
      </c>
      <c r="S21" s="2983" t="s">
        <v>1327</v>
      </c>
      <c r="T21" s="2983">
        <v>61.64</v>
      </c>
      <c r="U21" s="2990">
        <v>43471</v>
      </c>
      <c r="V21" s="2983">
        <v>65</v>
      </c>
      <c r="W21" s="2986">
        <v>43777</v>
      </c>
      <c r="X21" s="2988">
        <f t="shared" si="0"/>
        <v>10545.10058403634</v>
      </c>
      <c r="Z21" s="2983" t="s">
        <v>1327</v>
      </c>
      <c r="AA21" s="2983" t="s">
        <v>1327</v>
      </c>
      <c r="AB21" s="2983">
        <v>80</v>
      </c>
      <c r="AC21" s="2984">
        <v>43466</v>
      </c>
      <c r="AD21" s="2985">
        <v>2750</v>
      </c>
      <c r="AE21" s="2986">
        <v>43807</v>
      </c>
      <c r="AF21" s="2988"/>
    </row>
    <row r="22" spans="1:32" ht="26.25" thickBot="1">
      <c r="A22" s="2983" t="s">
        <v>1327</v>
      </c>
      <c r="B22" s="2983" t="s">
        <v>1327</v>
      </c>
      <c r="C22" s="2983">
        <v>680</v>
      </c>
      <c r="D22" s="2990">
        <v>43470</v>
      </c>
      <c r="E22" s="2985">
        <v>20000</v>
      </c>
      <c r="F22" s="2986">
        <v>43804</v>
      </c>
      <c r="G22" s="2988"/>
      <c r="R22" s="2983" t="s">
        <v>3274</v>
      </c>
      <c r="S22" s="2983" t="s">
        <v>1327</v>
      </c>
      <c r="T22" s="2983">
        <v>96</v>
      </c>
      <c r="U22" s="2990">
        <v>43498</v>
      </c>
      <c r="V22" s="2983">
        <v>160</v>
      </c>
      <c r="W22" s="2986">
        <v>43775</v>
      </c>
      <c r="X22" s="2988">
        <f t="shared" si="0"/>
        <v>16666.666666666668</v>
      </c>
      <c r="Z22" s="2983" t="s">
        <v>3297</v>
      </c>
      <c r="AA22" s="2983" t="s">
        <v>1327</v>
      </c>
      <c r="AB22" s="2983">
        <v>20</v>
      </c>
      <c r="AC22" s="2984">
        <v>43466</v>
      </c>
      <c r="AD22" s="2983">
        <v>600</v>
      </c>
      <c r="AE22" s="2986">
        <v>43807</v>
      </c>
      <c r="AF22" s="2988">
        <f t="shared" si="1"/>
        <v>1</v>
      </c>
    </row>
    <row r="23" spans="1:32" ht="14.25" thickBot="1">
      <c r="A23" s="2983" t="s">
        <v>3344</v>
      </c>
      <c r="B23" s="2983">
        <v>1</v>
      </c>
      <c r="C23" s="2983">
        <v>24</v>
      </c>
      <c r="D23" s="2990" t="s">
        <v>1327</v>
      </c>
      <c r="E23" s="2985">
        <v>2000</v>
      </c>
      <c r="F23" s="2986">
        <v>43803</v>
      </c>
      <c r="G23" s="2988">
        <f t="shared" si="2"/>
        <v>2.7777777777777781</v>
      </c>
      <c r="R23" s="2983" t="s">
        <v>3275</v>
      </c>
      <c r="S23" s="2983" t="s">
        <v>1327</v>
      </c>
      <c r="T23" s="2983">
        <v>500</v>
      </c>
      <c r="U23" s="2990">
        <v>43498</v>
      </c>
      <c r="V23" s="2983">
        <v>300</v>
      </c>
      <c r="W23" s="2986">
        <v>43773</v>
      </c>
      <c r="X23" s="2988">
        <f t="shared" si="0"/>
        <v>6000</v>
      </c>
      <c r="Z23" s="2983" t="s">
        <v>3268</v>
      </c>
      <c r="AA23" s="2983">
        <v>3</v>
      </c>
      <c r="AB23" s="2983">
        <v>127</v>
      </c>
      <c r="AC23" s="2984">
        <v>43508</v>
      </c>
      <c r="AD23" s="2985">
        <v>2600</v>
      </c>
      <c r="AE23" s="2986">
        <v>43807</v>
      </c>
      <c r="AF23" s="2988">
        <f t="shared" si="1"/>
        <v>0.6824146981627297</v>
      </c>
    </row>
    <row r="24" spans="1:32" ht="14.25" thickBot="1">
      <c r="A24" s="2983" t="s">
        <v>1327</v>
      </c>
      <c r="B24" s="2983" t="s">
        <v>1327</v>
      </c>
      <c r="C24" s="2983">
        <v>28.56</v>
      </c>
      <c r="D24" s="2990">
        <v>43467</v>
      </c>
      <c r="E24" s="2985">
        <v>3167</v>
      </c>
      <c r="F24" s="2986">
        <v>43803</v>
      </c>
      <c r="G24" s="2988"/>
      <c r="R24" s="2987" t="s">
        <v>3276</v>
      </c>
      <c r="X24" s="2988"/>
      <c r="Z24" s="2987" t="s">
        <v>3302</v>
      </c>
      <c r="AF24" s="2988"/>
    </row>
    <row r="25" spans="1:32" ht="14.25" thickBot="1">
      <c r="A25" s="2983" t="s">
        <v>3345</v>
      </c>
      <c r="B25" s="2983" t="s">
        <v>1327</v>
      </c>
      <c r="C25" s="2983">
        <v>150</v>
      </c>
      <c r="D25" s="2990">
        <v>43466</v>
      </c>
      <c r="E25" s="2985">
        <v>15000</v>
      </c>
      <c r="F25" s="2986">
        <v>43803</v>
      </c>
      <c r="G25" s="2988">
        <f t="shared" si="2"/>
        <v>3.3333333333333335</v>
      </c>
      <c r="R25" s="2982" t="s">
        <v>3249</v>
      </c>
      <c r="S25" s="2982" t="s">
        <v>3250</v>
      </c>
      <c r="T25" s="2982" t="s">
        <v>3251</v>
      </c>
      <c r="U25" s="2982" t="s">
        <v>3252</v>
      </c>
      <c r="V25" s="2982" t="s">
        <v>1356</v>
      </c>
      <c r="W25" s="2982" t="s">
        <v>3254</v>
      </c>
      <c r="X25" s="2988"/>
      <c r="Z25" s="2982" t="s">
        <v>3249</v>
      </c>
      <c r="AA25" s="2982" t="s">
        <v>3250</v>
      </c>
      <c r="AB25" s="2982" t="s">
        <v>3251</v>
      </c>
      <c r="AC25" s="2982" t="s">
        <v>3252</v>
      </c>
      <c r="AD25" s="2982" t="s">
        <v>3253</v>
      </c>
      <c r="AE25" s="2982" t="s">
        <v>3254</v>
      </c>
      <c r="AF25" s="2988"/>
    </row>
    <row r="26" spans="1:32" ht="14.25" thickBot="1">
      <c r="A26" s="2983" t="s">
        <v>1327</v>
      </c>
      <c r="B26" s="2983" t="s">
        <v>1327</v>
      </c>
      <c r="C26" s="2983">
        <v>70</v>
      </c>
      <c r="D26" s="2990">
        <v>43466</v>
      </c>
      <c r="E26" s="2985">
        <v>2700</v>
      </c>
      <c r="F26" s="2986">
        <v>43803</v>
      </c>
      <c r="G26" s="2988"/>
      <c r="R26" s="2983" t="s">
        <v>3277</v>
      </c>
      <c r="S26" s="2983">
        <v>2</v>
      </c>
      <c r="T26" s="2983">
        <v>90</v>
      </c>
      <c r="U26" s="2983" t="s">
        <v>1327</v>
      </c>
      <c r="V26" s="2983">
        <v>57</v>
      </c>
      <c r="W26" s="2986">
        <v>43801</v>
      </c>
      <c r="X26" s="2988">
        <f t="shared" si="0"/>
        <v>6333.333333333333</v>
      </c>
      <c r="Z26" s="2983" t="s">
        <v>3298</v>
      </c>
      <c r="AA26" s="2983" t="s">
        <v>1327</v>
      </c>
      <c r="AB26" s="2983">
        <v>25</v>
      </c>
      <c r="AC26" s="2984">
        <v>43467</v>
      </c>
      <c r="AD26" s="2985">
        <v>1100</v>
      </c>
      <c r="AE26" s="2986">
        <v>43808</v>
      </c>
      <c r="AF26" s="2988">
        <f t="shared" si="1"/>
        <v>1.4666666666666666</v>
      </c>
    </row>
    <row r="27" spans="1:32" ht="14.25" thickBot="1">
      <c r="A27" s="2983" t="s">
        <v>1327</v>
      </c>
      <c r="B27" s="2983">
        <v>2</v>
      </c>
      <c r="C27" s="2983">
        <v>50</v>
      </c>
      <c r="D27" s="2990">
        <v>43473</v>
      </c>
      <c r="E27" s="2985">
        <v>1000</v>
      </c>
      <c r="F27" s="2986">
        <v>43803</v>
      </c>
      <c r="G27" s="2988"/>
      <c r="R27" s="2983" t="s">
        <v>3278</v>
      </c>
      <c r="S27" s="2983" t="s">
        <v>1327</v>
      </c>
      <c r="T27" s="2983">
        <v>387</v>
      </c>
      <c r="U27" s="2990">
        <v>43504</v>
      </c>
      <c r="V27" s="2983">
        <v>278</v>
      </c>
      <c r="W27" s="2986">
        <v>43780</v>
      </c>
      <c r="X27" s="2988">
        <f t="shared" si="0"/>
        <v>7183.4625322997417</v>
      </c>
      <c r="Z27" s="2983" t="s">
        <v>3299</v>
      </c>
      <c r="AA27" s="2983" t="s">
        <v>1327</v>
      </c>
      <c r="AB27" s="2983">
        <v>20</v>
      </c>
      <c r="AC27" s="2984">
        <v>43466</v>
      </c>
      <c r="AD27" s="2983">
        <v>600</v>
      </c>
      <c r="AE27" s="2986">
        <v>43807</v>
      </c>
      <c r="AF27" s="2988">
        <f t="shared" si="1"/>
        <v>1</v>
      </c>
    </row>
    <row r="28" spans="1:32" ht="14.25" thickBot="1">
      <c r="A28" s="2983" t="s">
        <v>3346</v>
      </c>
      <c r="B28" s="2983" t="s">
        <v>1327</v>
      </c>
      <c r="C28" s="2983">
        <v>55</v>
      </c>
      <c r="D28" s="2990">
        <v>43477</v>
      </c>
      <c r="E28" s="2985">
        <v>1700</v>
      </c>
      <c r="F28" s="2986">
        <v>43802</v>
      </c>
      <c r="G28" s="2988">
        <f t="shared" si="2"/>
        <v>1.0303030303030303</v>
      </c>
      <c r="R28" s="2983" t="s">
        <v>3279</v>
      </c>
      <c r="S28" s="2983">
        <v>3</v>
      </c>
      <c r="T28" s="2983">
        <v>110</v>
      </c>
      <c r="U28" s="2990">
        <v>43466</v>
      </c>
      <c r="V28" s="2983">
        <v>140</v>
      </c>
      <c r="W28" s="2986">
        <v>43770</v>
      </c>
      <c r="X28" s="2988">
        <f t="shared" si="0"/>
        <v>12727.272727272728</v>
      </c>
      <c r="Z28" s="2983" t="s">
        <v>3300</v>
      </c>
      <c r="AA28" s="2983" t="s">
        <v>1327</v>
      </c>
      <c r="AB28" s="2983">
        <v>60</v>
      </c>
      <c r="AC28" s="2984">
        <v>43467</v>
      </c>
      <c r="AD28" s="2985">
        <v>3000</v>
      </c>
      <c r="AE28" s="2986">
        <v>43799</v>
      </c>
      <c r="AF28" s="2988">
        <f t="shared" si="1"/>
        <v>1.6666666666666667</v>
      </c>
    </row>
    <row r="29" spans="1:32" ht="14.25" thickBot="1">
      <c r="A29" s="2983" t="s">
        <v>3347</v>
      </c>
      <c r="B29" s="2983" t="s">
        <v>1327</v>
      </c>
      <c r="C29" s="2983">
        <v>80</v>
      </c>
      <c r="D29" s="2990">
        <v>43467</v>
      </c>
      <c r="E29" s="2985">
        <v>1800</v>
      </c>
      <c r="F29" s="2986">
        <v>43801</v>
      </c>
      <c r="G29" s="2988">
        <f t="shared" si="2"/>
        <v>0.75</v>
      </c>
      <c r="R29" s="2987" t="s">
        <v>3285</v>
      </c>
      <c r="X29" s="2988"/>
      <c r="Z29" s="2983" t="s">
        <v>3301</v>
      </c>
      <c r="AA29" s="2983" t="s">
        <v>1327</v>
      </c>
      <c r="AB29" s="2983">
        <v>118</v>
      </c>
      <c r="AC29" s="2984">
        <v>43466</v>
      </c>
      <c r="AD29" s="2985">
        <v>4500</v>
      </c>
      <c r="AE29" s="2986">
        <v>43797</v>
      </c>
      <c r="AF29" s="2988">
        <f t="shared" si="1"/>
        <v>1.271186440677966</v>
      </c>
    </row>
    <row r="30" spans="1:32" ht="14.25" thickBot="1">
      <c r="A30" s="2983" t="s">
        <v>3259</v>
      </c>
      <c r="B30" s="2983" t="s">
        <v>1327</v>
      </c>
      <c r="C30" s="2983">
        <v>40</v>
      </c>
      <c r="D30" s="2990">
        <v>43498</v>
      </c>
      <c r="E30" s="2985">
        <v>1100</v>
      </c>
      <c r="F30" s="2986">
        <v>43801</v>
      </c>
      <c r="G30" s="2988">
        <f t="shared" si="2"/>
        <v>0.91666666666666663</v>
      </c>
      <c r="R30" s="2982" t="s">
        <v>3249</v>
      </c>
      <c r="S30" s="2982" t="s">
        <v>3250</v>
      </c>
      <c r="T30" s="2982" t="s">
        <v>3251</v>
      </c>
      <c r="U30" s="2982" t="s">
        <v>3252</v>
      </c>
      <c r="V30" s="2982" t="s">
        <v>1356</v>
      </c>
      <c r="W30" s="2982" t="s">
        <v>3254</v>
      </c>
      <c r="X30" s="2988"/>
      <c r="Z30" s="2983" t="s">
        <v>3301</v>
      </c>
      <c r="AA30" s="2983" t="s">
        <v>1327</v>
      </c>
      <c r="AB30" s="2983">
        <v>115</v>
      </c>
      <c r="AC30" s="2984">
        <v>43466</v>
      </c>
      <c r="AD30" s="2985">
        <v>4800</v>
      </c>
      <c r="AE30" s="2986">
        <v>43774</v>
      </c>
      <c r="AF30" s="2988">
        <f t="shared" si="1"/>
        <v>1.3913043478260869</v>
      </c>
    </row>
    <row r="31" spans="1:32" ht="14.25" thickBot="1">
      <c r="A31" s="2983" t="s">
        <v>3348</v>
      </c>
      <c r="B31" s="2983" t="s">
        <v>1327</v>
      </c>
      <c r="C31" s="2983">
        <v>180</v>
      </c>
      <c r="D31" s="2990">
        <v>43466</v>
      </c>
      <c r="E31" s="2985">
        <v>6500</v>
      </c>
      <c r="F31" s="2986">
        <v>43800</v>
      </c>
      <c r="G31" s="2988">
        <f t="shared" si="2"/>
        <v>1.2037037037037037</v>
      </c>
      <c r="R31" s="2983" t="s">
        <v>3280</v>
      </c>
      <c r="S31" s="2983" t="s">
        <v>1327</v>
      </c>
      <c r="T31" s="2983">
        <v>93</v>
      </c>
      <c r="U31" s="2990">
        <v>43498</v>
      </c>
      <c r="V31" s="2983">
        <v>100</v>
      </c>
      <c r="W31" s="2986">
        <v>43791</v>
      </c>
      <c r="X31" s="2988">
        <f t="shared" si="0"/>
        <v>10752.68817204301</v>
      </c>
      <c r="Z31" s="2987" t="s">
        <v>3314</v>
      </c>
      <c r="AF31" s="2988"/>
    </row>
    <row r="32" spans="1:32" ht="14.25" thickBot="1">
      <c r="A32" s="2983" t="s">
        <v>3256</v>
      </c>
      <c r="B32" s="2983" t="s">
        <v>1327</v>
      </c>
      <c r="C32" s="2983">
        <v>30</v>
      </c>
      <c r="D32" s="2990">
        <v>43468</v>
      </c>
      <c r="E32" s="2985">
        <v>1800</v>
      </c>
      <c r="F32" s="2986">
        <v>43800</v>
      </c>
      <c r="G32" s="2988">
        <f t="shared" si="2"/>
        <v>2</v>
      </c>
      <c r="R32" s="2983" t="s">
        <v>3281</v>
      </c>
      <c r="S32" s="2983">
        <v>1</v>
      </c>
      <c r="T32" s="2983">
        <v>37</v>
      </c>
      <c r="U32" s="2990">
        <v>43471</v>
      </c>
      <c r="V32" s="2983">
        <v>58</v>
      </c>
      <c r="W32" s="2986">
        <v>43791</v>
      </c>
      <c r="X32" s="2988">
        <f t="shared" si="0"/>
        <v>15675.675675675675</v>
      </c>
      <c r="Z32" s="2982" t="s">
        <v>3249</v>
      </c>
      <c r="AA32" s="2982" t="s">
        <v>3250</v>
      </c>
      <c r="AB32" s="2982" t="s">
        <v>3251</v>
      </c>
      <c r="AC32" s="2982" t="s">
        <v>3252</v>
      </c>
      <c r="AD32" s="2982" t="s">
        <v>3253</v>
      </c>
      <c r="AE32" s="2982" t="s">
        <v>3254</v>
      </c>
      <c r="AF32" s="2988"/>
    </row>
    <row r="33" spans="1:32" ht="14.25" thickBot="1">
      <c r="A33" s="2983" t="s">
        <v>3349</v>
      </c>
      <c r="B33" s="2983" t="s">
        <v>1327</v>
      </c>
      <c r="C33" s="2983">
        <v>25</v>
      </c>
      <c r="D33" s="2990">
        <v>43466</v>
      </c>
      <c r="E33" s="2985">
        <v>1200</v>
      </c>
      <c r="F33" s="2986">
        <v>43799</v>
      </c>
      <c r="G33" s="2988">
        <f t="shared" si="2"/>
        <v>1.6</v>
      </c>
      <c r="R33" s="2983" t="s">
        <v>3280</v>
      </c>
      <c r="S33" s="2983" t="s">
        <v>1327</v>
      </c>
      <c r="T33" s="2983">
        <v>37</v>
      </c>
      <c r="U33" s="2990">
        <v>43498</v>
      </c>
      <c r="V33" s="2983">
        <v>37</v>
      </c>
      <c r="W33" s="2986">
        <v>43791</v>
      </c>
      <c r="X33" s="2988">
        <f t="shared" si="0"/>
        <v>10000</v>
      </c>
      <c r="Z33" s="2983" t="s">
        <v>3303</v>
      </c>
      <c r="AA33" s="2983" t="s">
        <v>1327</v>
      </c>
      <c r="AB33" s="2983">
        <v>298</v>
      </c>
      <c r="AC33" s="2984">
        <v>43468</v>
      </c>
      <c r="AD33" s="2985">
        <v>2937</v>
      </c>
      <c r="AE33" s="2986">
        <v>43809</v>
      </c>
      <c r="AF33" s="2988">
        <f t="shared" si="1"/>
        <v>0.32852348993288594</v>
      </c>
    </row>
    <row r="34" spans="1:32" ht="14.25" thickBot="1">
      <c r="R34" s="2983" t="s">
        <v>3282</v>
      </c>
      <c r="S34" s="2983" t="s">
        <v>1327</v>
      </c>
      <c r="T34" s="2983">
        <v>41</v>
      </c>
      <c r="U34" s="2990">
        <v>43466</v>
      </c>
      <c r="V34" s="2983">
        <v>68</v>
      </c>
      <c r="W34" s="2986">
        <v>43791</v>
      </c>
      <c r="X34" s="2988">
        <f t="shared" si="0"/>
        <v>16585.365853658535</v>
      </c>
      <c r="Z34" s="2983" t="s">
        <v>3304</v>
      </c>
      <c r="AA34" s="2983" t="s">
        <v>1327</v>
      </c>
      <c r="AB34" s="2983">
        <v>148</v>
      </c>
      <c r="AC34" s="2984">
        <v>43466</v>
      </c>
      <c r="AD34" s="2985">
        <v>3500</v>
      </c>
      <c r="AE34" s="2986">
        <v>43809</v>
      </c>
      <c r="AF34" s="2988">
        <f t="shared" si="1"/>
        <v>0.78828828828828834</v>
      </c>
    </row>
    <row r="35" spans="1:32" ht="14.25" thickBot="1">
      <c r="R35" s="2983" t="s">
        <v>3283</v>
      </c>
      <c r="S35" s="2983" t="s">
        <v>1327</v>
      </c>
      <c r="T35" s="2983">
        <v>100</v>
      </c>
      <c r="U35" s="2990">
        <v>43466</v>
      </c>
      <c r="V35" s="2983">
        <v>180</v>
      </c>
      <c r="W35" s="2986">
        <v>43782</v>
      </c>
      <c r="X35" s="2988">
        <f t="shared" si="0"/>
        <v>18000</v>
      </c>
      <c r="Z35" s="2983" t="s">
        <v>3305</v>
      </c>
      <c r="AA35" s="2983">
        <v>2</v>
      </c>
      <c r="AB35" s="2983">
        <v>60</v>
      </c>
      <c r="AC35" s="2984">
        <v>43470</v>
      </c>
      <c r="AD35" s="2983">
        <v>400</v>
      </c>
      <c r="AE35" s="2986">
        <v>43809</v>
      </c>
      <c r="AF35" s="2988">
        <f t="shared" si="1"/>
        <v>0.22222222222222224</v>
      </c>
    </row>
    <row r="36" spans="1:32" ht="14.25" thickBot="1">
      <c r="R36" s="2983" t="s">
        <v>3283</v>
      </c>
      <c r="S36" s="2983" t="s">
        <v>1327</v>
      </c>
      <c r="T36" s="2983">
        <v>100</v>
      </c>
      <c r="U36" s="2990" t="s">
        <v>1327</v>
      </c>
      <c r="V36" s="2983">
        <v>180</v>
      </c>
      <c r="W36" s="2986">
        <v>43780</v>
      </c>
      <c r="X36" s="2988">
        <f t="shared" si="0"/>
        <v>18000</v>
      </c>
      <c r="Z36" s="2983" t="s">
        <v>3306</v>
      </c>
      <c r="AA36" s="2983" t="s">
        <v>1327</v>
      </c>
      <c r="AB36" s="2983">
        <v>27</v>
      </c>
      <c r="AC36" s="2984">
        <v>43499</v>
      </c>
      <c r="AD36" s="2985">
        <v>9000</v>
      </c>
      <c r="AE36" s="2986">
        <v>43809</v>
      </c>
      <c r="AF36" s="2988">
        <f t="shared" si="1"/>
        <v>11.111111111111111</v>
      </c>
    </row>
    <row r="37" spans="1:32" ht="14.25" thickBot="1">
      <c r="R37" s="2983" t="s">
        <v>3282</v>
      </c>
      <c r="S37" s="2983" t="s">
        <v>1327</v>
      </c>
      <c r="T37" s="2983">
        <v>21</v>
      </c>
      <c r="U37" s="2990">
        <v>43466</v>
      </c>
      <c r="V37" s="2983">
        <v>22</v>
      </c>
      <c r="W37" s="2986">
        <v>43778</v>
      </c>
      <c r="X37" s="2988">
        <f t="shared" si="0"/>
        <v>10476.190476190477</v>
      </c>
      <c r="Z37" s="2983" t="s">
        <v>3306</v>
      </c>
      <c r="AA37" s="2983" t="s">
        <v>1327</v>
      </c>
      <c r="AB37" s="2983">
        <v>10</v>
      </c>
      <c r="AC37" s="2984">
        <v>43466</v>
      </c>
      <c r="AD37" s="2983">
        <v>500</v>
      </c>
      <c r="AE37" s="2986">
        <v>43808</v>
      </c>
      <c r="AF37" s="2988">
        <f t="shared" si="1"/>
        <v>1.6666666666666667</v>
      </c>
    </row>
    <row r="38" spans="1:32" ht="14.25" thickBot="1">
      <c r="R38" s="2983" t="s">
        <v>3284</v>
      </c>
      <c r="S38" s="2983" t="s">
        <v>1327</v>
      </c>
      <c r="T38" s="2983">
        <v>40</v>
      </c>
      <c r="U38" s="2990" t="s">
        <v>1327</v>
      </c>
      <c r="V38" s="2983">
        <v>30</v>
      </c>
      <c r="W38" s="2986">
        <v>43775</v>
      </c>
      <c r="X38" s="2988">
        <f t="shared" si="0"/>
        <v>7500</v>
      </c>
      <c r="Z38" s="2983" t="s">
        <v>3306</v>
      </c>
      <c r="AA38" s="2983" t="s">
        <v>1327</v>
      </c>
      <c r="AB38" s="2983">
        <v>10</v>
      </c>
      <c r="AC38" s="2983" t="s">
        <v>1327</v>
      </c>
      <c r="AD38" s="2983">
        <v>500</v>
      </c>
      <c r="AE38" s="2986">
        <v>43807</v>
      </c>
      <c r="AF38" s="2988">
        <f t="shared" si="1"/>
        <v>1.6666666666666667</v>
      </c>
    </row>
    <row r="39" spans="1:32" ht="14.25" thickBot="1">
      <c r="Z39" s="2983" t="s">
        <v>3278</v>
      </c>
      <c r="AA39" s="2983" t="s">
        <v>1327</v>
      </c>
      <c r="AB39" s="2983">
        <v>60</v>
      </c>
      <c r="AC39" s="2984">
        <v>43467</v>
      </c>
      <c r="AD39" s="2985">
        <v>3000</v>
      </c>
      <c r="AE39" s="2986">
        <v>43806</v>
      </c>
      <c r="AF39" s="2988">
        <f t="shared" si="1"/>
        <v>1.6666666666666667</v>
      </c>
    </row>
    <row r="40" spans="1:32" ht="14.25" thickBot="1">
      <c r="Z40" s="2983" t="s">
        <v>3307</v>
      </c>
      <c r="AA40" s="2983">
        <v>1</v>
      </c>
      <c r="AB40" s="2983">
        <v>60</v>
      </c>
      <c r="AC40" s="2984">
        <v>43467</v>
      </c>
      <c r="AD40" s="2985">
        <v>3000</v>
      </c>
      <c r="AE40" s="2986">
        <v>43805</v>
      </c>
      <c r="AF40" s="2988">
        <f t="shared" si="1"/>
        <v>1.6666666666666667</v>
      </c>
    </row>
    <row r="41" spans="1:32" ht="14.25" thickBot="1">
      <c r="Z41" s="2983" t="s">
        <v>3306</v>
      </c>
      <c r="AA41" s="2983" t="s">
        <v>1327</v>
      </c>
      <c r="AB41" s="2983">
        <v>54</v>
      </c>
      <c r="AC41" s="2984">
        <v>43474</v>
      </c>
      <c r="AD41" s="2985">
        <v>3000</v>
      </c>
      <c r="AE41" s="2986">
        <v>43805</v>
      </c>
      <c r="AF41" s="2988">
        <f t="shared" si="1"/>
        <v>1.8518518518518519</v>
      </c>
    </row>
    <row r="42" spans="1:32" ht="14.25" thickBot="1">
      <c r="Z42" s="2983" t="s">
        <v>3306</v>
      </c>
      <c r="AA42" s="2983" t="s">
        <v>1327</v>
      </c>
      <c r="AB42" s="2983">
        <v>42</v>
      </c>
      <c r="AC42" s="2984">
        <v>43467</v>
      </c>
      <c r="AD42" s="2985">
        <v>3000</v>
      </c>
      <c r="AE42" s="2986">
        <v>43804</v>
      </c>
      <c r="AF42" s="2988">
        <f t="shared" si="1"/>
        <v>2.3809523809523809</v>
      </c>
    </row>
    <row r="43" spans="1:32" ht="14.25" thickBot="1">
      <c r="Z43" s="2983" t="s">
        <v>3306</v>
      </c>
      <c r="AA43" s="2983" t="s">
        <v>1327</v>
      </c>
      <c r="AB43" s="2983">
        <v>32</v>
      </c>
      <c r="AC43" s="2984">
        <v>43467</v>
      </c>
      <c r="AD43" s="2985">
        <v>2900</v>
      </c>
      <c r="AE43" s="2986">
        <v>43803</v>
      </c>
      <c r="AF43" s="2988">
        <f t="shared" si="1"/>
        <v>3.0208333333333335</v>
      </c>
    </row>
    <row r="44" spans="1:32" ht="14.25" thickBot="1">
      <c r="Z44" s="2983" t="s">
        <v>3308</v>
      </c>
      <c r="AA44" s="2983" t="s">
        <v>1327</v>
      </c>
      <c r="AB44" s="2983">
        <v>116</v>
      </c>
      <c r="AC44" s="2984">
        <v>43471</v>
      </c>
      <c r="AD44" s="2985">
        <v>1800</v>
      </c>
      <c r="AE44" s="2986">
        <v>43803</v>
      </c>
      <c r="AF44" s="2988">
        <f t="shared" si="1"/>
        <v>0.51724137931034486</v>
      </c>
    </row>
    <row r="45" spans="1:32" ht="14.25" thickBot="1">
      <c r="Z45" s="2983" t="s">
        <v>1327</v>
      </c>
      <c r="AA45" s="2983" t="s">
        <v>1327</v>
      </c>
      <c r="AB45" s="2983">
        <v>15</v>
      </c>
      <c r="AC45" s="2984">
        <v>43466</v>
      </c>
      <c r="AD45" s="2985">
        <v>2600</v>
      </c>
      <c r="AE45" s="2986">
        <v>43801</v>
      </c>
      <c r="AF45" s="2988"/>
    </row>
    <row r="46" spans="1:32" ht="14.25" thickBot="1">
      <c r="Z46" s="2983" t="s">
        <v>3309</v>
      </c>
      <c r="AA46" s="2983" t="s">
        <v>1327</v>
      </c>
      <c r="AB46" s="2983">
        <v>400</v>
      </c>
      <c r="AC46" s="2984">
        <v>43498</v>
      </c>
      <c r="AD46" s="2985">
        <v>15000</v>
      </c>
      <c r="AE46" s="2986">
        <v>43801</v>
      </c>
      <c r="AF46" s="2988">
        <f t="shared" si="1"/>
        <v>1.25</v>
      </c>
    </row>
    <row r="47" spans="1:32" ht="14.25" thickBot="1">
      <c r="Z47" s="2983" t="s">
        <v>3310</v>
      </c>
      <c r="AA47" s="2983" t="s">
        <v>1327</v>
      </c>
      <c r="AB47" s="2983">
        <v>55</v>
      </c>
      <c r="AC47" s="2984">
        <v>43476</v>
      </c>
      <c r="AD47" s="2985">
        <v>1800</v>
      </c>
      <c r="AE47" s="2986">
        <v>43800</v>
      </c>
      <c r="AF47" s="2988">
        <f t="shared" si="1"/>
        <v>1.0909090909090908</v>
      </c>
    </row>
    <row r="48" spans="1:32" ht="14.25" thickBot="1">
      <c r="Z48" s="2983" t="s">
        <v>3310</v>
      </c>
      <c r="AA48" s="2983" t="s">
        <v>1327</v>
      </c>
      <c r="AB48" s="2983">
        <v>53</v>
      </c>
      <c r="AC48" s="2984">
        <v>43475</v>
      </c>
      <c r="AD48" s="2985">
        <v>1800</v>
      </c>
      <c r="AE48" s="2986">
        <v>43800</v>
      </c>
      <c r="AF48" s="2988">
        <f t="shared" si="1"/>
        <v>1.1320754716981132</v>
      </c>
    </row>
    <row r="49" spans="26:32" ht="14.25" thickBot="1">
      <c r="Z49" s="2983" t="s">
        <v>3310</v>
      </c>
      <c r="AA49" s="2983" t="s">
        <v>1327</v>
      </c>
      <c r="AB49" s="2983">
        <v>350</v>
      </c>
      <c r="AC49" s="2984">
        <v>43498</v>
      </c>
      <c r="AD49" s="2985">
        <v>8000</v>
      </c>
      <c r="AE49" s="2986">
        <v>43800</v>
      </c>
      <c r="AF49" s="2988">
        <f t="shared" si="1"/>
        <v>0.76190476190476197</v>
      </c>
    </row>
    <row r="50" spans="26:32" ht="14.25" thickBot="1">
      <c r="Z50" s="2983" t="s">
        <v>3306</v>
      </c>
      <c r="AA50" s="2983" t="s">
        <v>1327</v>
      </c>
      <c r="AB50" s="2983">
        <v>16</v>
      </c>
      <c r="AC50" s="2984">
        <v>43470</v>
      </c>
      <c r="AD50" s="2985">
        <v>1500</v>
      </c>
      <c r="AE50" s="2986">
        <v>43799</v>
      </c>
      <c r="AF50" s="2988">
        <f t="shared" si="1"/>
        <v>3.125</v>
      </c>
    </row>
    <row r="51" spans="26:32" ht="26.25" thickBot="1">
      <c r="Z51" s="2983" t="s">
        <v>3311</v>
      </c>
      <c r="AA51" s="2983" t="s">
        <v>1327</v>
      </c>
      <c r="AB51" s="2983">
        <v>60</v>
      </c>
      <c r="AC51" s="2983" t="s">
        <v>3312</v>
      </c>
      <c r="AD51" s="2985">
        <v>3000</v>
      </c>
      <c r="AE51" s="2986">
        <v>43799</v>
      </c>
      <c r="AF51" s="2988">
        <f t="shared" si="1"/>
        <v>1.6666666666666667</v>
      </c>
    </row>
    <row r="52" spans="26:32" ht="14.25" thickBot="1">
      <c r="Z52" s="2983" t="s">
        <v>3313</v>
      </c>
      <c r="AA52" s="2983" t="s">
        <v>1327</v>
      </c>
      <c r="AB52" s="2983">
        <v>31</v>
      </c>
      <c r="AC52" s="2984">
        <v>43466</v>
      </c>
      <c r="AD52" s="2985">
        <v>1500</v>
      </c>
      <c r="AE52" s="2986">
        <v>43798</v>
      </c>
      <c r="AF52" s="2988">
        <f t="shared" si="1"/>
        <v>1.6129032258064515</v>
      </c>
    </row>
    <row r="53" spans="26:32" ht="14.25" thickBot="1">
      <c r="Z53" s="2987" t="s">
        <v>3320</v>
      </c>
      <c r="AF53" s="2988"/>
    </row>
    <row r="54" spans="26:32">
      <c r="Z54" s="2982" t="s">
        <v>3249</v>
      </c>
      <c r="AA54" s="2982" t="s">
        <v>3250</v>
      </c>
      <c r="AB54" s="2982" t="s">
        <v>3251</v>
      </c>
      <c r="AC54" s="2982" t="s">
        <v>3252</v>
      </c>
      <c r="AD54" s="2982" t="s">
        <v>3253</v>
      </c>
      <c r="AE54" s="2982" t="s">
        <v>3254</v>
      </c>
      <c r="AF54" s="2988"/>
    </row>
    <row r="55" spans="26:32" ht="14.25" thickBot="1">
      <c r="Z55" s="2983" t="s">
        <v>1327</v>
      </c>
      <c r="AA55" s="2983" t="s">
        <v>1327</v>
      </c>
      <c r="AB55" s="2983">
        <v>70</v>
      </c>
      <c r="AC55" s="2984">
        <v>43498</v>
      </c>
      <c r="AD55" s="2985">
        <v>1600</v>
      </c>
      <c r="AE55" s="2986">
        <v>43808</v>
      </c>
      <c r="AF55" s="2988"/>
    </row>
    <row r="56" spans="26:32" ht="14.25" thickBot="1">
      <c r="Z56" s="2983" t="s">
        <v>3315</v>
      </c>
      <c r="AA56" s="2983" t="s">
        <v>1327</v>
      </c>
      <c r="AB56" s="2983">
        <v>800</v>
      </c>
      <c r="AC56" s="2984">
        <v>43498</v>
      </c>
      <c r="AD56" s="2985">
        <v>37000</v>
      </c>
      <c r="AE56" s="2986">
        <v>43808</v>
      </c>
      <c r="AF56" s="2988">
        <f t="shared" si="1"/>
        <v>1.5416666666666665</v>
      </c>
    </row>
    <row r="57" spans="26:32" ht="14.25" thickBot="1">
      <c r="Z57" s="2983" t="s">
        <v>1327</v>
      </c>
      <c r="AA57" s="2983" t="s">
        <v>1327</v>
      </c>
      <c r="AB57" s="2983">
        <v>400</v>
      </c>
      <c r="AC57" s="2984">
        <v>43466</v>
      </c>
      <c r="AD57" s="2985">
        <v>16800</v>
      </c>
      <c r="AE57" s="2986">
        <v>43807</v>
      </c>
      <c r="AF57" s="2988"/>
    </row>
    <row r="58" spans="26:32" ht="14.25" thickBot="1">
      <c r="Z58" s="2983" t="s">
        <v>3315</v>
      </c>
      <c r="AA58" s="2983">
        <v>2</v>
      </c>
      <c r="AB58" s="2983">
        <v>90</v>
      </c>
      <c r="AC58" s="2984">
        <v>43550</v>
      </c>
      <c r="AD58" s="2985">
        <v>4500</v>
      </c>
      <c r="AE58" s="2986">
        <v>43805</v>
      </c>
      <c r="AF58" s="2988">
        <f t="shared" si="1"/>
        <v>1.6666666666666667</v>
      </c>
    </row>
    <row r="59" spans="26:32" ht="14.25" thickBot="1">
      <c r="Z59" s="2983" t="s">
        <v>3315</v>
      </c>
      <c r="AA59" s="2983" t="s">
        <v>1327</v>
      </c>
      <c r="AB59" s="2983">
        <v>200</v>
      </c>
      <c r="AC59" s="2984">
        <v>43468</v>
      </c>
      <c r="AD59" s="2985">
        <v>5500</v>
      </c>
      <c r="AE59" s="2986">
        <v>43804</v>
      </c>
      <c r="AF59" s="2988">
        <f t="shared" si="1"/>
        <v>0.91666666666666674</v>
      </c>
    </row>
    <row r="60" spans="26:32" ht="14.25" thickBot="1">
      <c r="Z60" s="2983" t="s">
        <v>3316</v>
      </c>
      <c r="AA60" s="2983" t="s">
        <v>1327</v>
      </c>
      <c r="AB60" s="2983">
        <v>38</v>
      </c>
      <c r="AC60" s="2984">
        <v>43466</v>
      </c>
      <c r="AD60" s="2985">
        <v>1500</v>
      </c>
      <c r="AE60" s="2986">
        <v>43804</v>
      </c>
      <c r="AF60" s="2988">
        <f t="shared" si="1"/>
        <v>1.3157894736842106</v>
      </c>
    </row>
    <row r="61" spans="26:32" ht="26.25" thickBot="1">
      <c r="Z61" s="2983" t="s">
        <v>3317</v>
      </c>
      <c r="AA61" s="2983" t="s">
        <v>1327</v>
      </c>
      <c r="AB61" s="2983">
        <v>30</v>
      </c>
      <c r="AC61" s="2984">
        <v>43466</v>
      </c>
      <c r="AD61" s="2985">
        <v>1200</v>
      </c>
      <c r="AE61" s="2986">
        <v>43803</v>
      </c>
      <c r="AF61" s="2988">
        <f t="shared" si="1"/>
        <v>1.3333333333333333</v>
      </c>
    </row>
    <row r="62" spans="26:32" ht="14.25" thickBot="1">
      <c r="Z62" s="2983" t="s">
        <v>1327</v>
      </c>
      <c r="AA62" s="2983" t="s">
        <v>1327</v>
      </c>
      <c r="AB62" s="2983">
        <v>240</v>
      </c>
      <c r="AC62" s="2984">
        <v>43468</v>
      </c>
      <c r="AD62" s="2985">
        <v>21000</v>
      </c>
      <c r="AE62" s="2986">
        <v>43800</v>
      </c>
      <c r="AF62" s="2988"/>
    </row>
    <row r="63" spans="26:32" ht="26.25" thickBot="1">
      <c r="Z63" s="2983" t="s">
        <v>3317</v>
      </c>
      <c r="AA63" s="2983" t="s">
        <v>1327</v>
      </c>
      <c r="AB63" s="2983">
        <v>70</v>
      </c>
      <c r="AC63" s="2984">
        <v>43466</v>
      </c>
      <c r="AD63" s="2985">
        <v>1000</v>
      </c>
      <c r="AE63" s="2986">
        <v>43800</v>
      </c>
      <c r="AF63" s="2988">
        <f t="shared" si="1"/>
        <v>0.47619047619047622</v>
      </c>
    </row>
    <row r="64" spans="26:32" ht="14.25" thickBot="1">
      <c r="Z64" s="2983" t="s">
        <v>1327</v>
      </c>
      <c r="AA64" s="2983" t="s">
        <v>1327</v>
      </c>
      <c r="AB64" s="2983">
        <v>28</v>
      </c>
      <c r="AC64" s="2984">
        <v>43466</v>
      </c>
      <c r="AD64" s="2983">
        <v>700</v>
      </c>
      <c r="AE64" s="2986">
        <v>43800</v>
      </c>
      <c r="AF64" s="2988"/>
    </row>
    <row r="65" spans="26:32" ht="14.25" thickBot="1">
      <c r="Z65" s="2983" t="s">
        <v>3318</v>
      </c>
      <c r="AA65" s="2983" t="s">
        <v>1327</v>
      </c>
      <c r="AB65" s="2983">
        <v>60</v>
      </c>
      <c r="AC65" s="2984">
        <v>43467</v>
      </c>
      <c r="AD65" s="2985">
        <v>1600</v>
      </c>
      <c r="AE65" s="2986">
        <v>43797</v>
      </c>
      <c r="AF65" s="2988">
        <f t="shared" si="1"/>
        <v>0.88888888888888895</v>
      </c>
    </row>
    <row r="66" spans="26:32" ht="14.25" thickBot="1">
      <c r="Z66" s="2983" t="s">
        <v>3318</v>
      </c>
      <c r="AA66" s="2983" t="s">
        <v>1327</v>
      </c>
      <c r="AB66" s="2983">
        <v>190</v>
      </c>
      <c r="AC66" s="2984">
        <v>43466</v>
      </c>
      <c r="AD66" s="2985">
        <v>4700</v>
      </c>
      <c r="AE66" s="2986">
        <v>43797</v>
      </c>
      <c r="AF66" s="2988">
        <f t="shared" si="1"/>
        <v>0.82456140350877183</v>
      </c>
    </row>
    <row r="67" spans="26:32" ht="14.25" thickBot="1">
      <c r="Z67" s="2983" t="s">
        <v>3319</v>
      </c>
      <c r="AA67" s="2983">
        <v>1</v>
      </c>
      <c r="AB67" s="2983">
        <v>30</v>
      </c>
      <c r="AC67" s="2984">
        <v>43481</v>
      </c>
      <c r="AD67" s="2983">
        <v>500</v>
      </c>
      <c r="AE67" s="2986">
        <v>43796</v>
      </c>
      <c r="AF67" s="2988">
        <f t="shared" si="1"/>
        <v>0.55555555555555558</v>
      </c>
    </row>
    <row r="68" spans="26:32" ht="14.25" thickBot="1">
      <c r="Z68" s="2983" t="s">
        <v>3282</v>
      </c>
      <c r="AA68" s="2983" t="s">
        <v>1327</v>
      </c>
      <c r="AB68" s="2983">
        <v>32</v>
      </c>
      <c r="AC68" s="2984">
        <v>43471</v>
      </c>
      <c r="AD68" s="2985">
        <v>1200</v>
      </c>
      <c r="AE68" s="2986">
        <v>43794</v>
      </c>
      <c r="AF68" s="2988">
        <f t="shared" si="1"/>
        <v>1.25</v>
      </c>
    </row>
    <row r="69" spans="26:32" ht="14.25" thickBot="1">
      <c r="Z69" s="2983" t="s">
        <v>3281</v>
      </c>
      <c r="AA69" s="2983" t="s">
        <v>1327</v>
      </c>
      <c r="AB69" s="2983">
        <v>39</v>
      </c>
      <c r="AC69" s="2984">
        <v>43466</v>
      </c>
      <c r="AD69" s="2985">
        <v>1800</v>
      </c>
      <c r="AE69" s="2986">
        <v>43794</v>
      </c>
      <c r="AF69" s="2988">
        <f t="shared" ref="AF69:AF74" si="4">AD69/30/AB69</f>
        <v>1.5384615384615385</v>
      </c>
    </row>
    <row r="70" spans="26:32" ht="14.25" thickBot="1">
      <c r="Z70" s="2983" t="s">
        <v>3316</v>
      </c>
      <c r="AA70" s="2983" t="s">
        <v>1327</v>
      </c>
      <c r="AB70" s="2983">
        <v>35</v>
      </c>
      <c r="AC70" s="2984">
        <v>43466</v>
      </c>
      <c r="AD70" s="2985">
        <v>1500</v>
      </c>
      <c r="AE70" s="2986">
        <v>43792</v>
      </c>
      <c r="AF70" s="2988">
        <f t="shared" si="4"/>
        <v>1.4285714285714286</v>
      </c>
    </row>
    <row r="71" spans="26:32" ht="14.25" thickBot="1">
      <c r="Z71" s="2983" t="s">
        <v>3284</v>
      </c>
      <c r="AA71" s="2983">
        <v>3</v>
      </c>
      <c r="AB71" s="2983">
        <v>108</v>
      </c>
      <c r="AC71" s="2984">
        <v>43472</v>
      </c>
      <c r="AD71" s="2985">
        <v>2000</v>
      </c>
      <c r="AE71" s="2986">
        <v>43792</v>
      </c>
      <c r="AF71" s="2988">
        <f t="shared" si="4"/>
        <v>0.61728395061728403</v>
      </c>
    </row>
    <row r="72" spans="26:32" ht="14.25" thickBot="1">
      <c r="Z72" s="2983" t="s">
        <v>1327</v>
      </c>
      <c r="AA72" s="2983" t="s">
        <v>1327</v>
      </c>
      <c r="AB72" s="2983">
        <v>100</v>
      </c>
      <c r="AC72" s="2984">
        <v>43471</v>
      </c>
      <c r="AD72" s="2985">
        <v>3200</v>
      </c>
      <c r="AE72" s="2986">
        <v>43791</v>
      </c>
      <c r="AF72" s="2988"/>
    </row>
    <row r="73" spans="26:32" ht="14.25" thickBot="1">
      <c r="Z73" s="2983" t="s">
        <v>3319</v>
      </c>
      <c r="AA73" s="2983" t="s">
        <v>1327</v>
      </c>
      <c r="AB73" s="2983">
        <v>120</v>
      </c>
      <c r="AC73" s="2984">
        <v>43472</v>
      </c>
      <c r="AD73" s="2985">
        <v>2800</v>
      </c>
      <c r="AE73" s="2986">
        <v>43791</v>
      </c>
      <c r="AF73" s="2988">
        <f t="shared" si="4"/>
        <v>0.77777777777777779</v>
      </c>
    </row>
    <row r="74" spans="26:32" ht="26.25" thickBot="1">
      <c r="Z74" s="2983" t="s">
        <v>3317</v>
      </c>
      <c r="AA74" s="2983" t="s">
        <v>1327</v>
      </c>
      <c r="AB74" s="2983">
        <v>88</v>
      </c>
      <c r="AC74" s="2984">
        <v>43498</v>
      </c>
      <c r="AD74" s="2985">
        <v>2000</v>
      </c>
      <c r="AE74" s="2986">
        <v>43790</v>
      </c>
      <c r="AF74" s="2988">
        <f t="shared" si="4"/>
        <v>0.75757575757575768</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49" t="s">
        <v>1656</v>
      </c>
      <c r="B1" s="3049"/>
      <c r="C1" s="3049"/>
      <c r="D1" s="3049"/>
    </row>
    <row r="2" spans="1:4" ht="18">
      <c r="A2" s="3050" t="s">
        <v>1640</v>
      </c>
      <c r="B2" s="3050"/>
      <c r="C2" s="3050"/>
      <c r="D2" s="3050"/>
    </row>
    <row r="3" spans="1:4" ht="18.75">
      <c r="A3" s="1973" t="s">
        <v>1641</v>
      </c>
      <c r="B3" s="1973" t="s">
        <v>1642</v>
      </c>
      <c r="C3" s="1973" t="s">
        <v>1643</v>
      </c>
      <c r="D3" s="1973" t="s">
        <v>1644</v>
      </c>
    </row>
    <row r="4" spans="1:4" ht="56.25" customHeight="1">
      <c r="A4" s="1974" t="str">
        <f>项目基本情况!B4</f>
        <v>王鹏</v>
      </c>
      <c r="B4" s="1975">
        <f ca="1">项目基本情况!C4</f>
        <v>1120050019</v>
      </c>
      <c r="C4" s="1976"/>
      <c r="D4" s="1977" t="s">
        <v>1645</v>
      </c>
    </row>
    <row r="5" spans="1:4" ht="56.25" customHeight="1">
      <c r="A5" s="1974" t="str">
        <f>项目基本情况!D4</f>
        <v>郑燚</v>
      </c>
      <c r="B5" s="1975">
        <f ca="1">项目基本情况!E4</f>
        <v>0</v>
      </c>
      <c r="C5" s="1978"/>
      <c r="D5" s="1977" t="s">
        <v>1645</v>
      </c>
    </row>
    <row r="6" spans="1:4" ht="18">
      <c r="A6" s="3050" t="s">
        <v>1646</v>
      </c>
      <c r="B6" s="3050"/>
      <c r="C6" s="3050"/>
      <c r="D6" s="3050"/>
    </row>
    <row r="7" spans="1:4" ht="18.75">
      <c r="A7" s="1973" t="s">
        <v>1641</v>
      </c>
      <c r="B7" s="1975" t="s">
        <v>1647</v>
      </c>
      <c r="C7" s="1973" t="s">
        <v>1643</v>
      </c>
      <c r="D7" s="1973" t="s">
        <v>1644</v>
      </c>
    </row>
    <row r="8" spans="1:4" ht="56.25" customHeight="1">
      <c r="A8" s="1979" t="s">
        <v>866</v>
      </c>
      <c r="B8" s="1979" t="s">
        <v>1</v>
      </c>
      <c r="C8" s="1976"/>
      <c r="D8" s="1977" t="s">
        <v>1645</v>
      </c>
    </row>
    <row r="9" spans="1:4">
      <c r="A9" s="727"/>
      <c r="B9" s="727"/>
      <c r="C9" s="727"/>
      <c r="D9" s="727"/>
    </row>
    <row r="10" spans="1:4" ht="18.75">
      <c r="A10" s="1980" t="s">
        <v>1648</v>
      </c>
      <c r="B10" s="727"/>
      <c r="C10" s="727"/>
      <c r="D10" s="727"/>
    </row>
    <row r="11" spans="1:4" ht="30" customHeight="1">
      <c r="A11" s="3051" t="s">
        <v>1649</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8"/>
      <c r="C12" s="3048"/>
      <c r="D12" s="3048"/>
    </row>
    <row r="13" spans="1:4" ht="30" customHeight="1">
      <c r="A13" s="3043" t="str">
        <f>IF(项目基本情况!B8="抵押","3.抵押双方在办理抵押登记手续时，应使用本公司出具的正式《房地产评估报告》，特提醒报告使用者注意。","——")</f>
        <v>——</v>
      </c>
      <c r="B13" s="3048"/>
      <c r="C13" s="3048"/>
      <c r="D13" s="3048"/>
    </row>
    <row r="14" spans="1:4" ht="15.75" customHeight="1">
      <c r="A14" s="3043" t="str">
        <f>IF(项目基本情况!B8="抵押","4.本次评估估价师所知悉的法定优先受偿款情况说明如下：","——")</f>
        <v>——</v>
      </c>
      <c r="B14" s="3048"/>
      <c r="C14" s="3048"/>
      <c r="D14" s="3048"/>
    </row>
    <row r="15" spans="1:4" ht="42" customHeight="1">
      <c r="A15" s="3043" t="str">
        <f>IF(项目基本情况!B8="抵押","（1）"&amp;CONCATENATE(项目基本情况!L20,项目基本情况!L21,项目基本情况!L22),"——")</f>
        <v>——</v>
      </c>
      <c r="B15" s="3043"/>
      <c r="C15" s="3043"/>
      <c r="D15" s="3043"/>
    </row>
    <row r="16" spans="1:4" ht="30" customHeight="1">
      <c r="A16" s="3045" t="s">
        <v>1650</v>
      </c>
      <c r="B16" s="3045"/>
      <c r="C16" s="3045"/>
      <c r="D16" s="3045"/>
    </row>
    <row r="17" spans="1:4" ht="144" customHeight="1">
      <c r="A17" s="3045" t="s">
        <v>1651</v>
      </c>
      <c r="B17" s="3045"/>
      <c r="C17" s="3045"/>
      <c r="D17" s="3045"/>
    </row>
    <row r="18" spans="1:4" ht="15.75" customHeight="1">
      <c r="A18" s="3043" t="str">
        <f>IF(项目基本情况!B8="抵押",结果表!K120,"——")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6"/>
      <c r="C21" s="3046"/>
      <c r="D21" s="3046"/>
    </row>
    <row r="22" spans="1:4" ht="18.75" customHeight="1">
      <c r="A22" s="3047" t="s">
        <v>1652</v>
      </c>
      <c r="B22" s="3047"/>
      <c r="C22" s="3047"/>
      <c r="D22" s="3047"/>
    </row>
    <row r="23" spans="1:4">
      <c r="A23" s="1981"/>
      <c r="B23" s="1953"/>
      <c r="C23" s="1953"/>
      <c r="D23" s="1953"/>
    </row>
    <row r="24" spans="1:4">
      <c r="A24" s="1981"/>
      <c r="B24" s="1953"/>
      <c r="C24" s="1953"/>
      <c r="D24" s="1953"/>
    </row>
    <row r="25" spans="1:4" ht="18.75">
      <c r="A25" s="1982" t="s">
        <v>1653</v>
      </c>
    </row>
    <row r="26" spans="1:4" ht="18">
      <c r="A26" s="1951"/>
    </row>
    <row r="27" spans="1:4" ht="18.75">
      <c r="A27" s="1951" t="s">
        <v>1654</v>
      </c>
    </row>
    <row r="30" spans="1:4" ht="18.75">
      <c r="D30" s="1982" t="s">
        <v>1655</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3.5">
      <c r="A15" s="3057" t="s">
        <v>1663</v>
      </c>
      <c r="B15" s="3052" t="s">
        <v>136</v>
      </c>
      <c r="C15" s="3053"/>
    </row>
    <row r="16" spans="1:7" ht="13.5">
      <c r="A16" s="3058"/>
      <c r="B16" s="3052" t="s">
        <v>69</v>
      </c>
      <c r="C16" s="3053"/>
    </row>
    <row r="17" spans="1:3" ht="13.5">
      <c r="A17" s="3058"/>
      <c r="B17" s="3055" t="s">
        <v>1664</v>
      </c>
      <c r="C17" s="1996" t="s">
        <v>1663</v>
      </c>
    </row>
    <row r="18" spans="1:3" ht="13.5">
      <c r="A18" s="3058"/>
      <c r="B18" s="3055"/>
      <c r="C18" s="1996" t="s">
        <v>1665</v>
      </c>
    </row>
    <row r="19" spans="1:3" ht="13.5">
      <c r="A19" s="3058"/>
      <c r="B19" s="3055"/>
      <c r="C19" s="1996" t="s">
        <v>1666</v>
      </c>
    </row>
    <row r="20" spans="1:3" ht="13.5">
      <c r="A20" s="3059"/>
      <c r="B20" s="3054" t="s">
        <v>1667</v>
      </c>
      <c r="C20" s="3053"/>
    </row>
    <row r="21" spans="1:3" ht="13.5">
      <c r="A21" s="1997" t="s">
        <v>1668</v>
      </c>
      <c r="B21" s="1998"/>
      <c r="C21" s="1999"/>
    </row>
    <row r="22" spans="1:3" ht="13.5">
      <c r="A22" s="3056" t="s">
        <v>1669</v>
      </c>
      <c r="B22" s="3054" t="s">
        <v>1670</v>
      </c>
      <c r="C22" s="3053"/>
    </row>
    <row r="23" spans="1:3" ht="13.5">
      <c r="A23" s="3056"/>
      <c r="B23" s="3054" t="s">
        <v>1671</v>
      </c>
      <c r="C23" s="3053"/>
    </row>
    <row r="24" spans="1:3" ht="13.5">
      <c r="A24" s="3056"/>
      <c r="B24" s="3054" t="s">
        <v>1672</v>
      </c>
      <c r="C24" s="3053"/>
    </row>
    <row r="25" spans="1:3" ht="13.5">
      <c r="A25" s="3056"/>
      <c r="B25" s="3055" t="s">
        <v>1673</v>
      </c>
      <c r="C25" s="1996" t="s">
        <v>1674</v>
      </c>
    </row>
    <row r="26" spans="1:3" ht="13.5">
      <c r="A26" s="3056"/>
      <c r="B26" s="3055"/>
      <c r="C26" s="1996" t="s">
        <v>1675</v>
      </c>
    </row>
    <row r="27" spans="1:3" ht="13.5">
      <c r="A27" s="3056"/>
      <c r="B27" s="3055"/>
      <c r="C27" s="1996" t="s">
        <v>1676</v>
      </c>
    </row>
    <row r="28" spans="1:3" ht="13.5">
      <c r="A28" s="3056"/>
      <c r="B28" s="3055"/>
      <c r="C28" s="1996" t="s">
        <v>1677</v>
      </c>
    </row>
    <row r="29" spans="1:3" ht="13.5">
      <c r="A29" s="3056"/>
      <c r="B29" s="3055"/>
      <c r="C29" s="1996" t="s">
        <v>1678</v>
      </c>
    </row>
    <row r="30" spans="1:3" ht="13.5">
      <c r="A30" s="3056"/>
      <c r="B30" s="3055"/>
      <c r="C30" s="1996" t="s">
        <v>1679</v>
      </c>
    </row>
    <row r="31" spans="1:3" ht="13.5">
      <c r="A31" s="3056"/>
      <c r="B31" s="3055"/>
      <c r="C31" s="1996" t="s">
        <v>1680</v>
      </c>
    </row>
    <row r="32" spans="1:3" ht="13.5">
      <c r="A32" s="3056"/>
      <c r="B32" s="3055"/>
      <c r="C32" s="1996" t="s">
        <v>1681</v>
      </c>
    </row>
    <row r="33" spans="1:3" ht="13.5">
      <c r="A33" s="3056"/>
      <c r="B33" s="3055"/>
      <c r="C33" s="1996" t="s">
        <v>1682</v>
      </c>
    </row>
    <row r="34" spans="1:3">
      <c r="A34" s="2000" t="s">
        <v>76</v>
      </c>
    </row>
    <row r="37" spans="1:3">
      <c r="A37" s="2000" t="s">
        <v>1683</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43815</v>
      </c>
      <c r="C2" s="1018" t="s">
        <v>826</v>
      </c>
      <c r="D2" s="1018"/>
    </row>
    <row r="3" spans="1:6" ht="24" customHeight="1">
      <c r="A3" s="1019" t="s">
        <v>827</v>
      </c>
      <c r="B3" s="1020" t="s">
        <v>828</v>
      </c>
      <c r="C3" s="2338" t="s">
        <v>829</v>
      </c>
      <c r="D3" s="2341" t="s">
        <v>830</v>
      </c>
      <c r="E3" s="1021" t="s">
        <v>831</v>
      </c>
      <c r="F3" s="1020" t="s">
        <v>829</v>
      </c>
    </row>
    <row r="4" spans="1:6" ht="24" customHeight="1">
      <c r="A4" s="1700" t="s">
        <v>832</v>
      </c>
      <c r="B4" s="1021">
        <f ca="1">IF(C4&lt;B2,"已过期",1119970066)</f>
        <v>1119970066</v>
      </c>
      <c r="C4" s="2339">
        <v>43849</v>
      </c>
      <c r="D4" s="2342" t="s">
        <v>832</v>
      </c>
      <c r="E4" s="1021">
        <f ca="1">IF(F4&lt;B2,"已过期",96010014)</f>
        <v>96010014</v>
      </c>
      <c r="F4" s="1029">
        <v>47118</v>
      </c>
    </row>
    <row r="5" spans="1:6" ht="24" customHeight="1">
      <c r="A5" s="1700" t="s">
        <v>833</v>
      </c>
      <c r="B5" s="1021">
        <f ca="1">IF(C5&lt;B2,"已过期",1119970074)</f>
        <v>1119970074</v>
      </c>
      <c r="C5" s="2339">
        <v>43849</v>
      </c>
      <c r="D5" s="2342" t="s">
        <v>833</v>
      </c>
      <c r="E5" s="1021">
        <f ca="1">IF(F5&lt;B2,"已过期",2002110027)</f>
        <v>2002110027</v>
      </c>
      <c r="F5" s="1029">
        <v>46752</v>
      </c>
    </row>
    <row r="6" spans="1:6" ht="24" customHeight="1">
      <c r="A6" s="1700" t="s">
        <v>834</v>
      </c>
      <c r="B6" s="1021">
        <f ca="1">IF(C6&lt;B2,"已过期",1119970111)</f>
        <v>1119970111</v>
      </c>
      <c r="C6" s="2339">
        <v>43849</v>
      </c>
      <c r="D6" s="2342" t="s">
        <v>834</v>
      </c>
      <c r="E6" s="1021">
        <f ca="1">IF(F6&lt;B2,"已过期",94010078)</f>
        <v>94010078</v>
      </c>
      <c r="F6" s="1029">
        <v>46387</v>
      </c>
    </row>
    <row r="7" spans="1:6" ht="24" customHeight="1">
      <c r="A7" s="1700" t="s">
        <v>835</v>
      </c>
      <c r="B7" s="1021">
        <f ca="1">IF(C7&lt;B2,"已过期",1120050019)</f>
        <v>1120050019</v>
      </c>
      <c r="C7" s="2339">
        <v>44395</v>
      </c>
      <c r="D7" s="2342" t="s">
        <v>835</v>
      </c>
      <c r="E7" s="1021">
        <f ca="1">IF(F7&lt;B2,"已过期",2002110030)</f>
        <v>2002110030</v>
      </c>
      <c r="F7" s="1029">
        <v>46387</v>
      </c>
    </row>
    <row r="8" spans="1:6" ht="24" customHeight="1">
      <c r="A8" s="1700" t="s">
        <v>836</v>
      </c>
      <c r="B8" s="1021">
        <f ca="1">IF(C8&lt;B2,"已过期",1120000080)</f>
        <v>1120000080</v>
      </c>
      <c r="C8" s="2339">
        <v>43849</v>
      </c>
      <c r="D8" s="2342" t="s">
        <v>836</v>
      </c>
      <c r="E8" s="1021">
        <f ca="1">IF(F8&lt;B2,"已过期",2000110082)</f>
        <v>2000110082</v>
      </c>
      <c r="F8" s="1029">
        <v>46387</v>
      </c>
    </row>
    <row r="9" spans="1:6" ht="24" customHeight="1">
      <c r="A9" s="1700" t="s">
        <v>837</v>
      </c>
      <c r="B9" s="1021">
        <f ca="1">IF(C9&lt;B2,"已过期",1419970001)</f>
        <v>1419970001</v>
      </c>
      <c r="C9" s="2339">
        <v>43867</v>
      </c>
      <c r="D9" s="2342" t="s">
        <v>837</v>
      </c>
      <c r="E9" s="1021">
        <f ca="1">IF(F9&lt;B2,"已过期",2002110125)</f>
        <v>2002110125</v>
      </c>
      <c r="F9" s="1029">
        <v>47118</v>
      </c>
    </row>
    <row r="10" spans="1:6" ht="24" customHeight="1">
      <c r="A10" s="1700" t="s">
        <v>838</v>
      </c>
      <c r="B10" s="1021">
        <f ca="1">IF(C10&lt;B2,"已过期",1120060040)</f>
        <v>1120060040</v>
      </c>
      <c r="C10" s="2339">
        <v>44554</v>
      </c>
      <c r="D10" s="2342" t="s">
        <v>838</v>
      </c>
      <c r="E10" s="1021">
        <f ca="1">IF(F10&lt;B2,"已过期",2004110096)</f>
        <v>2004110096</v>
      </c>
      <c r="F10" s="1029">
        <v>47118</v>
      </c>
    </row>
    <row r="11" spans="1:6" ht="24" customHeight="1">
      <c r="A11" s="1700" t="s">
        <v>839</v>
      </c>
      <c r="B11" s="1021">
        <f ca="1">IF(C11&lt;B2,"已过期",1120100036)</f>
        <v>1120100036</v>
      </c>
      <c r="C11" s="2339">
        <v>44675</v>
      </c>
      <c r="D11" s="2342" t="s">
        <v>839</v>
      </c>
      <c r="E11" s="1021">
        <f ca="1">IF(F11&lt;B2,"已过期",2010110070)</f>
        <v>2010110070</v>
      </c>
      <c r="F11" s="1029">
        <v>47907</v>
      </c>
    </row>
    <row r="12" spans="1:6" ht="24" customHeight="1">
      <c r="A12" s="1700"/>
      <c r="B12" s="1021"/>
      <c r="C12" s="2922"/>
      <c r="D12" s="1700"/>
      <c r="E12" s="1021"/>
      <c r="F12" s="1029"/>
    </row>
    <row r="13" spans="1:6" ht="24" customHeight="1">
      <c r="A13" s="1700" t="s">
        <v>840</v>
      </c>
      <c r="B13" s="1021" t="str">
        <f ca="1">IF(C13&lt;B2,"已过期",1120070131)</f>
        <v>已过期</v>
      </c>
      <c r="C13" s="2339">
        <v>43814</v>
      </c>
      <c r="D13" s="2342" t="s">
        <v>840</v>
      </c>
      <c r="E13" s="1021">
        <f ca="1">IF(F13&lt;B2,"已过期",2014110011)</f>
        <v>2014110011</v>
      </c>
      <c r="F13" s="1029">
        <v>49302</v>
      </c>
    </row>
    <row r="14" spans="1:6" ht="24" customHeight="1">
      <c r="A14" s="1700" t="s">
        <v>3035</v>
      </c>
      <c r="B14" s="1021">
        <f ca="1">IF(C14&lt;B2,"已过期",1120040230)</f>
        <v>1120040230</v>
      </c>
      <c r="C14" s="2339">
        <v>43835</v>
      </c>
      <c r="D14" s="2342" t="s">
        <v>3035</v>
      </c>
      <c r="E14" s="1021">
        <f ca="1">IF(F14&lt;B2,"已过期",98030020)</f>
        <v>98030020</v>
      </c>
      <c r="F14" s="1029">
        <v>47118</v>
      </c>
    </row>
    <row r="15" spans="1:6" ht="24" customHeight="1">
      <c r="A15" s="1701" t="s">
        <v>3036</v>
      </c>
      <c r="B15" s="1021" t="str">
        <f ca="1">IF(C15&lt;B2,"已过期",1120070085)</f>
        <v>已过期</v>
      </c>
      <c r="C15" s="2339">
        <v>43814</v>
      </c>
      <c r="D15" s="2343" t="s">
        <v>3036</v>
      </c>
      <c r="E15" s="1021">
        <f ca="1">IF(F15&lt;B2,"已过期",2004110128)</f>
        <v>2004110128</v>
      </c>
      <c r="F15" s="1022">
        <v>47118</v>
      </c>
    </row>
    <row r="16" spans="1:6" ht="24" customHeight="1">
      <c r="A16" s="1700" t="s">
        <v>3037</v>
      </c>
      <c r="B16" s="1021">
        <f ca="1">IF(C16&lt;B2,"已过期",1120140022)</f>
        <v>1120140022</v>
      </c>
      <c r="C16" s="2922">
        <v>44029</v>
      </c>
      <c r="D16" s="2342" t="s">
        <v>3037</v>
      </c>
      <c r="E16" s="1021">
        <f ca="1">IF(F16&lt;B2,"已过期",2008110059)</f>
        <v>2008110059</v>
      </c>
      <c r="F16" s="1029">
        <v>47177</v>
      </c>
    </row>
    <row r="17" spans="1:7" ht="24" customHeight="1">
      <c r="A17" s="1700"/>
      <c r="B17" s="1021"/>
      <c r="C17" s="2339"/>
      <c r="D17" s="2342" t="s">
        <v>3038</v>
      </c>
      <c r="E17" s="1021">
        <f ca="1">IF(F17&lt;B2,"已过期",2014110076)</f>
        <v>2014110076</v>
      </c>
      <c r="F17" s="1029">
        <v>49302</v>
      </c>
    </row>
    <row r="18" spans="1:7" ht="24" customHeight="1">
      <c r="A18" s="1700"/>
      <c r="B18" s="1021"/>
      <c r="C18" s="2339"/>
      <c r="D18" s="2342"/>
      <c r="E18" s="1021"/>
      <c r="F18" s="1029"/>
    </row>
    <row r="19" spans="1:7" ht="24" customHeight="1">
      <c r="A19" s="1700"/>
      <c r="B19" s="1021"/>
      <c r="C19" s="2339"/>
      <c r="D19" s="2342"/>
      <c r="E19" s="1021"/>
      <c r="F19" s="1021"/>
    </row>
    <row r="20" spans="1:7" ht="24" customHeight="1">
      <c r="A20" s="1700"/>
      <c r="B20" s="1021"/>
      <c r="C20" s="2339"/>
      <c r="D20" s="2342"/>
      <c r="E20" s="1021"/>
      <c r="F20" s="1021"/>
    </row>
    <row r="21" spans="1:7" ht="24" customHeight="1">
      <c r="A21" s="1700"/>
      <c r="B21" s="1021"/>
      <c r="C21" s="2339"/>
      <c r="D21" s="2342" t="s">
        <v>841</v>
      </c>
      <c r="E21" s="1021">
        <f ca="1">IF(F21&lt;B2,"已过期",2011110090)</f>
        <v>2011110090</v>
      </c>
      <c r="F21" s="1029">
        <v>48302</v>
      </c>
    </row>
    <row r="22" spans="1:7" ht="24" customHeight="1">
      <c r="A22" s="1700" t="s">
        <v>842</v>
      </c>
      <c r="B22" s="1021">
        <f ca="1">IF(C22&lt;B2,"已过期",1120020033)</f>
        <v>1120020033</v>
      </c>
      <c r="C22" s="2922">
        <v>44339</v>
      </c>
      <c r="D22" s="2342" t="s">
        <v>842</v>
      </c>
      <c r="E22" s="1021">
        <f ca="1">IF(F22&lt;B2,"已过期",2000110137)</f>
        <v>2000110137</v>
      </c>
      <c r="F22" s="1029">
        <v>46387</v>
      </c>
    </row>
    <row r="23" spans="1:7" ht="24" customHeight="1">
      <c r="A23" s="1700"/>
      <c r="B23" s="1021"/>
      <c r="C23" s="2339"/>
      <c r="D23" s="2342"/>
      <c r="E23" s="1021"/>
      <c r="F23" s="1021"/>
    </row>
    <row r="24" spans="1:7" s="1023" customFormat="1" ht="24" customHeight="1">
      <c r="A24" s="1701" t="s">
        <v>1329</v>
      </c>
      <c r="B24" s="1701" t="s">
        <v>1329</v>
      </c>
      <c r="C24" s="2340" t="s">
        <v>1329</v>
      </c>
      <c r="D24" s="2343" t="s">
        <v>1329</v>
      </c>
      <c r="E24" s="1701" t="s">
        <v>1329</v>
      </c>
      <c r="F24" s="1701" t="s">
        <v>1329</v>
      </c>
    </row>
    <row r="25" spans="1:7" ht="24" customHeight="1">
      <c r="A25" s="3060" t="s">
        <v>843</v>
      </c>
      <c r="B25" s="3060"/>
      <c r="C25" s="3060"/>
      <c r="D25" s="3060"/>
      <c r="E25" s="3060"/>
      <c r="F25" s="3060"/>
      <c r="G25" s="3060"/>
    </row>
    <row r="26" spans="1:7" s="1024" customFormat="1" ht="24" customHeight="1">
      <c r="A26" s="3061" t="s">
        <v>844</v>
      </c>
      <c r="B26" s="3061"/>
      <c r="C26" s="3062"/>
      <c r="D26" s="3063" t="s">
        <v>845</v>
      </c>
      <c r="E26" s="3061"/>
      <c r="F26" s="3061"/>
    </row>
    <row r="27" spans="1:7" s="1026" customFormat="1" ht="24" customHeight="1">
      <c r="A27" s="1025" t="s">
        <v>846</v>
      </c>
      <c r="B27" s="1020" t="s">
        <v>847</v>
      </c>
      <c r="C27" s="2338" t="s">
        <v>848</v>
      </c>
      <c r="D27" s="2346" t="s">
        <v>846</v>
      </c>
      <c r="E27" s="1020" t="s">
        <v>847</v>
      </c>
      <c r="F27" s="1020" t="s">
        <v>848</v>
      </c>
    </row>
    <row r="28" spans="1:7" s="1026" customFormat="1" ht="24" customHeight="1">
      <c r="A28" s="1027" t="s">
        <v>849</v>
      </c>
      <c r="B28" s="1028" t="s">
        <v>850</v>
      </c>
      <c r="C28" s="2344">
        <v>43725</v>
      </c>
      <c r="D28" s="2347" t="s">
        <v>851</v>
      </c>
      <c r="E28" s="1027" t="s">
        <v>852</v>
      </c>
      <c r="F28" s="1057">
        <v>44377</v>
      </c>
    </row>
    <row r="29" spans="1:7" s="1026" customFormat="1" ht="24" customHeight="1">
      <c r="A29" s="1027"/>
      <c r="B29" s="1027"/>
      <c r="C29" s="2345"/>
      <c r="D29" s="2347" t="s">
        <v>853</v>
      </c>
      <c r="E29" s="1200" t="s">
        <v>3042</v>
      </c>
      <c r="F29" s="1201">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分套价值</vt:lpstr>
      <vt:lpstr>Sheet1</vt:lpstr>
      <vt:lpstr>Sheet2</vt:lpstr>
      <vt:lpstr>Sheet3</vt:lpstr>
      <vt:lpstr>Sheet4</vt:lpstr>
      <vt:lpstr>Sheet5</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2019-12-16T08:26:13Z</dcterms:modified>
</cp:coreProperties>
</file>