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96" windowWidth="11388" windowHeight="9408"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整体" sheetId="82"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Sheet0" sheetId="78" r:id="rId20"/>
    <sheet name="成本法" sheetId="68" r:id="rId21"/>
    <sheet name="成本法 (元)" sheetId="69" state="hidden" r:id="rId22"/>
    <sheet name="假设开发法" sheetId="12" state="hidden" r:id="rId23"/>
    <sheet name="土地比较法-住宅、综合" sheetId="39" r:id="rId24"/>
    <sheet name="地上1层" sheetId="15" r:id="rId25"/>
    <sheet name="地下1层" sheetId="79" r:id="rId26"/>
    <sheet name="地下2层" sheetId="80" r:id="rId27"/>
    <sheet name="地下3层" sheetId="81"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24">地上1层!$A$1:$AK$69</definedName>
    <definedName name="_xlnm.Print_Area" localSheetId="25">地下1层!$A$1:$AK$69</definedName>
    <definedName name="_xlnm.Print_Area" localSheetId="26">地下2层!$A$1:$AK$69</definedName>
    <definedName name="_xlnm.Print_Area" localSheetId="27">地下3层!$A$1:$AK$69</definedName>
    <definedName name="_xlnm.Print_Area" localSheetId="8">估价师及机构信息!$A$1:$F$29</definedName>
    <definedName name="_xlnm.Print_Area" localSheetId="28">'收益法 (元)'!$A$1:$AK$69</definedName>
    <definedName name="_xlnm.Print_Area" localSheetId="14">'数据-汇总表'!$A$1:$P$32</definedName>
    <definedName name="八级">区片价!$O$1:$O$40</definedName>
    <definedName name="办公层高" localSheetId="9">'[1]比较法-办公'!$B$119:$M$119</definedName>
    <definedName name="办公层高">'比较法-办公'!$B$119:$M$119</definedName>
    <definedName name="办公朝向" localSheetId="9">'[1]比较法-办公'!$B$91:$M$91</definedName>
    <definedName name="办公朝向">'比较法-办公'!$B$91:$M$91</definedName>
    <definedName name="办公道路级别" localSheetId="9">'[1]比较法-办公'!$B$87:$M$87</definedName>
    <definedName name="办公道路级别">'比较法-办公'!$B$87:$M$87</definedName>
    <definedName name="办公公共部分装修" localSheetId="9">'[1]比较法-办公'!$B$108:$M$108</definedName>
    <definedName name="办公公共部分装修">'比较法-办公'!$B$108:$M$108</definedName>
    <definedName name="办公基础设施水平" localSheetId="9">'[1]比较法-办公'!$B$117:$M$117</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'[1]比较法-办公'!$B$106:$M$106</definedName>
    <definedName name="办公建筑结构">'比较法-办公'!$B$106:$M$106</definedName>
    <definedName name="办公建筑类型" localSheetId="9">'[1]比较法-办公'!$B$101:$M$101</definedName>
    <definedName name="办公建筑类型">'比较法-办公'!$B$101:$M$101</definedName>
    <definedName name="办公交易情况" localSheetId="9">'[1]比较法-办公'!$A$62:$M$62</definedName>
    <definedName name="办公交易情况">'比较法-办公'!$A$62:$M$62</definedName>
    <definedName name="办公楼层" localSheetId="9">'[1]比较法-办公'!$B$89:$M$89</definedName>
    <definedName name="办公楼层">'比较法-办公'!$B$89:$M$89</definedName>
    <definedName name="办公内部装修" localSheetId="9">'[1]比较法-办公'!$B$123:$M$123</definedName>
    <definedName name="办公内部装修">'比较法-办公'!$B$123:$M$123</definedName>
    <definedName name="办公物业管理" localSheetId="9">'[1]比较法-办公'!$B$115:$M$115</definedName>
    <definedName name="办公物业管理">'比较法-办公'!$B$115:$M$115</definedName>
    <definedName name="办公用途" localSheetId="9">'[1]比较法-办公'!$B$64:$M$64</definedName>
    <definedName name="办公用途">'比较法-办公'!$B$64:$M$64</definedName>
    <definedName name="仓储公共部分装修" localSheetId="9">'[1]比较法-仓储'!$B$77:$M$77</definedName>
    <definedName name="仓储公共部分装修">'比较法-仓储'!$B$77:$M$77</definedName>
    <definedName name="仓储交易情况" localSheetId="9">'[1]比较法-仓储'!$A$49:$M$49</definedName>
    <definedName name="仓储交易情况">'比较法-仓储'!$A$49:$M$49</definedName>
    <definedName name="仓储楼层" localSheetId="9">'[1]比较法-仓储'!$B$69:$M$69</definedName>
    <definedName name="仓储楼层">'比较法-仓储'!$B$69:$M$69</definedName>
    <definedName name="仓储物业等级" localSheetId="9">'[1]比较法-仓储'!$B$82:$M$82</definedName>
    <definedName name="仓储物业等级">'比较法-仓储'!$B$82:$M$82</definedName>
    <definedName name="仓储用途" localSheetId="9">'[1]比较法-仓储'!$B$51:$M$51</definedName>
    <definedName name="仓储用途">'比较法-仓储'!$B$51:$M$51</definedName>
    <definedName name="产业集聚程度" localSheetId="9">[1]定义!$N$1:$N$6</definedName>
    <definedName name="产业集聚程度">定义!$N$1:$N$6</definedName>
    <definedName name="车位公共部分装修" localSheetId="9">'[1]比较法-车位'!$B$83:$M$83</definedName>
    <definedName name="车位公共部分装修">'比较法-车位'!$B$83:$M$83</definedName>
    <definedName name="车位交易情况" localSheetId="9">'[1]比较法-车位'!$A$51:$M$51</definedName>
    <definedName name="车位交易情况">'比较法-车位'!$A$51:$M$51</definedName>
    <definedName name="车位类型" localSheetId="9">'[1]比较法-车位'!$B$93:$M$93</definedName>
    <definedName name="车位类型">'比较法-车位'!$B$93:$M$93</definedName>
    <definedName name="车位楼层" localSheetId="9">'[1]比较法-车位'!$B$71:$M$71</definedName>
    <definedName name="车位楼层">'比较法-车位'!$B$71:$M$71</definedName>
    <definedName name="车位配套类型" localSheetId="9">'[1]比较法-车位'!$B$79:$M$79</definedName>
    <definedName name="车位配套类型">'比较法-车位'!$B$79:$M$79</definedName>
    <definedName name="车位物业等级" localSheetId="9">'[1]比较法-车位'!$B$88:$M$88</definedName>
    <definedName name="车位物业等级">'比较法-车位'!$B$88:$M$88</definedName>
    <definedName name="车位用途" localSheetId="9">'[1]比较法-车位'!$B$53:$M$53</definedName>
    <definedName name="车位用途">'比较法-车位'!$B$53:$M$53</definedName>
    <definedName name="城镇土地纳税等级分级范围" localSheetId="9">'[1]数据-取费表'!$A$53:$A$63</definedName>
    <definedName name="城镇土地纳税等级分级范围">'数据-取费表'!$A$53:$A$63</definedName>
    <definedName name="单价内涵" localSheetId="9">[1]定义!$V$1:$V$3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'[1]比较法-工业'!$B$95:$M$95</definedName>
    <definedName name="工业公共部分装修">'比较法-工业'!$B$95:$M$95</definedName>
    <definedName name="工业基础设施水平" localSheetId="9">'[1]比较法-工业'!$B$102:$M$102</definedName>
    <definedName name="工业基础设施水平">'比较法-工业'!$B$102:$M$102</definedName>
    <definedName name="工业建筑结构" localSheetId="9">'[1]比较法-工业'!$B$93:$M$93</definedName>
    <definedName name="工业建筑结构">'比较法-工业'!$B$93:$M$93</definedName>
    <definedName name="工业建筑类型" localSheetId="9">'[1]比较法-工业'!$B$88:$M$88</definedName>
    <definedName name="工业建筑类型">'比较法-工业'!$B$88:$M$88</definedName>
    <definedName name="工业交易情况" localSheetId="9">'[1]比较法-工业'!$A$55:$M$55</definedName>
    <definedName name="工业交易情况">'比较法-工业'!$A$55:$M$55</definedName>
    <definedName name="工业内部装修" localSheetId="9">'[1]比较法-工业'!$B$104:$M$104</definedName>
    <definedName name="工业内部装修">'比较法-工业'!$B$104:$M$104</definedName>
    <definedName name="工业物业管理" localSheetId="9">'[1]比较法-工业'!$B$100:$M$100</definedName>
    <definedName name="工业物业管理">'比较法-工业'!$B$100:$M$100</definedName>
    <definedName name="工业用途" localSheetId="9">'[1]比较法-工业'!$B$57:$M$57</definedName>
    <definedName name="工业用途">'比较法-工业'!$B$57:$M$57</definedName>
    <definedName name="公共配套设施" localSheetId="9">[1]定义!$Q$1:$Q$6</definedName>
    <definedName name="公共配套设施">定义!$Q$1:$Q$6</definedName>
    <definedName name="估价方法" localSheetId="9">[1]定义!$B$1:$B$50</definedName>
    <definedName name="估价方法">定义!$B$1:$B$50</definedName>
    <definedName name="环境" localSheetId="9">[1]定义!$S$1:$S$6</definedName>
    <definedName name="环境">定义!$S$1:$S$6</definedName>
    <definedName name="基础设施水平" localSheetId="9">[1]定义!$R$1:$R$6</definedName>
    <definedName name="基础设施水平">定义!$R$1:$R$6</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[1]定义!$T$1:$T$5</definedName>
    <definedName name="临街状况">定义!$T$1:$T$5</definedName>
    <definedName name="六级">区片价!$M$1:$M$49</definedName>
    <definedName name="内部装修维护情况" localSheetId="9">[1]定义!$U$1:$U$6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'[1]比较法-商业'!$B$116:$M$116</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'[1]比较法-商业'!$B$107:$M$107</definedName>
    <definedName name="商业公共部分装修">'比较法-商业'!$B$107:$M$107</definedName>
    <definedName name="商业基础设施水平" localSheetId="9">'[1]比较法-商业'!$B$112:$M$112</definedName>
    <definedName name="商业基础设施水平">'比较法-商业'!$B$112:$M$112</definedName>
    <definedName name="商业建筑结构" localSheetId="9">'[1]比较法-商业'!$B$105:$M$105</definedName>
    <definedName name="商业建筑结构">'比较法-商业'!$B$105:$M$105</definedName>
    <definedName name="商业交易情况" localSheetId="9">'[1]比较法-商业'!$A$61:$M$61</definedName>
    <definedName name="商业交易情况">'比较法-商业'!$A$61:$M$61</definedName>
    <definedName name="商业街名称" localSheetId="9">[1]修正!$C$59:$C$119</definedName>
    <definedName name="商业街名称">修正!$C$59:$C$119</definedName>
    <definedName name="商业进深比" localSheetId="9">'[1]比较法-商业'!$B$120:$M$120</definedName>
    <definedName name="商业进深比">'比较法-商业'!$B$120:$M$120</definedName>
    <definedName name="商业类型" localSheetId="9">'[1]比较法-商业'!$B$100:$M$100</definedName>
    <definedName name="商业类型">'比较法-商业'!$B$100:$M$100</definedName>
    <definedName name="商业临街状况" localSheetId="9">'[1]比较法-商业'!$B$86:$M$86</definedName>
    <definedName name="商业临街状况">'比较法-商业'!$B$86:$M$86</definedName>
    <definedName name="商业楼层" localSheetId="9">'[1]比较法-商业'!$B$92:$M$92</definedName>
    <definedName name="商业楼层">'比较法-商业'!$B$92:$M$92</definedName>
    <definedName name="商业内部装修" localSheetId="9">'[1]比较法-商业'!$B$122:$M$122</definedName>
    <definedName name="商业内部装修">'比较法-商业'!$B$122:$M$122</definedName>
    <definedName name="商业人流量" localSheetId="9">'[1]比较法-商业'!$B$90:$M$90</definedName>
    <definedName name="商业人流量">'比较法-商业'!$B$90:$M$90</definedName>
    <definedName name="商业业态" localSheetId="9">'[1]比较法-商业'!$B$114:$M$114</definedName>
    <definedName name="商业业态">'比较法-商业'!$B$114:$M$114</definedName>
    <definedName name="商业用途" localSheetId="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'比较法-仓储'!$B$89:$M$89</definedName>
    <definedName name="是否直接入户" localSheetId="9">'[1]比较法-车位'!$B$95:$M$95</definedName>
    <definedName name="是否直接入户">'比较法-车位'!$B$95:$M$95</definedName>
    <definedName name="四级">区片价!$K$1:$K$28</definedName>
    <definedName name="套工道路等级" localSheetId="9">'[1]土地比较法-工业'!$B$97:$M$97</definedName>
    <definedName name="套工道路等级">'土地比较法-工业'!$B$97:$M$97</definedName>
    <definedName name="套工地质条件" localSheetId="9">'[1]土地比较法-工业'!$B$114:$M$114</definedName>
    <definedName name="套工地质条件">'土地比较法-工业'!$B$114:$M$114</definedName>
    <definedName name="套工交易情况" localSheetId="9">'[1]土地比较法-住宅、综合'!$A$73:$M$73</definedName>
    <definedName name="套工交易情况">'土地比较法-住宅、综合'!$A$73:$M$73</definedName>
    <definedName name="套工土地级别" localSheetId="9">'[1]土地比较法-工业'!$B$99:$M$99</definedName>
    <definedName name="套工土地级别">'土地比较法-工业'!$B$99:$M$99</definedName>
    <definedName name="套工用途" localSheetId="9">'[1]土地比较法-工业'!$B$70:$M$70</definedName>
    <definedName name="套工用途">'土地比较法-工业'!$B$70:$M$70</definedName>
    <definedName name="套工宗地开发程度" localSheetId="9">'[1]土地比较法-工业'!$B$112:$M$112</definedName>
    <definedName name="套工宗地开发程度">'土地比较法-工业'!$B$112:$M$112</definedName>
    <definedName name="套工宗地形状" localSheetId="9">'[1]土地比较法-工业'!$B$110:$M$110</definedName>
    <definedName name="套工宗地形状">'土地比较法-工业'!$B$110:$M$110</definedName>
    <definedName name="套综道路等级" localSheetId="9">'[1]土地比较法-住宅、综合'!$B$106:$M$106</definedName>
    <definedName name="套综道路等级">'土地比较法-住宅、综合'!$B$106:$M$106</definedName>
    <definedName name="套综工程地质条件" localSheetId="9">'[1]土地比较法-住宅、综合'!$B$125:$M$125</definedName>
    <definedName name="套综工程地质条件">'土地比较法-住宅、综合'!$B$125:$M$125</definedName>
    <definedName name="套综交易情况" localSheetId="9">'[1]土地比较法-住宅、综合'!$A$73:$M$73</definedName>
    <definedName name="套综交易情况">'土地比较法-住宅、综合'!$A$73:$M$73</definedName>
    <definedName name="套综临街宽度及深度" localSheetId="9">'[1]土地比较法-住宅、综合'!$B$121:$M$121</definedName>
    <definedName name="套综临街宽度及深度">'土地比较法-住宅、综合'!$B$121:$M$121</definedName>
    <definedName name="套综土地级别" localSheetId="9">'[1]土地比较法-住宅、综合'!$B$108:$M$108</definedName>
    <definedName name="套综土地级别">'土地比较法-住宅、综合'!$B$108:$M$108</definedName>
    <definedName name="套综用途" localSheetId="9">'[1]土地比较法-住宅、综合'!$B$75:$M$75</definedName>
    <definedName name="套综用途">'土地比较法-住宅、综合'!$B$75:$M$75</definedName>
    <definedName name="套综宗地内开发程度" localSheetId="9">'[1]土地比较法-住宅、综合'!$B$123:$M$123</definedName>
    <definedName name="套综宗地内开发程度">'土地比较法-住宅、综合'!$B$123:$M$123</definedName>
    <definedName name="套综宗地形状" localSheetId="9">'[1]土地比较法-住宅、综合'!$B$119:$M$119</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[1]定义!$W$1:$W$6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'[1]比较法-办公'!$B$113:$M$113</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'[1]比较法-仓储'!$B$84:$M$84</definedName>
    <definedName name="有无电梯">'比较法-仓储'!$B$84:$M$84</definedName>
    <definedName name="主用途" localSheetId="9">[1]定义!$F$1:$F$10</definedName>
    <definedName name="主用途">定义!$F$1:$F$10</definedName>
    <definedName name="住宅朝向" localSheetId="9">'[1]比较法-住宅'!$B$88:$M$88</definedName>
    <definedName name="住宅朝向">'比较法-住宅'!$B$88:$M$88</definedName>
    <definedName name="住宅房型" localSheetId="9">'[1]比较法-住宅'!$B$118:$M$118</definedName>
    <definedName name="住宅房型">'比较法-住宅'!$B$118:$M$118</definedName>
    <definedName name="住宅公共部分装修" localSheetId="9">'[1]比较法-住宅'!$B$109:$M$109</definedName>
    <definedName name="住宅公共部分装修">'比较法-住宅'!$B$109:$M$109</definedName>
    <definedName name="住宅基础设施水平" localSheetId="9">'[1]比较法-住宅'!$B$116:$M$116</definedName>
    <definedName name="住宅基础设施水平">'比较法-住宅'!$B$116:$M$116</definedName>
    <definedName name="住宅建筑结构" localSheetId="9">'[1]比较法-住宅'!$B$105:$M$105</definedName>
    <definedName name="住宅建筑结构">'比较法-住宅'!$B$105:$M$105</definedName>
    <definedName name="住宅建筑类型" localSheetId="9">'[1]比较法-住宅'!$B$100:$M$100</definedName>
    <definedName name="住宅建筑类型">'比较法-住宅'!$B$100:$M$100</definedName>
    <definedName name="住宅建筑品质" localSheetId="9">'[1]比较法-住宅'!$B$107:$M$107</definedName>
    <definedName name="住宅建筑品质">'比较法-住宅'!$B$107:$M$107</definedName>
    <definedName name="住宅交易情况" localSheetId="9">'[1]比较法-住宅'!$A$61:$M$61</definedName>
    <definedName name="住宅交易情况">'比较法-住宅'!$A$61:$M$61</definedName>
    <definedName name="住宅楼层" localSheetId="9">'[1]比较法-住宅'!$B$86:$M$86</definedName>
    <definedName name="住宅楼层">'比较法-住宅'!$B$86:$M$86</definedName>
    <definedName name="住宅内部装修" localSheetId="9">'[1]比较法-住宅'!$B$122:$M$122</definedName>
    <definedName name="住宅内部装修">'比较法-住宅'!$B$122:$M$122</definedName>
    <definedName name="住宅物业管理" localSheetId="9">'[1]比较法-住宅'!$B$114:$M$114</definedName>
    <definedName name="住宅物业管理">'比较法-住宅'!$B$114:$M$114</definedName>
    <definedName name="住宅用途" localSheetId="9">'[1]比较法-住宅'!$B$63:$M$63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9" i="1" l="1"/>
  <c r="N23" i="1"/>
  <c r="L8" i="1"/>
  <c r="L7" i="1"/>
  <c r="L6" i="1"/>
  <c r="AI19" i="1"/>
  <c r="AG19" i="1"/>
  <c r="N22" i="1"/>
  <c r="E46" i="39" l="1"/>
  <c r="G46" i="39"/>
  <c r="I46" i="39"/>
  <c r="D39" i="43" l="1"/>
  <c r="G41" i="43"/>
  <c r="C11" i="39"/>
  <c r="D34" i="43"/>
  <c r="D33" i="43"/>
  <c r="D29" i="43"/>
  <c r="AH18" i="1"/>
  <c r="E58" i="39"/>
  <c r="E57" i="39"/>
  <c r="C16" i="74" l="1"/>
  <c r="B16" i="74"/>
  <c r="C15" i="74"/>
  <c r="B15" i="74"/>
  <c r="D15" i="74" l="1"/>
  <c r="G15" i="74"/>
  <c r="Y7" i="1" l="1"/>
  <c r="Y8" i="1"/>
  <c r="Y9" i="1"/>
  <c r="Y6" i="1"/>
  <c r="O301" i="82"/>
  <c r="AJ300" i="82"/>
  <c r="AI300" i="82"/>
  <c r="AH300" i="82"/>
  <c r="AG300" i="82"/>
  <c r="AF300" i="82"/>
  <c r="AE300" i="82"/>
  <c r="AD300" i="82"/>
  <c r="AC300" i="82"/>
  <c r="AB300" i="82"/>
  <c r="AA300" i="82"/>
  <c r="Z300" i="82"/>
  <c r="O300" i="82"/>
  <c r="AJ299" i="82"/>
  <c r="AI299" i="82"/>
  <c r="AH299" i="82"/>
  <c r="AG299" i="82"/>
  <c r="AF299" i="82"/>
  <c r="AE299" i="82"/>
  <c r="AD299" i="82"/>
  <c r="AC299" i="82"/>
  <c r="AB299" i="82"/>
  <c r="AA299" i="82"/>
  <c r="Z299" i="82"/>
  <c r="O299" i="82"/>
  <c r="N298" i="82"/>
  <c r="AI298" i="82" s="1"/>
  <c r="N297" i="82"/>
  <c r="AI297" i="82" s="1"/>
  <c r="N296" i="82"/>
  <c r="AI296" i="82" s="1"/>
  <c r="N295" i="82"/>
  <c r="AI295" i="82" s="1"/>
  <c r="N294" i="82"/>
  <c r="AI294" i="82" s="1"/>
  <c r="N293" i="82"/>
  <c r="AI293" i="82" s="1"/>
  <c r="N292" i="82"/>
  <c r="AI292" i="82" s="1"/>
  <c r="AJ291" i="82"/>
  <c r="AI291" i="82"/>
  <c r="AH291" i="82"/>
  <c r="AG291" i="82"/>
  <c r="AF291" i="82"/>
  <c r="AE291" i="82"/>
  <c r="AD291" i="82"/>
  <c r="AC291" i="82"/>
  <c r="AB291" i="82"/>
  <c r="AA291" i="82"/>
  <c r="Z291" i="82"/>
  <c r="O291" i="82"/>
  <c r="AJ290" i="82"/>
  <c r="AI290" i="82"/>
  <c r="AH290" i="82"/>
  <c r="AG290" i="82"/>
  <c r="AF290" i="82"/>
  <c r="AE290" i="82"/>
  <c r="AD290" i="82"/>
  <c r="AC290" i="82"/>
  <c r="AB290" i="82"/>
  <c r="AA290" i="82"/>
  <c r="Z290" i="82"/>
  <c r="O290" i="82"/>
  <c r="AJ289" i="82"/>
  <c r="AI289" i="82"/>
  <c r="AH289" i="82"/>
  <c r="AG289" i="82"/>
  <c r="AF289" i="82"/>
  <c r="AE289" i="82"/>
  <c r="AD289" i="82"/>
  <c r="AC289" i="82"/>
  <c r="AB289" i="82"/>
  <c r="AA289" i="82"/>
  <c r="Z289" i="82"/>
  <c r="O289" i="82"/>
  <c r="AJ288" i="82"/>
  <c r="AH288" i="82"/>
  <c r="AF288" i="82"/>
  <c r="AD288" i="82"/>
  <c r="AB288" i="82"/>
  <c r="Z288" i="82"/>
  <c r="O288" i="82"/>
  <c r="N288" i="82"/>
  <c r="AI288" i="82" s="1"/>
  <c r="AJ287" i="82"/>
  <c r="AI287" i="82"/>
  <c r="AH287" i="82"/>
  <c r="AG287" i="82"/>
  <c r="AF287" i="82"/>
  <c r="AE287" i="82"/>
  <c r="AD287" i="82"/>
  <c r="AC287" i="82"/>
  <c r="AB287" i="82"/>
  <c r="AA287" i="82"/>
  <c r="Z287" i="82"/>
  <c r="O287" i="82"/>
  <c r="AJ286" i="82"/>
  <c r="AI286" i="82"/>
  <c r="AH286" i="82"/>
  <c r="AG286" i="82"/>
  <c r="AF286" i="82"/>
  <c r="AE286" i="82"/>
  <c r="AD286" i="82"/>
  <c r="AC286" i="82"/>
  <c r="AB286" i="82"/>
  <c r="AA286" i="82"/>
  <c r="Z286" i="82"/>
  <c r="O286" i="82"/>
  <c r="AJ285" i="82"/>
  <c r="AI285" i="82"/>
  <c r="AH285" i="82"/>
  <c r="AG285" i="82"/>
  <c r="AF285" i="82"/>
  <c r="AE285" i="82"/>
  <c r="AD285" i="82"/>
  <c r="AC285" i="82"/>
  <c r="AB285" i="82"/>
  <c r="AA285" i="82"/>
  <c r="Z285" i="82"/>
  <c r="O285" i="82"/>
  <c r="N284" i="82"/>
  <c r="AI284" i="82" s="1"/>
  <c r="AJ283" i="82"/>
  <c r="AI283" i="82"/>
  <c r="AH283" i="82"/>
  <c r="AG283" i="82"/>
  <c r="AF283" i="82"/>
  <c r="AE283" i="82"/>
  <c r="AD283" i="82"/>
  <c r="AC283" i="82"/>
  <c r="AB283" i="82"/>
  <c r="AA283" i="82"/>
  <c r="Z283" i="82"/>
  <c r="O283" i="82"/>
  <c r="AJ282" i="82"/>
  <c r="AI282" i="82"/>
  <c r="AH282" i="82"/>
  <c r="AG282" i="82"/>
  <c r="AF282" i="82"/>
  <c r="AE282" i="82"/>
  <c r="AD282" i="82"/>
  <c r="AC282" i="82"/>
  <c r="AB282" i="82"/>
  <c r="AA282" i="82"/>
  <c r="Z282" i="82"/>
  <c r="O282" i="82"/>
  <c r="AJ281" i="82"/>
  <c r="AI281" i="82"/>
  <c r="AH281" i="82"/>
  <c r="AG281" i="82"/>
  <c r="AF281" i="82"/>
  <c r="AE281" i="82"/>
  <c r="AD281" i="82"/>
  <c r="AC281" i="82"/>
  <c r="AB281" i="82"/>
  <c r="AA281" i="82"/>
  <c r="Z281" i="82"/>
  <c r="O281" i="82"/>
  <c r="AJ280" i="82"/>
  <c r="AH280" i="82"/>
  <c r="AF280" i="82"/>
  <c r="AD280" i="82"/>
  <c r="AB280" i="82"/>
  <c r="Z280" i="82"/>
  <c r="O280" i="82"/>
  <c r="N280" i="82"/>
  <c r="AI280" i="82" s="1"/>
  <c r="N279" i="82"/>
  <c r="AJ279" i="82" s="1"/>
  <c r="N278" i="82"/>
  <c r="AI278" i="82" s="1"/>
  <c r="N277" i="82"/>
  <c r="AI277" i="82" s="1"/>
  <c r="N276" i="82"/>
  <c r="AI276" i="82" s="1"/>
  <c r="N275" i="82"/>
  <c r="AI275" i="82" s="1"/>
  <c r="AJ274" i="82"/>
  <c r="AI274" i="82"/>
  <c r="AH274" i="82"/>
  <c r="AG274" i="82"/>
  <c r="AF274" i="82"/>
  <c r="AE274" i="82"/>
  <c r="AD274" i="82"/>
  <c r="AC274" i="82"/>
  <c r="AB274" i="82"/>
  <c r="AA274" i="82"/>
  <c r="Z274" i="82"/>
  <c r="O274" i="82"/>
  <c r="AJ273" i="82"/>
  <c r="AI273" i="82"/>
  <c r="AH273" i="82"/>
  <c r="AG273" i="82"/>
  <c r="AF273" i="82"/>
  <c r="AE273" i="82"/>
  <c r="AD273" i="82"/>
  <c r="AC273" i="82"/>
  <c r="AB273" i="82"/>
  <c r="AA273" i="82"/>
  <c r="Z273" i="82"/>
  <c r="O273" i="82"/>
  <c r="AJ272" i="82"/>
  <c r="AI272" i="82"/>
  <c r="AH272" i="82"/>
  <c r="AG272" i="82"/>
  <c r="AF272" i="82"/>
  <c r="AE272" i="82"/>
  <c r="AD272" i="82"/>
  <c r="AC272" i="82"/>
  <c r="AB272" i="82"/>
  <c r="AA272" i="82"/>
  <c r="Z272" i="82"/>
  <c r="O272" i="82"/>
  <c r="AJ271" i="82"/>
  <c r="AH271" i="82"/>
  <c r="AF271" i="82"/>
  <c r="AD271" i="82"/>
  <c r="AB271" i="82"/>
  <c r="Z271" i="82"/>
  <c r="O271" i="82"/>
  <c r="N271" i="82"/>
  <c r="AI271" i="82" s="1"/>
  <c r="AJ270" i="82"/>
  <c r="AH270" i="82"/>
  <c r="AF270" i="82"/>
  <c r="AD270" i="82"/>
  <c r="AB270" i="82"/>
  <c r="Z270" i="82"/>
  <c r="O270" i="82"/>
  <c r="N270" i="82"/>
  <c r="AI270" i="82" s="1"/>
  <c r="AJ269" i="82"/>
  <c r="AH269" i="82"/>
  <c r="AF269" i="82"/>
  <c r="AD269" i="82"/>
  <c r="AB269" i="82"/>
  <c r="Z269" i="82"/>
  <c r="O269" i="82"/>
  <c r="N269" i="82"/>
  <c r="AI269" i="82" s="1"/>
  <c r="AJ268" i="82"/>
  <c r="AH268" i="82"/>
  <c r="AF268" i="82"/>
  <c r="AD268" i="82"/>
  <c r="AB268" i="82"/>
  <c r="Z268" i="82"/>
  <c r="O268" i="82"/>
  <c r="N268" i="82"/>
  <c r="AI268" i="82" s="1"/>
  <c r="AJ267" i="82"/>
  <c r="AI267" i="82"/>
  <c r="AH267" i="82"/>
  <c r="AG267" i="82"/>
  <c r="AF267" i="82"/>
  <c r="AE267" i="82"/>
  <c r="AD267" i="82"/>
  <c r="AC267" i="82"/>
  <c r="AB267" i="82"/>
  <c r="AA267" i="82"/>
  <c r="Z267" i="82"/>
  <c r="O267" i="82"/>
  <c r="AJ266" i="82"/>
  <c r="AI266" i="82"/>
  <c r="AH266" i="82"/>
  <c r="AG266" i="82"/>
  <c r="AF266" i="82"/>
  <c r="AE266" i="82"/>
  <c r="AD266" i="82"/>
  <c r="AC266" i="82"/>
  <c r="AB266" i="82"/>
  <c r="AA266" i="82"/>
  <c r="Z266" i="82"/>
  <c r="O266" i="82"/>
  <c r="AJ265" i="82"/>
  <c r="AI265" i="82"/>
  <c r="AH265" i="82"/>
  <c r="AG265" i="82"/>
  <c r="AF265" i="82"/>
  <c r="AE265" i="82"/>
  <c r="AD265" i="82"/>
  <c r="AC265" i="82"/>
  <c r="AB265" i="82"/>
  <c r="AA265" i="82"/>
  <c r="Z265" i="82"/>
  <c r="O265" i="82"/>
  <c r="AJ264" i="82"/>
  <c r="AI264" i="82"/>
  <c r="AH264" i="82"/>
  <c r="AG264" i="82"/>
  <c r="AF264" i="82"/>
  <c r="AE264" i="82"/>
  <c r="AD264" i="82"/>
  <c r="AC264" i="82"/>
  <c r="AB264" i="82"/>
  <c r="AA264" i="82"/>
  <c r="Z264" i="82"/>
  <c r="O264" i="82"/>
  <c r="AJ263" i="82"/>
  <c r="AI263" i="82"/>
  <c r="AH263" i="82"/>
  <c r="AG263" i="82"/>
  <c r="AF263" i="82"/>
  <c r="AE263" i="82"/>
  <c r="AD263" i="82"/>
  <c r="AC263" i="82"/>
  <c r="AB263" i="82"/>
  <c r="AA263" i="82"/>
  <c r="Z263" i="82"/>
  <c r="O263" i="82"/>
  <c r="AJ262" i="82"/>
  <c r="AI262" i="82"/>
  <c r="AH262" i="82"/>
  <c r="AG262" i="82"/>
  <c r="AF262" i="82"/>
  <c r="AE262" i="82"/>
  <c r="AD262" i="82"/>
  <c r="AC262" i="82"/>
  <c r="AB262" i="82"/>
  <c r="AA262" i="82"/>
  <c r="Z262" i="82"/>
  <c r="O262" i="82"/>
  <c r="AJ261" i="82"/>
  <c r="AI261" i="82"/>
  <c r="AH261" i="82"/>
  <c r="AG261" i="82"/>
  <c r="AF261" i="82"/>
  <c r="AE261" i="82"/>
  <c r="AD261" i="82"/>
  <c r="AC261" i="82"/>
  <c r="AB261" i="82"/>
  <c r="AA261" i="82"/>
  <c r="Z261" i="82"/>
  <c r="O261" i="82"/>
  <c r="AJ260" i="82"/>
  <c r="AI260" i="82"/>
  <c r="AH260" i="82"/>
  <c r="AG260" i="82"/>
  <c r="AF260" i="82"/>
  <c r="AE260" i="82"/>
  <c r="AD260" i="82"/>
  <c r="AC260" i="82"/>
  <c r="AB260" i="82"/>
  <c r="AA260" i="82"/>
  <c r="Z260" i="82"/>
  <c r="O260" i="82"/>
  <c r="AJ259" i="82"/>
  <c r="AI259" i="82"/>
  <c r="AH259" i="82"/>
  <c r="AG259" i="82"/>
  <c r="AF259" i="82"/>
  <c r="AE259" i="82"/>
  <c r="AD259" i="82"/>
  <c r="AC259" i="82"/>
  <c r="AB259" i="82"/>
  <c r="AA259" i="82"/>
  <c r="Z259" i="82"/>
  <c r="O259" i="82"/>
  <c r="N258" i="82"/>
  <c r="AI258" i="82" s="1"/>
  <c r="N257" i="82"/>
  <c r="AI257" i="82" s="1"/>
  <c r="N256" i="82"/>
  <c r="AI256" i="82" s="1"/>
  <c r="N255" i="82"/>
  <c r="AI255" i="82" s="1"/>
  <c r="N254" i="82"/>
  <c r="AI254" i="82" s="1"/>
  <c r="N253" i="82"/>
  <c r="AI253" i="82" s="1"/>
  <c r="N252" i="82"/>
  <c r="AI252" i="82" s="1"/>
  <c r="N251" i="82"/>
  <c r="N250" i="82"/>
  <c r="AG250" i="82" s="1"/>
  <c r="AG249" i="82"/>
  <c r="AC249" i="82"/>
  <c r="N249" i="82"/>
  <c r="AJ248" i="82"/>
  <c r="AI248" i="82"/>
  <c r="AH248" i="82"/>
  <c r="AG248" i="82"/>
  <c r="AF248" i="82"/>
  <c r="AE248" i="82"/>
  <c r="AD248" i="82"/>
  <c r="AC248" i="82"/>
  <c r="AB248" i="82"/>
  <c r="AA248" i="82"/>
  <c r="Z248" i="82"/>
  <c r="O248" i="82"/>
  <c r="AJ247" i="82"/>
  <c r="AH247" i="82"/>
  <c r="AF247" i="82"/>
  <c r="AD247" i="82"/>
  <c r="AB247" i="82"/>
  <c r="Z247" i="82"/>
  <c r="O247" i="82"/>
  <c r="N247" i="82"/>
  <c r="AI247" i="82" s="1"/>
  <c r="AJ246" i="82"/>
  <c r="AH246" i="82"/>
  <c r="AF246" i="82"/>
  <c r="AD246" i="82"/>
  <c r="AB246" i="82"/>
  <c r="Z246" i="82"/>
  <c r="O246" i="82"/>
  <c r="N246" i="82"/>
  <c r="AI246" i="82" s="1"/>
  <c r="AJ245" i="82"/>
  <c r="AH245" i="82"/>
  <c r="AF245" i="82"/>
  <c r="AD245" i="82"/>
  <c r="AB245" i="82"/>
  <c r="Z245" i="82"/>
  <c r="O245" i="82"/>
  <c r="N245" i="82"/>
  <c r="AI245" i="82" s="1"/>
  <c r="AJ244" i="82"/>
  <c r="AH244" i="82"/>
  <c r="AF244" i="82"/>
  <c r="AD244" i="82"/>
  <c r="AB244" i="82"/>
  <c r="Z244" i="82"/>
  <c r="O244" i="82"/>
  <c r="N244" i="82"/>
  <c r="AI244" i="82" s="1"/>
  <c r="AJ243" i="82"/>
  <c r="AI243" i="82"/>
  <c r="AH243" i="82"/>
  <c r="AG243" i="82"/>
  <c r="AF243" i="82"/>
  <c r="AE243" i="82"/>
  <c r="AD243" i="82"/>
  <c r="AC243" i="82"/>
  <c r="AB243" i="82"/>
  <c r="AA243" i="82"/>
  <c r="Z243" i="82"/>
  <c r="O243" i="82"/>
  <c r="AJ242" i="82"/>
  <c r="AI242" i="82"/>
  <c r="AH242" i="82"/>
  <c r="AG242" i="82"/>
  <c r="AF242" i="82"/>
  <c r="AE242" i="82"/>
  <c r="AD242" i="82"/>
  <c r="AC242" i="82"/>
  <c r="AB242" i="82"/>
  <c r="AA242" i="82"/>
  <c r="Z242" i="82"/>
  <c r="O242" i="82"/>
  <c r="AJ241" i="82"/>
  <c r="AI241" i="82"/>
  <c r="AH241" i="82"/>
  <c r="AG241" i="82"/>
  <c r="AF241" i="82"/>
  <c r="AE241" i="82"/>
  <c r="AD241" i="82"/>
  <c r="AC241" i="82"/>
  <c r="AB241" i="82"/>
  <c r="AA241" i="82"/>
  <c r="Z241" i="82"/>
  <c r="O241" i="82"/>
  <c r="AJ240" i="82"/>
  <c r="AI240" i="82"/>
  <c r="AH240" i="82"/>
  <c r="AG240" i="82"/>
  <c r="AF240" i="82"/>
  <c r="AE240" i="82"/>
  <c r="AD240" i="82"/>
  <c r="AC240" i="82"/>
  <c r="AB240" i="82"/>
  <c r="AA240" i="82"/>
  <c r="Z240" i="82"/>
  <c r="O240" i="82"/>
  <c r="AJ239" i="82"/>
  <c r="AH239" i="82"/>
  <c r="AF239" i="82"/>
  <c r="AD239" i="82"/>
  <c r="AB239" i="82"/>
  <c r="Z239" i="82"/>
  <c r="O239" i="82"/>
  <c r="N239" i="82"/>
  <c r="AI239" i="82" s="1"/>
  <c r="N238" i="82"/>
  <c r="AJ238" i="82" s="1"/>
  <c r="N237" i="82"/>
  <c r="AI237" i="82" s="1"/>
  <c r="N236" i="82"/>
  <c r="AI236" i="82" s="1"/>
  <c r="N235" i="82"/>
  <c r="AI235" i="82" s="1"/>
  <c r="AJ234" i="82"/>
  <c r="AI234" i="82"/>
  <c r="AH234" i="82"/>
  <c r="AG234" i="82"/>
  <c r="AF234" i="82"/>
  <c r="AE234" i="82"/>
  <c r="AD234" i="82"/>
  <c r="AC234" i="82"/>
  <c r="AB234" i="82"/>
  <c r="AA234" i="82"/>
  <c r="Z234" i="82"/>
  <c r="O234" i="82"/>
  <c r="AJ233" i="82"/>
  <c r="AI233" i="82"/>
  <c r="AH233" i="82"/>
  <c r="AG233" i="82"/>
  <c r="AF233" i="82"/>
  <c r="AE233" i="82"/>
  <c r="AD233" i="82"/>
  <c r="AC233" i="82"/>
  <c r="AB233" i="82"/>
  <c r="AA233" i="82"/>
  <c r="Z233" i="82"/>
  <c r="O233" i="82"/>
  <c r="AJ232" i="82"/>
  <c r="AI232" i="82"/>
  <c r="AH232" i="82"/>
  <c r="AG232" i="82"/>
  <c r="AF232" i="82"/>
  <c r="AE232" i="82"/>
  <c r="AD232" i="82"/>
  <c r="AC232" i="82"/>
  <c r="AB232" i="82"/>
  <c r="AA232" i="82"/>
  <c r="Z232" i="82"/>
  <c r="O232" i="82"/>
  <c r="AJ231" i="82"/>
  <c r="AI231" i="82"/>
  <c r="AH231" i="82"/>
  <c r="AG231" i="82"/>
  <c r="AF231" i="82"/>
  <c r="AE231" i="82"/>
  <c r="AD231" i="82"/>
  <c r="AC231" i="82"/>
  <c r="AB231" i="82"/>
  <c r="AA231" i="82"/>
  <c r="Z231" i="82"/>
  <c r="O231" i="82"/>
  <c r="AJ230" i="82"/>
  <c r="AI230" i="82"/>
  <c r="AH230" i="82"/>
  <c r="AG230" i="82"/>
  <c r="AF230" i="82"/>
  <c r="AE230" i="82"/>
  <c r="AD230" i="82"/>
  <c r="AC230" i="82"/>
  <c r="AB230" i="82"/>
  <c r="AA230" i="82"/>
  <c r="Z230" i="82"/>
  <c r="O230" i="82"/>
  <c r="AJ229" i="82"/>
  <c r="AI229" i="82"/>
  <c r="AH229" i="82"/>
  <c r="AG229" i="82"/>
  <c r="AF229" i="82"/>
  <c r="AE229" i="82"/>
  <c r="AD229" i="82"/>
  <c r="AC229" i="82"/>
  <c r="AB229" i="82"/>
  <c r="AA229" i="82"/>
  <c r="Z229" i="82"/>
  <c r="O229" i="82"/>
  <c r="AJ228" i="82"/>
  <c r="AI228" i="82"/>
  <c r="AH228" i="82"/>
  <c r="AG228" i="82"/>
  <c r="AF228" i="82"/>
  <c r="AE228" i="82"/>
  <c r="AD228" i="82"/>
  <c r="AC228" i="82"/>
  <c r="AB228" i="82"/>
  <c r="AA228" i="82"/>
  <c r="Z228" i="82"/>
  <c r="O228" i="82"/>
  <c r="AJ227" i="82"/>
  <c r="AI227" i="82"/>
  <c r="AH227" i="82"/>
  <c r="AG227" i="82"/>
  <c r="AF227" i="82"/>
  <c r="AE227" i="82"/>
  <c r="AD227" i="82"/>
  <c r="AC227" i="82"/>
  <c r="AB227" i="82"/>
  <c r="AA227" i="82"/>
  <c r="Z227" i="82"/>
  <c r="O227" i="82"/>
  <c r="AJ226" i="82"/>
  <c r="AI226" i="82"/>
  <c r="AH226" i="82"/>
  <c r="AG226" i="82"/>
  <c r="AF226" i="82"/>
  <c r="AE226" i="82"/>
  <c r="AD226" i="82"/>
  <c r="AC226" i="82"/>
  <c r="AB226" i="82"/>
  <c r="AA226" i="82"/>
  <c r="Z226" i="82"/>
  <c r="O226" i="82"/>
  <c r="AJ225" i="82"/>
  <c r="AH225" i="82"/>
  <c r="AF225" i="82"/>
  <c r="AD225" i="82"/>
  <c r="AB225" i="82"/>
  <c r="Z225" i="82"/>
  <c r="O225" i="82"/>
  <c r="N225" i="82"/>
  <c r="AI225" i="82" s="1"/>
  <c r="AJ224" i="82"/>
  <c r="AH224" i="82"/>
  <c r="AF224" i="82"/>
  <c r="AD224" i="82"/>
  <c r="AB224" i="82"/>
  <c r="Z224" i="82"/>
  <c r="O224" i="82"/>
  <c r="N224" i="82"/>
  <c r="AI224" i="82" s="1"/>
  <c r="AJ223" i="82"/>
  <c r="AH223" i="82"/>
  <c r="AF223" i="82"/>
  <c r="AD223" i="82"/>
  <c r="AB223" i="82"/>
  <c r="Z223" i="82"/>
  <c r="O223" i="82"/>
  <c r="N223" i="82"/>
  <c r="AI223" i="82" s="1"/>
  <c r="AJ222" i="82"/>
  <c r="AH222" i="82"/>
  <c r="AF222" i="82"/>
  <c r="AD222" i="82"/>
  <c r="AB222" i="82"/>
  <c r="Z222" i="82"/>
  <c r="O222" i="82"/>
  <c r="N222" i="82"/>
  <c r="AI222" i="82" s="1"/>
  <c r="AJ221" i="82"/>
  <c r="AH221" i="82"/>
  <c r="AF221" i="82"/>
  <c r="AD221" i="82"/>
  <c r="AB221" i="82"/>
  <c r="Z221" i="82"/>
  <c r="O221" i="82"/>
  <c r="N221" i="82"/>
  <c r="AI221" i="82" s="1"/>
  <c r="AJ220" i="82"/>
  <c r="AH220" i="82"/>
  <c r="AF220" i="82"/>
  <c r="AD220" i="82"/>
  <c r="AB220" i="82"/>
  <c r="Z220" i="82"/>
  <c r="O220" i="82"/>
  <c r="N220" i="82"/>
  <c r="AI220" i="82" s="1"/>
  <c r="AJ219" i="82"/>
  <c r="AH219" i="82"/>
  <c r="AF219" i="82"/>
  <c r="AD219" i="82"/>
  <c r="AB219" i="82"/>
  <c r="Z219" i="82"/>
  <c r="O219" i="82"/>
  <c r="N219" i="82"/>
  <c r="AI219" i="82" s="1"/>
  <c r="AJ218" i="82"/>
  <c r="AH218" i="82"/>
  <c r="AF218" i="82"/>
  <c r="AD218" i="82"/>
  <c r="AB218" i="82"/>
  <c r="Z218" i="82"/>
  <c r="O218" i="82"/>
  <c r="N218" i="82"/>
  <c r="AI218" i="82" s="1"/>
  <c r="AJ217" i="82"/>
  <c r="AH217" i="82"/>
  <c r="AF217" i="82"/>
  <c r="AD217" i="82"/>
  <c r="AB217" i="82"/>
  <c r="Z217" i="82"/>
  <c r="O217" i="82"/>
  <c r="N217" i="82"/>
  <c r="AI217" i="82" s="1"/>
  <c r="AJ216" i="82"/>
  <c r="AH216" i="82"/>
  <c r="AF216" i="82"/>
  <c r="AD216" i="82"/>
  <c r="AB216" i="82"/>
  <c r="Z216" i="82"/>
  <c r="O216" i="82"/>
  <c r="N216" i="82"/>
  <c r="AI216" i="82" s="1"/>
  <c r="AJ215" i="82"/>
  <c r="AH215" i="82"/>
  <c r="AF215" i="82"/>
  <c r="AD215" i="82"/>
  <c r="AB215" i="82"/>
  <c r="Z215" i="82"/>
  <c r="O215" i="82"/>
  <c r="N215" i="82"/>
  <c r="AI215" i="82" s="1"/>
  <c r="AJ214" i="82"/>
  <c r="AH214" i="82"/>
  <c r="AF214" i="82"/>
  <c r="AD214" i="82"/>
  <c r="AB214" i="82"/>
  <c r="Z214" i="82"/>
  <c r="O214" i="82"/>
  <c r="N214" i="82"/>
  <c r="AI214" i="82" s="1"/>
  <c r="AJ213" i="82"/>
  <c r="AH213" i="82"/>
  <c r="AF213" i="82"/>
  <c r="AD213" i="82"/>
  <c r="AB213" i="82"/>
  <c r="Z213" i="82"/>
  <c r="O213" i="82"/>
  <c r="N213" i="82"/>
  <c r="AI213" i="82" s="1"/>
  <c r="AJ212" i="82"/>
  <c r="AH212" i="82"/>
  <c r="AF212" i="82"/>
  <c r="AD212" i="82"/>
  <c r="AB212" i="82"/>
  <c r="Z212" i="82"/>
  <c r="O212" i="82"/>
  <c r="N212" i="82"/>
  <c r="AI212" i="82" s="1"/>
  <c r="AJ211" i="82"/>
  <c r="AH211" i="82"/>
  <c r="AF211" i="82"/>
  <c r="AD211" i="82"/>
  <c r="AB211" i="82"/>
  <c r="Z211" i="82"/>
  <c r="O211" i="82"/>
  <c r="N211" i="82"/>
  <c r="AI211" i="82" s="1"/>
  <c r="AJ210" i="82"/>
  <c r="AH210" i="82"/>
  <c r="AF210" i="82"/>
  <c r="AD210" i="82"/>
  <c r="AB210" i="82"/>
  <c r="Z210" i="82"/>
  <c r="O210" i="82"/>
  <c r="N210" i="82"/>
  <c r="AI210" i="82" s="1"/>
  <c r="I208" i="82"/>
  <c r="N207" i="82"/>
  <c r="O207" i="82" s="1"/>
  <c r="N206" i="82"/>
  <c r="AI206" i="82" s="1"/>
  <c r="N205" i="82"/>
  <c r="AI205" i="82" s="1"/>
  <c r="N204" i="82"/>
  <c r="AI204" i="82" s="1"/>
  <c r="N203" i="82"/>
  <c r="AI203" i="82" s="1"/>
  <c r="N202" i="82"/>
  <c r="AI202" i="82" s="1"/>
  <c r="N201" i="82"/>
  <c r="N200" i="82"/>
  <c r="AG199" i="82"/>
  <c r="AC199" i="82"/>
  <c r="N199" i="82"/>
  <c r="AJ198" i="82"/>
  <c r="AI198" i="82"/>
  <c r="AH198" i="82"/>
  <c r="AG198" i="82"/>
  <c r="AF198" i="82"/>
  <c r="AE198" i="82"/>
  <c r="AD198" i="82"/>
  <c r="AC198" i="82"/>
  <c r="AB198" i="82"/>
  <c r="AA198" i="82"/>
  <c r="Z198" i="82"/>
  <c r="O198" i="82"/>
  <c r="AJ197" i="82"/>
  <c r="AH197" i="82"/>
  <c r="AF197" i="82"/>
  <c r="AD197" i="82"/>
  <c r="AB197" i="82"/>
  <c r="Z197" i="82"/>
  <c r="O197" i="82"/>
  <c r="N197" i="82"/>
  <c r="AI197" i="82" s="1"/>
  <c r="AJ196" i="82"/>
  <c r="AH196" i="82"/>
  <c r="AF196" i="82"/>
  <c r="AD196" i="82"/>
  <c r="AB196" i="82"/>
  <c r="Z196" i="82"/>
  <c r="O196" i="82"/>
  <c r="N196" i="82"/>
  <c r="AI196" i="82" s="1"/>
  <c r="AJ195" i="82"/>
  <c r="AH195" i="82"/>
  <c r="AF195" i="82"/>
  <c r="AD195" i="82"/>
  <c r="AB195" i="82"/>
  <c r="Z195" i="82"/>
  <c r="O195" i="82"/>
  <c r="N195" i="82"/>
  <c r="AI195" i="82" s="1"/>
  <c r="AJ194" i="82"/>
  <c r="AH194" i="82"/>
  <c r="AF194" i="82"/>
  <c r="AD194" i="82"/>
  <c r="AB194" i="82"/>
  <c r="Z194" i="82"/>
  <c r="O194" i="82"/>
  <c r="N194" i="82"/>
  <c r="AI194" i="82" s="1"/>
  <c r="AJ193" i="82"/>
  <c r="AH193" i="82"/>
  <c r="AF193" i="82"/>
  <c r="AD193" i="82"/>
  <c r="AB193" i="82"/>
  <c r="Z193" i="82"/>
  <c r="O193" i="82"/>
  <c r="N193" i="82"/>
  <c r="AI193" i="82" s="1"/>
  <c r="AJ192" i="82"/>
  <c r="AH192" i="82"/>
  <c r="AF192" i="82"/>
  <c r="AD192" i="82"/>
  <c r="AB192" i="82"/>
  <c r="Z192" i="82"/>
  <c r="O192" i="82"/>
  <c r="N192" i="82"/>
  <c r="AI192" i="82" s="1"/>
  <c r="AJ191" i="82"/>
  <c r="AH191" i="82"/>
  <c r="AF191" i="82"/>
  <c r="AD191" i="82"/>
  <c r="AB191" i="82"/>
  <c r="Z191" i="82"/>
  <c r="O191" i="82"/>
  <c r="N191" i="82"/>
  <c r="AI191" i="82" s="1"/>
  <c r="AJ190" i="82"/>
  <c r="AH190" i="82"/>
  <c r="AF190" i="82"/>
  <c r="AD190" i="82"/>
  <c r="AB190" i="82"/>
  <c r="Z190" i="82"/>
  <c r="O190" i="82"/>
  <c r="N190" i="82"/>
  <c r="AI190" i="82" s="1"/>
  <c r="AJ189" i="82"/>
  <c r="AH189" i="82"/>
  <c r="AF189" i="82"/>
  <c r="AD189" i="82"/>
  <c r="AB189" i="82"/>
  <c r="Z189" i="82"/>
  <c r="O189" i="82"/>
  <c r="N189" i="82"/>
  <c r="AI189" i="82" s="1"/>
  <c r="N188" i="82"/>
  <c r="AJ188" i="82" s="1"/>
  <c r="N187" i="82"/>
  <c r="AJ187" i="82" s="1"/>
  <c r="N186" i="82"/>
  <c r="AJ186" i="82" s="1"/>
  <c r="N185" i="82"/>
  <c r="AJ185" i="82" s="1"/>
  <c r="N184" i="82"/>
  <c r="AJ184" i="82" s="1"/>
  <c r="N183" i="82"/>
  <c r="AJ183" i="82" s="1"/>
  <c r="N182" i="82"/>
  <c r="AJ182" i="82" s="1"/>
  <c r="N181" i="82"/>
  <c r="AJ181" i="82" s="1"/>
  <c r="N180" i="82"/>
  <c r="AJ180" i="82" s="1"/>
  <c r="N179" i="82"/>
  <c r="AJ179" i="82" s="1"/>
  <c r="N178" i="82"/>
  <c r="AJ178" i="82" s="1"/>
  <c r="N177" i="82"/>
  <c r="AJ177" i="82" s="1"/>
  <c r="N176" i="82"/>
  <c r="AJ176" i="82" s="1"/>
  <c r="N175" i="82"/>
  <c r="AJ175" i="82" s="1"/>
  <c r="N174" i="82"/>
  <c r="AJ174" i="82" s="1"/>
  <c r="N173" i="82"/>
  <c r="AJ173" i="82" s="1"/>
  <c r="N172" i="82"/>
  <c r="AJ172" i="82" s="1"/>
  <c r="N171" i="82"/>
  <c r="AJ171" i="82" s="1"/>
  <c r="N170" i="82"/>
  <c r="AJ170" i="82" s="1"/>
  <c r="N169" i="82"/>
  <c r="AJ169" i="82" s="1"/>
  <c r="N168" i="82"/>
  <c r="AJ168" i="82" s="1"/>
  <c r="N167" i="82"/>
  <c r="AJ167" i="82" s="1"/>
  <c r="N166" i="82"/>
  <c r="N165" i="82"/>
  <c r="AI165" i="82" s="1"/>
  <c r="N164" i="82"/>
  <c r="AI164" i="82" s="1"/>
  <c r="N163" i="82"/>
  <c r="AI163" i="82" s="1"/>
  <c r="N162" i="82"/>
  <c r="AI162" i="82" s="1"/>
  <c r="N161" i="82"/>
  <c r="AI161" i="82" s="1"/>
  <c r="N160" i="82"/>
  <c r="AI160" i="82" s="1"/>
  <c r="N159" i="82"/>
  <c r="AI159" i="82" s="1"/>
  <c r="N158" i="82"/>
  <c r="AI158" i="82" s="1"/>
  <c r="N157" i="82"/>
  <c r="AI157" i="82" s="1"/>
  <c r="N156" i="82"/>
  <c r="AI156" i="82" s="1"/>
  <c r="N155" i="82"/>
  <c r="AI155" i="82" s="1"/>
  <c r="N154" i="82"/>
  <c r="AI154" i="82" s="1"/>
  <c r="N153" i="82"/>
  <c r="AI153" i="82" s="1"/>
  <c r="N152" i="82"/>
  <c r="AI152" i="82" s="1"/>
  <c r="N151" i="82"/>
  <c r="AI151" i="82" s="1"/>
  <c r="N150" i="82"/>
  <c r="AI150" i="82" s="1"/>
  <c r="N149" i="82"/>
  <c r="AI149" i="82" s="1"/>
  <c r="N148" i="82"/>
  <c r="AI148" i="82" s="1"/>
  <c r="N147" i="82"/>
  <c r="AI147" i="82" s="1"/>
  <c r="N146" i="82"/>
  <c r="AI146" i="82" s="1"/>
  <c r="N145" i="82"/>
  <c r="AI145" i="82" s="1"/>
  <c r="N144" i="82"/>
  <c r="AI144" i="82" s="1"/>
  <c r="N143" i="82"/>
  <c r="AI143" i="82" s="1"/>
  <c r="N142" i="82"/>
  <c r="AI142" i="82" s="1"/>
  <c r="N141" i="82"/>
  <c r="AI141" i="82" s="1"/>
  <c r="N140" i="82"/>
  <c r="AI140" i="82" s="1"/>
  <c r="N139" i="82"/>
  <c r="AI139" i="82" s="1"/>
  <c r="N138" i="82"/>
  <c r="AI138" i="82" s="1"/>
  <c r="N137" i="82"/>
  <c r="AI137" i="82" s="1"/>
  <c r="N136" i="82"/>
  <c r="AI136" i="82" s="1"/>
  <c r="N135" i="82"/>
  <c r="AI135" i="82" s="1"/>
  <c r="N134" i="82"/>
  <c r="AI134" i="82" s="1"/>
  <c r="N133" i="82"/>
  <c r="AI133" i="82" s="1"/>
  <c r="N132" i="82"/>
  <c r="AI132" i="82" s="1"/>
  <c r="N131" i="82"/>
  <c r="AI131" i="82" s="1"/>
  <c r="N130" i="82"/>
  <c r="AI130" i="82" s="1"/>
  <c r="N129" i="82"/>
  <c r="AI129" i="82" s="1"/>
  <c r="N128" i="82"/>
  <c r="AI128" i="82" s="1"/>
  <c r="N127" i="82"/>
  <c r="AI127" i="82" s="1"/>
  <c r="N126" i="82"/>
  <c r="AI126" i="82" s="1"/>
  <c r="N125" i="82"/>
  <c r="AI125" i="82" s="1"/>
  <c r="N124" i="82"/>
  <c r="AI124" i="82" s="1"/>
  <c r="N123" i="82"/>
  <c r="AI123" i="82" s="1"/>
  <c r="AG122" i="82"/>
  <c r="AC122" i="82"/>
  <c r="N122" i="82"/>
  <c r="N121" i="82"/>
  <c r="AG121" i="82" s="1"/>
  <c r="AG120" i="82"/>
  <c r="AC120" i="82"/>
  <c r="N120" i="82"/>
  <c r="N119" i="82"/>
  <c r="AG119" i="82" s="1"/>
  <c r="AG118" i="82"/>
  <c r="AC118" i="82"/>
  <c r="N118" i="82"/>
  <c r="AI117" i="82"/>
  <c r="AE117" i="82"/>
  <c r="AA117" i="82"/>
  <c r="O117" i="82"/>
  <c r="N117" i="82"/>
  <c r="AJ116" i="82"/>
  <c r="AH116" i="82"/>
  <c r="AF116" i="82"/>
  <c r="AD116" i="82"/>
  <c r="AB116" i="82"/>
  <c r="Z116" i="82"/>
  <c r="O116" i="82"/>
  <c r="N116" i="82"/>
  <c r="AI116" i="82" s="1"/>
  <c r="AJ115" i="82"/>
  <c r="AH115" i="82"/>
  <c r="AF115" i="82"/>
  <c r="AD115" i="82"/>
  <c r="AB115" i="82"/>
  <c r="Z115" i="82"/>
  <c r="O115" i="82"/>
  <c r="N115" i="82"/>
  <c r="AI115" i="82" s="1"/>
  <c r="AJ114" i="82"/>
  <c r="AH114" i="82"/>
  <c r="AF114" i="82"/>
  <c r="AD114" i="82"/>
  <c r="AB114" i="82"/>
  <c r="Z114" i="82"/>
  <c r="O114" i="82"/>
  <c r="N114" i="82"/>
  <c r="AI114" i="82" s="1"/>
  <c r="AJ113" i="82"/>
  <c r="AH113" i="82"/>
  <c r="AF113" i="82"/>
  <c r="AD113" i="82"/>
  <c r="AB113" i="82"/>
  <c r="Z113" i="82"/>
  <c r="O113" i="82"/>
  <c r="N113" i="82"/>
  <c r="AI113" i="82" s="1"/>
  <c r="AJ112" i="82"/>
  <c r="AH112" i="82"/>
  <c r="AF112" i="82"/>
  <c r="AD112" i="82"/>
  <c r="AB112" i="82"/>
  <c r="Z112" i="82"/>
  <c r="O112" i="82"/>
  <c r="N112" i="82"/>
  <c r="AI112" i="82" s="1"/>
  <c r="AJ111" i="82"/>
  <c r="AH111" i="82"/>
  <c r="AF111" i="82"/>
  <c r="AD111" i="82"/>
  <c r="AB111" i="82"/>
  <c r="Z111" i="82"/>
  <c r="O111" i="82"/>
  <c r="N111" i="82"/>
  <c r="AI111" i="82" s="1"/>
  <c r="AJ110" i="82"/>
  <c r="AH110" i="82"/>
  <c r="AF110" i="82"/>
  <c r="AD110" i="82"/>
  <c r="AB110" i="82"/>
  <c r="Z110" i="82"/>
  <c r="O110" i="82"/>
  <c r="N110" i="82"/>
  <c r="AI110" i="82" s="1"/>
  <c r="AJ109" i="82"/>
  <c r="AH109" i="82"/>
  <c r="AF109" i="82"/>
  <c r="AD109" i="82"/>
  <c r="AB109" i="82"/>
  <c r="Z109" i="82"/>
  <c r="O109" i="82"/>
  <c r="N109" i="82"/>
  <c r="AI109" i="82" s="1"/>
  <c r="AJ108" i="82"/>
  <c r="AH108" i="82"/>
  <c r="AF108" i="82"/>
  <c r="AD108" i="82"/>
  <c r="AB108" i="82"/>
  <c r="Z108" i="82"/>
  <c r="O108" i="82"/>
  <c r="N108" i="82"/>
  <c r="AI108" i="82" s="1"/>
  <c r="AJ107" i="82"/>
  <c r="AH107" i="82"/>
  <c r="AF107" i="82"/>
  <c r="AD107" i="82"/>
  <c r="AB107" i="82"/>
  <c r="Z107" i="82"/>
  <c r="O107" i="82"/>
  <c r="N107" i="82"/>
  <c r="AI107" i="82" s="1"/>
  <c r="AJ106" i="82"/>
  <c r="AH106" i="82"/>
  <c r="AF106" i="82"/>
  <c r="AD106" i="82"/>
  <c r="AB106" i="82"/>
  <c r="Z106" i="82"/>
  <c r="O106" i="82"/>
  <c r="N106" i="82"/>
  <c r="AI106" i="82" s="1"/>
  <c r="AJ105" i="82"/>
  <c r="AH105" i="82"/>
  <c r="AF105" i="82"/>
  <c r="AD105" i="82"/>
  <c r="AB105" i="82"/>
  <c r="Z105" i="82"/>
  <c r="O105" i="82"/>
  <c r="N105" i="82"/>
  <c r="AI105" i="82" s="1"/>
  <c r="AJ104" i="82"/>
  <c r="AH104" i="82"/>
  <c r="AF104" i="82"/>
  <c r="AD104" i="82"/>
  <c r="AB104" i="82"/>
  <c r="Z104" i="82"/>
  <c r="O104" i="82"/>
  <c r="N104" i="82"/>
  <c r="AI104" i="82" s="1"/>
  <c r="AJ103" i="82"/>
  <c r="AH103" i="82"/>
  <c r="AF103" i="82"/>
  <c r="AD103" i="82"/>
  <c r="AB103" i="82"/>
  <c r="Z103" i="82"/>
  <c r="O103" i="82"/>
  <c r="N103" i="82"/>
  <c r="AI103" i="82" s="1"/>
  <c r="AJ102" i="82"/>
  <c r="AH102" i="82"/>
  <c r="AF102" i="82"/>
  <c r="AD102" i="82"/>
  <c r="AB102" i="82"/>
  <c r="Z102" i="82"/>
  <c r="O102" i="82"/>
  <c r="N102" i="82"/>
  <c r="AI102" i="82" s="1"/>
  <c r="AJ101" i="82"/>
  <c r="AH101" i="82"/>
  <c r="AF101" i="82"/>
  <c r="AD101" i="82"/>
  <c r="AB101" i="82"/>
  <c r="Z101" i="82"/>
  <c r="O101" i="82"/>
  <c r="N101" i="82"/>
  <c r="AI101" i="82" s="1"/>
  <c r="AJ100" i="82"/>
  <c r="AH100" i="82"/>
  <c r="AF100" i="82"/>
  <c r="AD100" i="82"/>
  <c r="AB100" i="82"/>
  <c r="Z100" i="82"/>
  <c r="O100" i="82"/>
  <c r="N100" i="82"/>
  <c r="AI100" i="82" s="1"/>
  <c r="AJ99" i="82"/>
  <c r="AH99" i="82"/>
  <c r="AF99" i="82"/>
  <c r="AD99" i="82"/>
  <c r="AB99" i="82"/>
  <c r="Z99" i="82"/>
  <c r="O99" i="82"/>
  <c r="N99" i="82"/>
  <c r="AI99" i="82" s="1"/>
  <c r="AJ98" i="82"/>
  <c r="AH98" i="82"/>
  <c r="AF98" i="82"/>
  <c r="AD98" i="82"/>
  <c r="AB98" i="82"/>
  <c r="Z98" i="82"/>
  <c r="O98" i="82"/>
  <c r="N98" i="82"/>
  <c r="AI98" i="82" s="1"/>
  <c r="AJ97" i="82"/>
  <c r="AH97" i="82"/>
  <c r="AF97" i="82"/>
  <c r="AD97" i="82"/>
  <c r="AB97" i="82"/>
  <c r="Z97" i="82"/>
  <c r="O97" i="82"/>
  <c r="N97" i="82"/>
  <c r="AI97" i="82" s="1"/>
  <c r="AJ96" i="82"/>
  <c r="AH96" i="82"/>
  <c r="AF96" i="82"/>
  <c r="AD96" i="82"/>
  <c r="AB96" i="82"/>
  <c r="Z96" i="82"/>
  <c r="O96" i="82"/>
  <c r="N96" i="82"/>
  <c r="AI96" i="82" s="1"/>
  <c r="AJ95" i="82"/>
  <c r="AH95" i="82"/>
  <c r="AF95" i="82"/>
  <c r="AD95" i="82"/>
  <c r="AB95" i="82"/>
  <c r="Z95" i="82"/>
  <c r="O95" i="82"/>
  <c r="N95" i="82"/>
  <c r="AI95" i="82" s="1"/>
  <c r="AJ94" i="82"/>
  <c r="AH94" i="82"/>
  <c r="AF94" i="82"/>
  <c r="AD94" i="82"/>
  <c r="AB94" i="82"/>
  <c r="Z94" i="82"/>
  <c r="O94" i="82"/>
  <c r="N94" i="82"/>
  <c r="AI94" i="82" s="1"/>
  <c r="AJ93" i="82"/>
  <c r="AH93" i="82"/>
  <c r="AF93" i="82"/>
  <c r="AD93" i="82"/>
  <c r="AB93" i="82"/>
  <c r="Z93" i="82"/>
  <c r="O93" i="82"/>
  <c r="N93" i="82"/>
  <c r="AI93" i="82" s="1"/>
  <c r="AJ92" i="82"/>
  <c r="AH92" i="82"/>
  <c r="AF92" i="82"/>
  <c r="AD92" i="82"/>
  <c r="AB92" i="82"/>
  <c r="Z92" i="82"/>
  <c r="O92" i="82"/>
  <c r="N92" i="82"/>
  <c r="AI92" i="82" s="1"/>
  <c r="AJ91" i="82"/>
  <c r="AH91" i="82"/>
  <c r="AF91" i="82"/>
  <c r="AD91" i="82"/>
  <c r="AB91" i="82"/>
  <c r="Z91" i="82"/>
  <c r="O91" i="82"/>
  <c r="N91" i="82"/>
  <c r="AI91" i="82" s="1"/>
  <c r="AJ90" i="82"/>
  <c r="AH90" i="82"/>
  <c r="AF90" i="82"/>
  <c r="AD90" i="82"/>
  <c r="AB90" i="82"/>
  <c r="Z90" i="82"/>
  <c r="O90" i="82"/>
  <c r="N90" i="82"/>
  <c r="AI90" i="82" s="1"/>
  <c r="AJ89" i="82"/>
  <c r="AH89" i="82"/>
  <c r="AF89" i="82"/>
  <c r="AD89" i="82"/>
  <c r="AB89" i="82"/>
  <c r="Z89" i="82"/>
  <c r="O89" i="82"/>
  <c r="N89" i="82"/>
  <c r="AI89" i="82" s="1"/>
  <c r="AJ88" i="82"/>
  <c r="AH88" i="82"/>
  <c r="AF88" i="82"/>
  <c r="AD88" i="82"/>
  <c r="AB88" i="82"/>
  <c r="Z88" i="82"/>
  <c r="O88" i="82"/>
  <c r="N88" i="82"/>
  <c r="AI88" i="82" s="1"/>
  <c r="AJ87" i="82"/>
  <c r="AH87" i="82"/>
  <c r="AF87" i="82"/>
  <c r="AD87" i="82"/>
  <c r="AB87" i="82"/>
  <c r="Z87" i="82"/>
  <c r="O87" i="82"/>
  <c r="N87" i="82"/>
  <c r="AI87" i="82" s="1"/>
  <c r="AJ86" i="82"/>
  <c r="AH86" i="82"/>
  <c r="AF86" i="82"/>
  <c r="AD86" i="82"/>
  <c r="AB86" i="82"/>
  <c r="Z86" i="82"/>
  <c r="O86" i="82"/>
  <c r="N86" i="82"/>
  <c r="AI86" i="82" s="1"/>
  <c r="I84" i="82"/>
  <c r="N83" i="82"/>
  <c r="O83" i="82" s="1"/>
  <c r="N82" i="82"/>
  <c r="AI82" i="82" s="1"/>
  <c r="N81" i="82"/>
  <c r="AI81" i="82" s="1"/>
  <c r="N80" i="82"/>
  <c r="AI80" i="82" s="1"/>
  <c r="N79" i="82"/>
  <c r="AI79" i="82" s="1"/>
  <c r="N78" i="82"/>
  <c r="AI78" i="82" s="1"/>
  <c r="N77" i="82"/>
  <c r="AI77" i="82" s="1"/>
  <c r="N76" i="82"/>
  <c r="AI76" i="82" s="1"/>
  <c r="N75" i="82"/>
  <c r="AI75" i="82" s="1"/>
  <c r="N74" i="82"/>
  <c r="AI74" i="82" s="1"/>
  <c r="N73" i="82"/>
  <c r="AI73" i="82" s="1"/>
  <c r="N72" i="82"/>
  <c r="AI72" i="82" s="1"/>
  <c r="N71" i="82"/>
  <c r="AI71" i="82" s="1"/>
  <c r="N70" i="82"/>
  <c r="AI70" i="82" s="1"/>
  <c r="N69" i="82"/>
  <c r="AI69" i="82" s="1"/>
  <c r="N68" i="82"/>
  <c r="AI68" i="82" s="1"/>
  <c r="N67" i="82"/>
  <c r="AI67" i="82" s="1"/>
  <c r="N66" i="82"/>
  <c r="AI66" i="82" s="1"/>
  <c r="N65" i="82"/>
  <c r="AI65" i="82" s="1"/>
  <c r="N64" i="82"/>
  <c r="AI64" i="82" s="1"/>
  <c r="N63" i="82"/>
  <c r="AI63" i="82" s="1"/>
  <c r="N62" i="82"/>
  <c r="AI62" i="82" s="1"/>
  <c r="N61" i="82"/>
  <c r="AI61" i="82" s="1"/>
  <c r="N60" i="82"/>
  <c r="AI60" i="82" s="1"/>
  <c r="N59" i="82"/>
  <c r="AI59" i="82" s="1"/>
  <c r="N58" i="82"/>
  <c r="AI58" i="82" s="1"/>
  <c r="N57" i="82"/>
  <c r="AI57" i="82" s="1"/>
  <c r="N56" i="82"/>
  <c r="AI56" i="82" s="1"/>
  <c r="N55" i="82"/>
  <c r="AI55" i="82" s="1"/>
  <c r="N54" i="82"/>
  <c r="AI54" i="82" s="1"/>
  <c r="N53" i="82"/>
  <c r="AI53" i="82" s="1"/>
  <c r="N52" i="82"/>
  <c r="AI52" i="82" s="1"/>
  <c r="N51" i="82"/>
  <c r="AI51" i="82" s="1"/>
  <c r="N50" i="82"/>
  <c r="AI50" i="82" s="1"/>
  <c r="N49" i="82"/>
  <c r="AI49" i="82" s="1"/>
  <c r="AJ48" i="82"/>
  <c r="AI48" i="82"/>
  <c r="AH48" i="82"/>
  <c r="AG48" i="82"/>
  <c r="AF48" i="82"/>
  <c r="AE48" i="82"/>
  <c r="AD48" i="82"/>
  <c r="AC48" i="82"/>
  <c r="AB48" i="82"/>
  <c r="AA48" i="82"/>
  <c r="Z48" i="82"/>
  <c r="O48" i="82"/>
  <c r="AJ47" i="82"/>
  <c r="AH47" i="82"/>
  <c r="AF47" i="82"/>
  <c r="AD47" i="82"/>
  <c r="AB47" i="82"/>
  <c r="Z47" i="82"/>
  <c r="O47" i="82"/>
  <c r="N47" i="82"/>
  <c r="AI47" i="82" s="1"/>
  <c r="AJ46" i="82"/>
  <c r="AH46" i="82"/>
  <c r="AF46" i="82"/>
  <c r="AD46" i="82"/>
  <c r="AB46" i="82"/>
  <c r="Z46" i="82"/>
  <c r="O46" i="82"/>
  <c r="N46" i="82"/>
  <c r="AI46" i="82" s="1"/>
  <c r="AJ45" i="82"/>
  <c r="AH45" i="82"/>
  <c r="AF45" i="82"/>
  <c r="AD45" i="82"/>
  <c r="AB45" i="82"/>
  <c r="Z45" i="82"/>
  <c r="O45" i="82"/>
  <c r="N45" i="82"/>
  <c r="AI45" i="82" s="1"/>
  <c r="AJ44" i="82"/>
  <c r="AH44" i="82"/>
  <c r="AF44" i="82"/>
  <c r="AD44" i="82"/>
  <c r="AB44" i="82"/>
  <c r="Z44" i="82"/>
  <c r="O44" i="82"/>
  <c r="N44" i="82"/>
  <c r="AI44" i="82" s="1"/>
  <c r="AJ43" i="82"/>
  <c r="AH43" i="82"/>
  <c r="AF43" i="82"/>
  <c r="AD43" i="82"/>
  <c r="AB43" i="82"/>
  <c r="Z43" i="82"/>
  <c r="O43" i="82"/>
  <c r="N43" i="82"/>
  <c r="AI43" i="82" s="1"/>
  <c r="AJ42" i="82"/>
  <c r="AH42" i="82"/>
  <c r="AF42" i="82"/>
  <c r="AD42" i="82"/>
  <c r="AB42" i="82"/>
  <c r="Z42" i="82"/>
  <c r="O42" i="82"/>
  <c r="N42" i="82"/>
  <c r="AI42" i="82" s="1"/>
  <c r="AJ41" i="82"/>
  <c r="AH41" i="82"/>
  <c r="AF41" i="82"/>
  <c r="AD41" i="82"/>
  <c r="AB41" i="82"/>
  <c r="Z41" i="82"/>
  <c r="O41" i="82"/>
  <c r="N41" i="82"/>
  <c r="AI41" i="82" s="1"/>
  <c r="AJ40" i="82"/>
  <c r="AH40" i="82"/>
  <c r="AF40" i="82"/>
  <c r="AD40" i="82"/>
  <c r="AB40" i="82"/>
  <c r="Z40" i="82"/>
  <c r="O40" i="82"/>
  <c r="N40" i="82"/>
  <c r="AI40" i="82" s="1"/>
  <c r="AJ39" i="82"/>
  <c r="AH39" i="82"/>
  <c r="AF39" i="82"/>
  <c r="AD39" i="82"/>
  <c r="AB39" i="82"/>
  <c r="Z39" i="82"/>
  <c r="O39" i="82"/>
  <c r="N39" i="82"/>
  <c r="AI39" i="82" s="1"/>
  <c r="AJ38" i="82"/>
  <c r="AH38" i="82"/>
  <c r="AF38" i="82"/>
  <c r="AD38" i="82"/>
  <c r="AB38" i="82"/>
  <c r="Z38" i="82"/>
  <c r="O38" i="82"/>
  <c r="N38" i="82"/>
  <c r="AI38" i="82" s="1"/>
  <c r="AJ37" i="82"/>
  <c r="AH37" i="82"/>
  <c r="AF37" i="82"/>
  <c r="AD37" i="82"/>
  <c r="AB37" i="82"/>
  <c r="Z37" i="82"/>
  <c r="O37" i="82"/>
  <c r="N37" i="82"/>
  <c r="AI37" i="82" s="1"/>
  <c r="AJ36" i="82"/>
  <c r="AH36" i="82"/>
  <c r="AF36" i="82"/>
  <c r="AD36" i="82"/>
  <c r="AB36" i="82"/>
  <c r="Z36" i="82"/>
  <c r="O36" i="82"/>
  <c r="N36" i="82"/>
  <c r="AI36" i="82" s="1"/>
  <c r="AJ35" i="82"/>
  <c r="AH35" i="82"/>
  <c r="AF35" i="82"/>
  <c r="AD35" i="82"/>
  <c r="AB35" i="82"/>
  <c r="Z35" i="82"/>
  <c r="O35" i="82"/>
  <c r="N35" i="82"/>
  <c r="AI35" i="82" s="1"/>
  <c r="AJ34" i="82"/>
  <c r="AH34" i="82"/>
  <c r="AF34" i="82"/>
  <c r="AD34" i="82"/>
  <c r="AB34" i="82"/>
  <c r="Z34" i="82"/>
  <c r="O34" i="82"/>
  <c r="N34" i="82"/>
  <c r="AI34" i="82" s="1"/>
  <c r="AJ33" i="82"/>
  <c r="AH33" i="82"/>
  <c r="AF33" i="82"/>
  <c r="AD33" i="82"/>
  <c r="AB33" i="82"/>
  <c r="Z33" i="82"/>
  <c r="O33" i="82"/>
  <c r="N33" i="82"/>
  <c r="AI33" i="82" s="1"/>
  <c r="AJ32" i="82"/>
  <c r="AH32" i="82"/>
  <c r="AF32" i="82"/>
  <c r="AD32" i="82"/>
  <c r="AB32" i="82"/>
  <c r="Z32" i="82"/>
  <c r="O32" i="82"/>
  <c r="N32" i="82"/>
  <c r="AI32" i="82" s="1"/>
  <c r="AJ31" i="82"/>
  <c r="AH31" i="82"/>
  <c r="AF31" i="82"/>
  <c r="AD31" i="82"/>
  <c r="AB31" i="82"/>
  <c r="Z31" i="82"/>
  <c r="O31" i="82"/>
  <c r="N31" i="82"/>
  <c r="AI31" i="82" s="1"/>
  <c r="AJ30" i="82"/>
  <c r="AH30" i="82"/>
  <c r="AF30" i="82"/>
  <c r="AD30" i="82"/>
  <c r="AB30" i="82"/>
  <c r="Z30" i="82"/>
  <c r="O30" i="82"/>
  <c r="N30" i="82"/>
  <c r="AI30" i="82" s="1"/>
  <c r="AJ29" i="82"/>
  <c r="AH29" i="82"/>
  <c r="AF29" i="82"/>
  <c r="AD29" i="82"/>
  <c r="AB29" i="82"/>
  <c r="Z29" i="82"/>
  <c r="O29" i="82"/>
  <c r="N29" i="82"/>
  <c r="AI29" i="82" s="1"/>
  <c r="AJ28" i="82"/>
  <c r="AH28" i="82"/>
  <c r="AF28" i="82"/>
  <c r="AD28" i="82"/>
  <c r="AB28" i="82"/>
  <c r="Z28" i="82"/>
  <c r="O28" i="82"/>
  <c r="N28" i="82"/>
  <c r="AI28" i="82" s="1"/>
  <c r="AJ27" i="82"/>
  <c r="AH27" i="82"/>
  <c r="AF27" i="82"/>
  <c r="AD27" i="82"/>
  <c r="AB27" i="82"/>
  <c r="Z27" i="82"/>
  <c r="O27" i="82"/>
  <c r="N27" i="82"/>
  <c r="AI27" i="82" s="1"/>
  <c r="AJ26" i="82"/>
  <c r="AH26" i="82"/>
  <c r="AF26" i="82"/>
  <c r="AD26" i="82"/>
  <c r="AB26" i="82"/>
  <c r="Z26" i="82"/>
  <c r="O26" i="82"/>
  <c r="N26" i="82"/>
  <c r="AI26" i="82" s="1"/>
  <c r="AJ25" i="82"/>
  <c r="AH25" i="82"/>
  <c r="AF25" i="82"/>
  <c r="AD25" i="82"/>
  <c r="AB25" i="82"/>
  <c r="Z25" i="82"/>
  <c r="O25" i="82"/>
  <c r="N25" i="82"/>
  <c r="AI25" i="82" s="1"/>
  <c r="AJ24" i="82"/>
  <c r="AH24" i="82"/>
  <c r="AF24" i="82"/>
  <c r="AD24" i="82"/>
  <c r="AB24" i="82"/>
  <c r="Z24" i="82"/>
  <c r="O24" i="82"/>
  <c r="N24" i="82"/>
  <c r="AI24" i="82" s="1"/>
  <c r="AJ23" i="82"/>
  <c r="AI23" i="82"/>
  <c r="AH23" i="82"/>
  <c r="AG23" i="82"/>
  <c r="AF23" i="82"/>
  <c r="AE23" i="82"/>
  <c r="AD23" i="82"/>
  <c r="AC23" i="82"/>
  <c r="AB23" i="82"/>
  <c r="AA23" i="82"/>
  <c r="Z23" i="82"/>
  <c r="O23" i="82"/>
  <c r="AJ22" i="82"/>
  <c r="AI22" i="82"/>
  <c r="AH22" i="82"/>
  <c r="AG22" i="82"/>
  <c r="AF22" i="82"/>
  <c r="AE22" i="82"/>
  <c r="AD22" i="82"/>
  <c r="AC22" i="82"/>
  <c r="AB22" i="82"/>
  <c r="AA22" i="82"/>
  <c r="Z22" i="82"/>
  <c r="Y22" i="82"/>
  <c r="O22" i="82"/>
  <c r="AJ21" i="82"/>
  <c r="AI21" i="82"/>
  <c r="AH21" i="82"/>
  <c r="AG21" i="82"/>
  <c r="AF21" i="82"/>
  <c r="AE21" i="82"/>
  <c r="AD21" i="82"/>
  <c r="AC21" i="82"/>
  <c r="AB21" i="82"/>
  <c r="AA21" i="82"/>
  <c r="Z21" i="82"/>
  <c r="O21" i="82"/>
  <c r="AJ20" i="82"/>
  <c r="AI20" i="82"/>
  <c r="AH20" i="82"/>
  <c r="AG20" i="82"/>
  <c r="AF20" i="82"/>
  <c r="AE20" i="82"/>
  <c r="AD20" i="82"/>
  <c r="AC20" i="82"/>
  <c r="AB20" i="82"/>
  <c r="AA20" i="82"/>
  <c r="Z20" i="82"/>
  <c r="Y20" i="82"/>
  <c r="O20" i="82"/>
  <c r="AJ19" i="82"/>
  <c r="AI19" i="82"/>
  <c r="AH19" i="82"/>
  <c r="AG19" i="82"/>
  <c r="AF19" i="82"/>
  <c r="AE19" i="82"/>
  <c r="AD19" i="82"/>
  <c r="AC19" i="82"/>
  <c r="AB19" i="82"/>
  <c r="AA19" i="82"/>
  <c r="Z19" i="82"/>
  <c r="O19" i="82"/>
  <c r="AJ18" i="82"/>
  <c r="AI18" i="82"/>
  <c r="AH18" i="82"/>
  <c r="AG18" i="82"/>
  <c r="AF18" i="82"/>
  <c r="AE18" i="82"/>
  <c r="AD18" i="82"/>
  <c r="AC18" i="82"/>
  <c r="AB18" i="82"/>
  <c r="AA18" i="82"/>
  <c r="Z18" i="82"/>
  <c r="Y18" i="82"/>
  <c r="O18" i="82"/>
  <c r="AJ17" i="82"/>
  <c r="AI17" i="82"/>
  <c r="AH17" i="82"/>
  <c r="AG17" i="82"/>
  <c r="AF17" i="82"/>
  <c r="AE17" i="82"/>
  <c r="AD17" i="82"/>
  <c r="AC17" i="82"/>
  <c r="AB17" i="82"/>
  <c r="AA17" i="82"/>
  <c r="Z17" i="82"/>
  <c r="O17" i="82"/>
  <c r="AJ16" i="82"/>
  <c r="AI16" i="82"/>
  <c r="AH16" i="82"/>
  <c r="AG16" i="82"/>
  <c r="AF16" i="82"/>
  <c r="AE16" i="82"/>
  <c r="AD16" i="82"/>
  <c r="AC16" i="82"/>
  <c r="AB16" i="82"/>
  <c r="AA16" i="82"/>
  <c r="Z16" i="82"/>
  <c r="Y16" i="82"/>
  <c r="O16" i="82"/>
  <c r="AJ15" i="82"/>
  <c r="AI15" i="82"/>
  <c r="AH15" i="82"/>
  <c r="AG15" i="82"/>
  <c r="AF15" i="82"/>
  <c r="AE15" i="82"/>
  <c r="AD15" i="82"/>
  <c r="AC15" i="82"/>
  <c r="AB15" i="82"/>
  <c r="AA15" i="82"/>
  <c r="Z15" i="82"/>
  <c r="O15" i="82"/>
  <c r="AJ14" i="82"/>
  <c r="AI14" i="82"/>
  <c r="AH14" i="82"/>
  <c r="AG14" i="82"/>
  <c r="AF14" i="82"/>
  <c r="AE14" i="82"/>
  <c r="AD14" i="82"/>
  <c r="AC14" i="82"/>
  <c r="AB14" i="82"/>
  <c r="AA14" i="82"/>
  <c r="Z14" i="82"/>
  <c r="Y14" i="82"/>
  <c r="O14" i="82"/>
  <c r="AJ13" i="82"/>
  <c r="AH13" i="82"/>
  <c r="AF13" i="82"/>
  <c r="AD13" i="82"/>
  <c r="AB13" i="82"/>
  <c r="Z13" i="82"/>
  <c r="O13" i="82"/>
  <c r="N13" i="82"/>
  <c r="AI13" i="82" s="1"/>
  <c r="AJ12" i="82"/>
  <c r="AH12" i="82"/>
  <c r="AF12" i="82"/>
  <c r="AD12" i="82"/>
  <c r="AB12" i="82"/>
  <c r="Z12" i="82"/>
  <c r="O12" i="82"/>
  <c r="N12" i="82"/>
  <c r="AI12" i="82" s="1"/>
  <c r="AJ11" i="82"/>
  <c r="AH11" i="82"/>
  <c r="AF11" i="82"/>
  <c r="AD11" i="82"/>
  <c r="AB11" i="82"/>
  <c r="Z11" i="82"/>
  <c r="O11" i="82"/>
  <c r="N11" i="82"/>
  <c r="AI11" i="82" s="1"/>
  <c r="AJ10" i="82"/>
  <c r="AH10" i="82"/>
  <c r="AF10" i="82"/>
  <c r="AD10" i="82"/>
  <c r="AB10" i="82"/>
  <c r="Z10" i="82"/>
  <c r="O10" i="82"/>
  <c r="N10" i="82"/>
  <c r="AI10" i="82" s="1"/>
  <c r="AJ9" i="82"/>
  <c r="AH9" i="82"/>
  <c r="AF9" i="82"/>
  <c r="AD9" i="82"/>
  <c r="AB9" i="82"/>
  <c r="Z9" i="82"/>
  <c r="O9" i="82"/>
  <c r="N9" i="82"/>
  <c r="AI9" i="82" s="1"/>
  <c r="AJ8" i="82"/>
  <c r="AI8" i="82"/>
  <c r="AH8" i="82"/>
  <c r="AG8" i="82"/>
  <c r="AF8" i="82"/>
  <c r="AE8" i="82"/>
  <c r="AD8" i="82"/>
  <c r="AC8" i="82"/>
  <c r="AB8" i="82"/>
  <c r="AA8" i="82"/>
  <c r="Z8" i="82"/>
  <c r="O8" i="82"/>
  <c r="AJ7" i="82"/>
  <c r="AI7" i="82"/>
  <c r="AH7" i="82"/>
  <c r="AG7" i="82"/>
  <c r="AF7" i="82"/>
  <c r="AE7" i="82"/>
  <c r="AD7" i="82"/>
  <c r="AC7" i="82"/>
  <c r="AB7" i="82"/>
  <c r="AA7" i="82"/>
  <c r="Z7" i="82"/>
  <c r="Y7" i="82"/>
  <c r="O7" i="82"/>
  <c r="AJ6" i="82"/>
  <c r="AI6" i="82"/>
  <c r="AH6" i="82"/>
  <c r="AG6" i="82"/>
  <c r="AF6" i="82"/>
  <c r="AE6" i="82"/>
  <c r="AD6" i="82"/>
  <c r="AC6" i="82"/>
  <c r="AB6" i="82"/>
  <c r="AA6" i="82"/>
  <c r="Z6" i="82"/>
  <c r="O6" i="82"/>
  <c r="AJ5" i="82"/>
  <c r="AI5" i="82"/>
  <c r="AH5" i="82"/>
  <c r="AG5" i="82"/>
  <c r="AF5" i="82"/>
  <c r="AE5" i="82"/>
  <c r="AD5" i="82"/>
  <c r="AC5" i="82"/>
  <c r="AB5" i="82"/>
  <c r="AA5" i="82"/>
  <c r="Z5" i="82"/>
  <c r="Y5" i="82"/>
  <c r="O5" i="82"/>
  <c r="AJ4" i="82"/>
  <c r="AI4" i="82"/>
  <c r="AH4" i="82"/>
  <c r="AG4" i="82"/>
  <c r="AF4" i="82"/>
  <c r="AE4" i="82"/>
  <c r="AD4" i="82"/>
  <c r="AC4" i="82"/>
  <c r="AB4" i="82"/>
  <c r="AA4" i="82"/>
  <c r="Z4" i="82"/>
  <c r="O4" i="82"/>
  <c r="N3" i="82"/>
  <c r="AI3" i="82" s="1"/>
  <c r="X2" i="82"/>
  <c r="AI83" i="82" l="1"/>
  <c r="AA3" i="82"/>
  <c r="AC3" i="82"/>
  <c r="AG3" i="82"/>
  <c r="Y300" i="82"/>
  <c r="Y291" i="82"/>
  <c r="Y289" i="82"/>
  <c r="Y286" i="82"/>
  <c r="Y299" i="82"/>
  <c r="Y290" i="82"/>
  <c r="Y287" i="82"/>
  <c r="Y285" i="82"/>
  <c r="Y282" i="82"/>
  <c r="Y283" i="82"/>
  <c r="Y274" i="82"/>
  <c r="Y272" i="82"/>
  <c r="Y266" i="82"/>
  <c r="Y264" i="82"/>
  <c r="Y262" i="82"/>
  <c r="Y260" i="82"/>
  <c r="Y281" i="82"/>
  <c r="Y273" i="82"/>
  <c r="Y267" i="82"/>
  <c r="Y265" i="82"/>
  <c r="Y263" i="82"/>
  <c r="Y261" i="82"/>
  <c r="Y259" i="82"/>
  <c r="Y243" i="82"/>
  <c r="Y241" i="82"/>
  <c r="Y251" i="82"/>
  <c r="Y249" i="82"/>
  <c r="Y242" i="82"/>
  <c r="Y234" i="82"/>
  <c r="Y232" i="82"/>
  <c r="Y230" i="82"/>
  <c r="Y228" i="82"/>
  <c r="Y226" i="82"/>
  <c r="Y248" i="82"/>
  <c r="Y240" i="82"/>
  <c r="Y233" i="82"/>
  <c r="Y231" i="82"/>
  <c r="Y229" i="82"/>
  <c r="Y227" i="82"/>
  <c r="Y198" i="82"/>
  <c r="Y201" i="82"/>
  <c r="Y199" i="82"/>
  <c r="O3" i="82"/>
  <c r="Z3" i="82"/>
  <c r="AB3" i="82"/>
  <c r="AD3" i="82"/>
  <c r="AF3" i="82"/>
  <c r="AH3" i="82"/>
  <c r="AJ3" i="82"/>
  <c r="Y4" i="82"/>
  <c r="Y6" i="82"/>
  <c r="Y8" i="82"/>
  <c r="Y9" i="82"/>
  <c r="AA9" i="82"/>
  <c r="AC9" i="82"/>
  <c r="AE9" i="82"/>
  <c r="AG9" i="82"/>
  <c r="Y10" i="82"/>
  <c r="AA10" i="82"/>
  <c r="AC10" i="82"/>
  <c r="AE10" i="82"/>
  <c r="AG10" i="82"/>
  <c r="Y11" i="82"/>
  <c r="AA11" i="82"/>
  <c r="AC11" i="82"/>
  <c r="AE11" i="82"/>
  <c r="AG11" i="82"/>
  <c r="Y12" i="82"/>
  <c r="AA12" i="82"/>
  <c r="AC12" i="82"/>
  <c r="AE12" i="82"/>
  <c r="AG12" i="82"/>
  <c r="Y13" i="82"/>
  <c r="AA13" i="82"/>
  <c r="AC13" i="82"/>
  <c r="AE13" i="82"/>
  <c r="AG13" i="82"/>
  <c r="Y15" i="82"/>
  <c r="Y17" i="82"/>
  <c r="Y19" i="82"/>
  <c r="Y21" i="82"/>
  <c r="Y23" i="82"/>
  <c r="Y24" i="82"/>
  <c r="AA24" i="82"/>
  <c r="AC24" i="82"/>
  <c r="AE24" i="82"/>
  <c r="AG24" i="82"/>
  <c r="Y25" i="82"/>
  <c r="AA25" i="82"/>
  <c r="AC25" i="82"/>
  <c r="AE25" i="82"/>
  <c r="AG25" i="82"/>
  <c r="Y26" i="82"/>
  <c r="AA26" i="82"/>
  <c r="AC26" i="82"/>
  <c r="AE26" i="82"/>
  <c r="AG26" i="82"/>
  <c r="Y27" i="82"/>
  <c r="AA27" i="82"/>
  <c r="AC27" i="82"/>
  <c r="AE27" i="82"/>
  <c r="AG27" i="82"/>
  <c r="Y28" i="82"/>
  <c r="AA28" i="82"/>
  <c r="AC28" i="82"/>
  <c r="AE28" i="82"/>
  <c r="AG28" i="82"/>
  <c r="Y29" i="82"/>
  <c r="AA29" i="82"/>
  <c r="AC29" i="82"/>
  <c r="AE29" i="82"/>
  <c r="AG29" i="82"/>
  <c r="Y30" i="82"/>
  <c r="AA30" i="82"/>
  <c r="AC30" i="82"/>
  <c r="AE30" i="82"/>
  <c r="AG30" i="82"/>
  <c r="Y31" i="82"/>
  <c r="AA31" i="82"/>
  <c r="AC31" i="82"/>
  <c r="AE31" i="82"/>
  <c r="AG31" i="82"/>
  <c r="Y32" i="82"/>
  <c r="AA32" i="82"/>
  <c r="AC32" i="82"/>
  <c r="AE32" i="82"/>
  <c r="AG32" i="82"/>
  <c r="Y33" i="82"/>
  <c r="AA33" i="82"/>
  <c r="AC33" i="82"/>
  <c r="AE33" i="82"/>
  <c r="AG33" i="82"/>
  <c r="Y34" i="82"/>
  <c r="AA34" i="82"/>
  <c r="AC34" i="82"/>
  <c r="AE34" i="82"/>
  <c r="AG34" i="82"/>
  <c r="Y35" i="82"/>
  <c r="AA35" i="82"/>
  <c r="AC35" i="82"/>
  <c r="AE35" i="82"/>
  <c r="AG35" i="82"/>
  <c r="Y36" i="82"/>
  <c r="AA36" i="82"/>
  <c r="AC36" i="82"/>
  <c r="AE36" i="82"/>
  <c r="AG36" i="82"/>
  <c r="Y37" i="82"/>
  <c r="AA37" i="82"/>
  <c r="AC37" i="82"/>
  <c r="AE37" i="82"/>
  <c r="AG37" i="82"/>
  <c r="Y38" i="82"/>
  <c r="AA38" i="82"/>
  <c r="AC38" i="82"/>
  <c r="AE38" i="82"/>
  <c r="AG38" i="82"/>
  <c r="Y39" i="82"/>
  <c r="AA39" i="82"/>
  <c r="AC39" i="82"/>
  <c r="AE39" i="82"/>
  <c r="AG39" i="82"/>
  <c r="Y40" i="82"/>
  <c r="AA40" i="82"/>
  <c r="AC40" i="82"/>
  <c r="AE40" i="82"/>
  <c r="AG40" i="82"/>
  <c r="Y41" i="82"/>
  <c r="AA41" i="82"/>
  <c r="AC41" i="82"/>
  <c r="AE41" i="82"/>
  <c r="AG41" i="82"/>
  <c r="Y42" i="82"/>
  <c r="AA42" i="82"/>
  <c r="AC42" i="82"/>
  <c r="AE42" i="82"/>
  <c r="AG42" i="82"/>
  <c r="Y43" i="82"/>
  <c r="AA43" i="82"/>
  <c r="AC43" i="82"/>
  <c r="AE43" i="82"/>
  <c r="AG43" i="82"/>
  <c r="Y44" i="82"/>
  <c r="AA44" i="82"/>
  <c r="AC44" i="82"/>
  <c r="AE44" i="82"/>
  <c r="AG44" i="82"/>
  <c r="Y45" i="82"/>
  <c r="AA45" i="82"/>
  <c r="AC45" i="82"/>
  <c r="AE45" i="82"/>
  <c r="AG45" i="82"/>
  <c r="Y46" i="82"/>
  <c r="AA46" i="82"/>
  <c r="AC46" i="82"/>
  <c r="AE46" i="82"/>
  <c r="AG46" i="82"/>
  <c r="Y47" i="82"/>
  <c r="AA47" i="82"/>
  <c r="AC47" i="82"/>
  <c r="AE47" i="82"/>
  <c r="AG47" i="82"/>
  <c r="O49" i="82"/>
  <c r="Z49" i="82"/>
  <c r="AB49" i="82"/>
  <c r="AD49" i="82"/>
  <c r="AF49" i="82"/>
  <c r="AH49" i="82"/>
  <c r="AJ49" i="82"/>
  <c r="O50" i="82"/>
  <c r="Z50" i="82"/>
  <c r="AB50" i="82"/>
  <c r="AD50" i="82"/>
  <c r="AF50" i="82"/>
  <c r="AH50" i="82"/>
  <c r="AJ50" i="82"/>
  <c r="O51" i="82"/>
  <c r="Z51" i="82"/>
  <c r="AB51" i="82"/>
  <c r="AD51" i="82"/>
  <c r="AF51" i="82"/>
  <c r="AH51" i="82"/>
  <c r="AJ51" i="82"/>
  <c r="O52" i="82"/>
  <c r="Z52" i="82"/>
  <c r="AB52" i="82"/>
  <c r="AD52" i="82"/>
  <c r="AF52" i="82"/>
  <c r="AH52" i="82"/>
  <c r="AJ52" i="82"/>
  <c r="O53" i="82"/>
  <c r="Z53" i="82"/>
  <c r="AB53" i="82"/>
  <c r="AD53" i="82"/>
  <c r="AF53" i="82"/>
  <c r="AH53" i="82"/>
  <c r="AJ53" i="82"/>
  <c r="O54" i="82"/>
  <c r="Z54" i="82"/>
  <c r="AB54" i="82"/>
  <c r="AD54" i="82"/>
  <c r="AF54" i="82"/>
  <c r="AH54" i="82"/>
  <c r="AJ54" i="82"/>
  <c r="O55" i="82"/>
  <c r="Z55" i="82"/>
  <c r="AB55" i="82"/>
  <c r="AD55" i="82"/>
  <c r="AF55" i="82"/>
  <c r="AH55" i="82"/>
  <c r="AJ55" i="82"/>
  <c r="O56" i="82"/>
  <c r="Z56" i="82"/>
  <c r="AB56" i="82"/>
  <c r="AD56" i="82"/>
  <c r="AF56" i="82"/>
  <c r="AH56" i="82"/>
  <c r="AJ56" i="82"/>
  <c r="O57" i="82"/>
  <c r="Z57" i="82"/>
  <c r="AB57" i="82"/>
  <c r="AD57" i="82"/>
  <c r="AF57" i="82"/>
  <c r="AH57" i="82"/>
  <c r="AJ57" i="82"/>
  <c r="O58" i="82"/>
  <c r="Z58" i="82"/>
  <c r="AB58" i="82"/>
  <c r="AD58" i="82"/>
  <c r="AF58" i="82"/>
  <c r="AH58" i="82"/>
  <c r="AJ58" i="82"/>
  <c r="O59" i="82"/>
  <c r="Z59" i="82"/>
  <c r="AB59" i="82"/>
  <c r="AD59" i="82"/>
  <c r="AF59" i="82"/>
  <c r="AH59" i="82"/>
  <c r="AJ59" i="82"/>
  <c r="O60" i="82"/>
  <c r="Z60" i="82"/>
  <c r="AB60" i="82"/>
  <c r="AD60" i="82"/>
  <c r="AF60" i="82"/>
  <c r="AH60" i="82"/>
  <c r="AJ60" i="82"/>
  <c r="O61" i="82"/>
  <c r="Z61" i="82"/>
  <c r="AB61" i="82"/>
  <c r="AD61" i="82"/>
  <c r="AF61" i="82"/>
  <c r="AH61" i="82"/>
  <c r="AJ61" i="82"/>
  <c r="O62" i="82"/>
  <c r="Z62" i="82"/>
  <c r="AB62" i="82"/>
  <c r="AD62" i="82"/>
  <c r="AF62" i="82"/>
  <c r="AH62" i="82"/>
  <c r="AJ62" i="82"/>
  <c r="O63" i="82"/>
  <c r="Z63" i="82"/>
  <c r="AB63" i="82"/>
  <c r="AD63" i="82"/>
  <c r="AF63" i="82"/>
  <c r="AH63" i="82"/>
  <c r="AJ63" i="82"/>
  <c r="O64" i="82"/>
  <c r="Z64" i="82"/>
  <c r="AB64" i="82"/>
  <c r="AD64" i="82"/>
  <c r="AF64" i="82"/>
  <c r="AH64" i="82"/>
  <c r="AJ64" i="82"/>
  <c r="O65" i="82"/>
  <c r="Z65" i="82"/>
  <c r="AB65" i="82"/>
  <c r="AD65" i="82"/>
  <c r="AF65" i="82"/>
  <c r="AH65" i="82"/>
  <c r="AJ65" i="82"/>
  <c r="O66" i="82"/>
  <c r="Z66" i="82"/>
  <c r="AB66" i="82"/>
  <c r="AD66" i="82"/>
  <c r="AF66" i="82"/>
  <c r="AH66" i="82"/>
  <c r="AJ66" i="82"/>
  <c r="O67" i="82"/>
  <c r="Z67" i="82"/>
  <c r="AB67" i="82"/>
  <c r="AD67" i="82"/>
  <c r="AF67" i="82"/>
  <c r="AH67" i="82"/>
  <c r="AJ67" i="82"/>
  <c r="O68" i="82"/>
  <c r="Z68" i="82"/>
  <c r="AB68" i="82"/>
  <c r="AD68" i="82"/>
  <c r="AF68" i="82"/>
  <c r="AH68" i="82"/>
  <c r="AJ68" i="82"/>
  <c r="O69" i="82"/>
  <c r="Z69" i="82"/>
  <c r="AB69" i="82"/>
  <c r="AD69" i="82"/>
  <c r="AF69" i="82"/>
  <c r="AH69" i="82"/>
  <c r="AJ69" i="82"/>
  <c r="O70" i="82"/>
  <c r="Z70" i="82"/>
  <c r="AB70" i="82"/>
  <c r="AD70" i="82"/>
  <c r="AF70" i="82"/>
  <c r="AH70" i="82"/>
  <c r="AJ70" i="82"/>
  <c r="O71" i="82"/>
  <c r="Z71" i="82"/>
  <c r="AB71" i="82"/>
  <c r="AD71" i="82"/>
  <c r="AF71" i="82"/>
  <c r="AH71" i="82"/>
  <c r="AJ71" i="82"/>
  <c r="O72" i="82"/>
  <c r="Z72" i="82"/>
  <c r="AB72" i="82"/>
  <c r="AD72" i="82"/>
  <c r="AF72" i="82"/>
  <c r="AH72" i="82"/>
  <c r="AJ72" i="82"/>
  <c r="O73" i="82"/>
  <c r="Z73" i="82"/>
  <c r="AB73" i="82"/>
  <c r="AD73" i="82"/>
  <c r="AF73" i="82"/>
  <c r="AH73" i="82"/>
  <c r="AJ73" i="82"/>
  <c r="O74" i="82"/>
  <c r="Z74" i="82"/>
  <c r="AB74" i="82"/>
  <c r="AD74" i="82"/>
  <c r="AF74" i="82"/>
  <c r="AH74" i="82"/>
  <c r="AJ74" i="82"/>
  <c r="O75" i="82"/>
  <c r="Z75" i="82"/>
  <c r="AB75" i="82"/>
  <c r="AD75" i="82"/>
  <c r="AF75" i="82"/>
  <c r="AH75" i="82"/>
  <c r="AJ75" i="82"/>
  <c r="O76" i="82"/>
  <c r="Z76" i="82"/>
  <c r="AB76" i="82"/>
  <c r="AD76" i="82"/>
  <c r="AF76" i="82"/>
  <c r="AH76" i="82"/>
  <c r="AJ76" i="82"/>
  <c r="O77" i="82"/>
  <c r="Z77" i="82"/>
  <c r="AB77" i="82"/>
  <c r="AD77" i="82"/>
  <c r="AF77" i="82"/>
  <c r="AH77" i="82"/>
  <c r="AJ77" i="82"/>
  <c r="O78" i="82"/>
  <c r="Z78" i="82"/>
  <c r="AB78" i="82"/>
  <c r="AD78" i="82"/>
  <c r="AF78" i="82"/>
  <c r="AH78" i="82"/>
  <c r="AJ78" i="82"/>
  <c r="O79" i="82"/>
  <c r="Z79" i="82"/>
  <c r="AB79" i="82"/>
  <c r="AD79" i="82"/>
  <c r="AF79" i="82"/>
  <c r="AH79" i="82"/>
  <c r="AJ79" i="82"/>
  <c r="O80" i="82"/>
  <c r="Z80" i="82"/>
  <c r="AB80" i="82"/>
  <c r="AD80" i="82"/>
  <c r="AF80" i="82"/>
  <c r="AH80" i="82"/>
  <c r="AJ80" i="82"/>
  <c r="O81" i="82"/>
  <c r="Z81" i="82"/>
  <c r="AB81" i="82"/>
  <c r="AD81" i="82"/>
  <c r="AF81" i="82"/>
  <c r="AH81" i="82"/>
  <c r="AJ81" i="82"/>
  <c r="O82" i="82"/>
  <c r="Z82" i="82"/>
  <c r="AB82" i="82"/>
  <c r="AD82" i="82"/>
  <c r="AF82" i="82"/>
  <c r="AH82" i="82"/>
  <c r="AJ82" i="82"/>
  <c r="Y86" i="82"/>
  <c r="AA86" i="82"/>
  <c r="AC86" i="82"/>
  <c r="AE86" i="82"/>
  <c r="AG86" i="82"/>
  <c r="Y87" i="82"/>
  <c r="AA87" i="82"/>
  <c r="AC87" i="82"/>
  <c r="AE87" i="82"/>
  <c r="AG87" i="82"/>
  <c r="Y88" i="82"/>
  <c r="AA88" i="82"/>
  <c r="AC88" i="82"/>
  <c r="AE88" i="82"/>
  <c r="AG88" i="82"/>
  <c r="Y89" i="82"/>
  <c r="AA89" i="82"/>
  <c r="AC89" i="82"/>
  <c r="AE89" i="82"/>
  <c r="AG89" i="82"/>
  <c r="Y90" i="82"/>
  <c r="AA90" i="82"/>
  <c r="AC90" i="82"/>
  <c r="AE90" i="82"/>
  <c r="AG90" i="82"/>
  <c r="Y91" i="82"/>
  <c r="AA91" i="82"/>
  <c r="AC91" i="82"/>
  <c r="AE91" i="82"/>
  <c r="AG91" i="82"/>
  <c r="Y92" i="82"/>
  <c r="AA92" i="82"/>
  <c r="AC92" i="82"/>
  <c r="AE92" i="82"/>
  <c r="AG92" i="82"/>
  <c r="Y93" i="82"/>
  <c r="AA93" i="82"/>
  <c r="AC93" i="82"/>
  <c r="AE93" i="82"/>
  <c r="AG93" i="82"/>
  <c r="Y94" i="82"/>
  <c r="AA94" i="82"/>
  <c r="AC94" i="82"/>
  <c r="AE94" i="82"/>
  <c r="AG94" i="82"/>
  <c r="Y95" i="82"/>
  <c r="AA95" i="82"/>
  <c r="AC95" i="82"/>
  <c r="AE95" i="82"/>
  <c r="AG95" i="82"/>
  <c r="Y96" i="82"/>
  <c r="AA96" i="82"/>
  <c r="AC96" i="82"/>
  <c r="AE96" i="82"/>
  <c r="AG96" i="82"/>
  <c r="Y97" i="82"/>
  <c r="AA97" i="82"/>
  <c r="AC97" i="82"/>
  <c r="AE97" i="82"/>
  <c r="AG97" i="82"/>
  <c r="Y98" i="82"/>
  <c r="AA98" i="82"/>
  <c r="AC98" i="82"/>
  <c r="AE98" i="82"/>
  <c r="AG98" i="82"/>
  <c r="Y99" i="82"/>
  <c r="AA99" i="82"/>
  <c r="AC99" i="82"/>
  <c r="AE99" i="82"/>
  <c r="AG99" i="82"/>
  <c r="Y100" i="82"/>
  <c r="AA100" i="82"/>
  <c r="AC100" i="82"/>
  <c r="AE100" i="82"/>
  <c r="AG100" i="82"/>
  <c r="Y101" i="82"/>
  <c r="AA101" i="82"/>
  <c r="AC101" i="82"/>
  <c r="AE101" i="82"/>
  <c r="AG101" i="82"/>
  <c r="Y102" i="82"/>
  <c r="AA102" i="82"/>
  <c r="AC102" i="82"/>
  <c r="AE102" i="82"/>
  <c r="AG102" i="82"/>
  <c r="Y103" i="82"/>
  <c r="AA103" i="82"/>
  <c r="AC103" i="82"/>
  <c r="AE103" i="82"/>
  <c r="AG103" i="82"/>
  <c r="Y104" i="82"/>
  <c r="AA104" i="82"/>
  <c r="AC104" i="82"/>
  <c r="AE104" i="82"/>
  <c r="AG104" i="82"/>
  <c r="Y105" i="82"/>
  <c r="AA105" i="82"/>
  <c r="AC105" i="82"/>
  <c r="AE105" i="82"/>
  <c r="AG105" i="82"/>
  <c r="Y106" i="82"/>
  <c r="AA106" i="82"/>
  <c r="AC106" i="82"/>
  <c r="AE106" i="82"/>
  <c r="AG106" i="82"/>
  <c r="Y107" i="82"/>
  <c r="AA107" i="82"/>
  <c r="AC107" i="82"/>
  <c r="AE107" i="82"/>
  <c r="AG107" i="82"/>
  <c r="Y108" i="82"/>
  <c r="AA108" i="82"/>
  <c r="AC108" i="82"/>
  <c r="AE108" i="82"/>
  <c r="AG108" i="82"/>
  <c r="Y109" i="82"/>
  <c r="AA109" i="82"/>
  <c r="AC109" i="82"/>
  <c r="AE109" i="82"/>
  <c r="AG109" i="82"/>
  <c r="Y110" i="82"/>
  <c r="AA110" i="82"/>
  <c r="AC110" i="82"/>
  <c r="AE110" i="82"/>
  <c r="AG110" i="82"/>
  <c r="Y111" i="82"/>
  <c r="AA111" i="82"/>
  <c r="AC111" i="82"/>
  <c r="AE111" i="82"/>
  <c r="AG111" i="82"/>
  <c r="Y112" i="82"/>
  <c r="AA112" i="82"/>
  <c r="AC112" i="82"/>
  <c r="AE112" i="82"/>
  <c r="AG112" i="82"/>
  <c r="Y113" i="82"/>
  <c r="AA113" i="82"/>
  <c r="AC113" i="82"/>
  <c r="AE113" i="82"/>
  <c r="AG113" i="82"/>
  <c r="Y114" i="82"/>
  <c r="AA114" i="82"/>
  <c r="AC114" i="82"/>
  <c r="AE114" i="82"/>
  <c r="AG114" i="82"/>
  <c r="Y115" i="82"/>
  <c r="AA115" i="82"/>
  <c r="AC115" i="82"/>
  <c r="AE115" i="82"/>
  <c r="AG115" i="82"/>
  <c r="Y116" i="82"/>
  <c r="AA116" i="82"/>
  <c r="AC116" i="82"/>
  <c r="AE116" i="82"/>
  <c r="AG116" i="82"/>
  <c r="AJ117" i="82"/>
  <c r="AH117" i="82"/>
  <c r="AF117" i="82"/>
  <c r="AD117" i="82"/>
  <c r="AB117" i="82"/>
  <c r="Z117" i="82"/>
  <c r="Y117" i="82"/>
  <c r="AC117" i="82"/>
  <c r="AG117" i="82"/>
  <c r="AJ118" i="82"/>
  <c r="AH118" i="82"/>
  <c r="AF118" i="82"/>
  <c r="AD118" i="82"/>
  <c r="AB118" i="82"/>
  <c r="Z118" i="82"/>
  <c r="O118" i="82"/>
  <c r="AA118" i="82"/>
  <c r="AE118" i="82"/>
  <c r="AI118" i="82"/>
  <c r="AI207" i="82" s="1"/>
  <c r="Y119" i="82"/>
  <c r="AC119" i="82"/>
  <c r="AJ120" i="82"/>
  <c r="AH120" i="82"/>
  <c r="AF120" i="82"/>
  <c r="AD120" i="82"/>
  <c r="AB120" i="82"/>
  <c r="Z120" i="82"/>
  <c r="O120" i="82"/>
  <c r="AA120" i="82"/>
  <c r="AE120" i="82"/>
  <c r="AI120" i="82"/>
  <c r="Y121" i="82"/>
  <c r="AC121" i="82"/>
  <c r="AI122" i="82"/>
  <c r="AJ122" i="82"/>
  <c r="AH122" i="82"/>
  <c r="AF122" i="82"/>
  <c r="AD122" i="82"/>
  <c r="AB122" i="82"/>
  <c r="Z122" i="82"/>
  <c r="O122" i="82"/>
  <c r="AA122" i="82"/>
  <c r="AE122" i="82"/>
  <c r="Y3" i="82"/>
  <c r="AE3" i="82"/>
  <c r="Y48" i="82"/>
  <c r="Y49" i="82"/>
  <c r="AA49" i="82"/>
  <c r="AC49" i="82"/>
  <c r="AE49" i="82"/>
  <c r="AG49" i="82"/>
  <c r="Y50" i="82"/>
  <c r="AA50" i="82"/>
  <c r="AC50" i="82"/>
  <c r="AE50" i="82"/>
  <c r="AG50" i="82"/>
  <c r="Y51" i="82"/>
  <c r="AA51" i="82"/>
  <c r="AC51" i="82"/>
  <c r="AE51" i="82"/>
  <c r="AG51" i="82"/>
  <c r="Y52" i="82"/>
  <c r="AA52" i="82"/>
  <c r="AC52" i="82"/>
  <c r="AE52" i="82"/>
  <c r="AG52" i="82"/>
  <c r="Y53" i="82"/>
  <c r="AA53" i="82"/>
  <c r="AC53" i="82"/>
  <c r="AE53" i="82"/>
  <c r="AG53" i="82"/>
  <c r="Y54" i="82"/>
  <c r="AA54" i="82"/>
  <c r="AC54" i="82"/>
  <c r="AE54" i="82"/>
  <c r="AG54" i="82"/>
  <c r="Y55" i="82"/>
  <c r="AA55" i="82"/>
  <c r="AC55" i="82"/>
  <c r="AE55" i="82"/>
  <c r="AG55" i="82"/>
  <c r="Y56" i="82"/>
  <c r="AA56" i="82"/>
  <c r="AC56" i="82"/>
  <c r="AE56" i="82"/>
  <c r="AG56" i="82"/>
  <c r="Y57" i="82"/>
  <c r="AA57" i="82"/>
  <c r="AC57" i="82"/>
  <c r="AE57" i="82"/>
  <c r="AG57" i="82"/>
  <c r="Y58" i="82"/>
  <c r="AA58" i="82"/>
  <c r="AC58" i="82"/>
  <c r="AE58" i="82"/>
  <c r="AG58" i="82"/>
  <c r="Y59" i="82"/>
  <c r="AA59" i="82"/>
  <c r="AC59" i="82"/>
  <c r="AE59" i="82"/>
  <c r="AG59" i="82"/>
  <c r="Y60" i="82"/>
  <c r="AA60" i="82"/>
  <c r="AC60" i="82"/>
  <c r="AE60" i="82"/>
  <c r="AG60" i="82"/>
  <c r="Y61" i="82"/>
  <c r="AA61" i="82"/>
  <c r="AC61" i="82"/>
  <c r="AE61" i="82"/>
  <c r="AG61" i="82"/>
  <c r="Y62" i="82"/>
  <c r="AA62" i="82"/>
  <c r="AC62" i="82"/>
  <c r="AE62" i="82"/>
  <c r="AG62" i="82"/>
  <c r="Y63" i="82"/>
  <c r="AA63" i="82"/>
  <c r="AC63" i="82"/>
  <c r="AE63" i="82"/>
  <c r="AG63" i="82"/>
  <c r="Y64" i="82"/>
  <c r="AA64" i="82"/>
  <c r="AC64" i="82"/>
  <c r="AE64" i="82"/>
  <c r="AG64" i="82"/>
  <c r="Y65" i="82"/>
  <c r="AA65" i="82"/>
  <c r="AC65" i="82"/>
  <c r="AE65" i="82"/>
  <c r="AG65" i="82"/>
  <c r="Y66" i="82"/>
  <c r="AA66" i="82"/>
  <c r="AC66" i="82"/>
  <c r="AE66" i="82"/>
  <c r="AG66" i="82"/>
  <c r="Y67" i="82"/>
  <c r="AA67" i="82"/>
  <c r="AC67" i="82"/>
  <c r="AE67" i="82"/>
  <c r="AG67" i="82"/>
  <c r="Y68" i="82"/>
  <c r="AA68" i="82"/>
  <c r="AC68" i="82"/>
  <c r="AE68" i="82"/>
  <c r="AG68" i="82"/>
  <c r="Y69" i="82"/>
  <c r="AA69" i="82"/>
  <c r="AC69" i="82"/>
  <c r="AE69" i="82"/>
  <c r="AG69" i="82"/>
  <c r="Y70" i="82"/>
  <c r="AA70" i="82"/>
  <c r="AC70" i="82"/>
  <c r="AE70" i="82"/>
  <c r="AG70" i="82"/>
  <c r="Y71" i="82"/>
  <c r="AA71" i="82"/>
  <c r="AC71" i="82"/>
  <c r="AE71" i="82"/>
  <c r="AG71" i="82"/>
  <c r="Y72" i="82"/>
  <c r="AA72" i="82"/>
  <c r="AC72" i="82"/>
  <c r="AE72" i="82"/>
  <c r="AG72" i="82"/>
  <c r="Y73" i="82"/>
  <c r="AA73" i="82"/>
  <c r="AC73" i="82"/>
  <c r="AE73" i="82"/>
  <c r="AG73" i="82"/>
  <c r="Y74" i="82"/>
  <c r="AA74" i="82"/>
  <c r="AC74" i="82"/>
  <c r="AE74" i="82"/>
  <c r="AG74" i="82"/>
  <c r="Y75" i="82"/>
  <c r="AA75" i="82"/>
  <c r="AC75" i="82"/>
  <c r="AE75" i="82"/>
  <c r="AG75" i="82"/>
  <c r="Y76" i="82"/>
  <c r="AA76" i="82"/>
  <c r="AC76" i="82"/>
  <c r="AE76" i="82"/>
  <c r="AG76" i="82"/>
  <c r="Y77" i="82"/>
  <c r="AA77" i="82"/>
  <c r="AC77" i="82"/>
  <c r="AE77" i="82"/>
  <c r="AG77" i="82"/>
  <c r="Y78" i="82"/>
  <c r="AA78" i="82"/>
  <c r="AC78" i="82"/>
  <c r="AE78" i="82"/>
  <c r="AG78" i="82"/>
  <c r="Y79" i="82"/>
  <c r="AA79" i="82"/>
  <c r="AC79" i="82"/>
  <c r="AE79" i="82"/>
  <c r="AG79" i="82"/>
  <c r="Y80" i="82"/>
  <c r="AA80" i="82"/>
  <c r="AC80" i="82"/>
  <c r="AE80" i="82"/>
  <c r="AG80" i="82"/>
  <c r="Y81" i="82"/>
  <c r="AA81" i="82"/>
  <c r="AC81" i="82"/>
  <c r="AE81" i="82"/>
  <c r="AG81" i="82"/>
  <c r="Y82" i="82"/>
  <c r="AA82" i="82"/>
  <c r="AC82" i="82"/>
  <c r="AE82" i="82"/>
  <c r="AG82" i="82"/>
  <c r="Y118" i="82"/>
  <c r="AJ119" i="82"/>
  <c r="AJ207" i="82" s="1"/>
  <c r="AH119" i="82"/>
  <c r="AH207" i="82" s="1"/>
  <c r="AF119" i="82"/>
  <c r="AF207" i="82" s="1"/>
  <c r="AD119" i="82"/>
  <c r="AD207" i="82" s="1"/>
  <c r="AB119" i="82"/>
  <c r="AB207" i="82" s="1"/>
  <c r="Z119" i="82"/>
  <c r="Z207" i="82" s="1"/>
  <c r="O119" i="82"/>
  <c r="O208" i="82" s="1"/>
  <c r="N209" i="82" s="1"/>
  <c r="R209" i="82" s="1"/>
  <c r="AA119" i="82"/>
  <c r="AE119" i="82"/>
  <c r="AI119" i="82"/>
  <c r="Y120" i="82"/>
  <c r="AJ121" i="82"/>
  <c r="AH121" i="82"/>
  <c r="AF121" i="82"/>
  <c r="AD121" i="82"/>
  <c r="AB121" i="82"/>
  <c r="Z121" i="82"/>
  <c r="O121" i="82"/>
  <c r="AA121" i="82"/>
  <c r="AE121" i="82"/>
  <c r="AI121" i="82"/>
  <c r="Y122" i="82"/>
  <c r="O123" i="82"/>
  <c r="Z123" i="82"/>
  <c r="AB123" i="82"/>
  <c r="AD123" i="82"/>
  <c r="AF123" i="82"/>
  <c r="AH123" i="82"/>
  <c r="AJ123" i="82"/>
  <c r="O124" i="82"/>
  <c r="Z124" i="82"/>
  <c r="AB124" i="82"/>
  <c r="AD124" i="82"/>
  <c r="AF124" i="82"/>
  <c r="AH124" i="82"/>
  <c r="AJ124" i="82"/>
  <c r="O125" i="82"/>
  <c r="Z125" i="82"/>
  <c r="AB125" i="82"/>
  <c r="AD125" i="82"/>
  <c r="AF125" i="82"/>
  <c r="AH125" i="82"/>
  <c r="AJ125" i="82"/>
  <c r="O126" i="82"/>
  <c r="Z126" i="82"/>
  <c r="AB126" i="82"/>
  <c r="AD126" i="82"/>
  <c r="AF126" i="82"/>
  <c r="AH126" i="82"/>
  <c r="AJ126" i="82"/>
  <c r="O127" i="82"/>
  <c r="Z127" i="82"/>
  <c r="AB127" i="82"/>
  <c r="AD127" i="82"/>
  <c r="AF127" i="82"/>
  <c r="AH127" i="82"/>
  <c r="AJ127" i="82"/>
  <c r="O128" i="82"/>
  <c r="Z128" i="82"/>
  <c r="AB128" i="82"/>
  <c r="AD128" i="82"/>
  <c r="AF128" i="82"/>
  <c r="AH128" i="82"/>
  <c r="AJ128" i="82"/>
  <c r="O129" i="82"/>
  <c r="Z129" i="82"/>
  <c r="AB129" i="82"/>
  <c r="AD129" i="82"/>
  <c r="AF129" i="82"/>
  <c r="AH129" i="82"/>
  <c r="AJ129" i="82"/>
  <c r="O130" i="82"/>
  <c r="Z130" i="82"/>
  <c r="AB130" i="82"/>
  <c r="AD130" i="82"/>
  <c r="AF130" i="82"/>
  <c r="AH130" i="82"/>
  <c r="AJ130" i="82"/>
  <c r="O131" i="82"/>
  <c r="Z131" i="82"/>
  <c r="AB131" i="82"/>
  <c r="AD131" i="82"/>
  <c r="AF131" i="82"/>
  <c r="AH131" i="82"/>
  <c r="AJ131" i="82"/>
  <c r="O132" i="82"/>
  <c r="Z132" i="82"/>
  <c r="AB132" i="82"/>
  <c r="AD132" i="82"/>
  <c r="AF132" i="82"/>
  <c r="AH132" i="82"/>
  <c r="AJ132" i="82"/>
  <c r="O133" i="82"/>
  <c r="Z133" i="82"/>
  <c r="AB133" i="82"/>
  <c r="AD133" i="82"/>
  <c r="AF133" i="82"/>
  <c r="AH133" i="82"/>
  <c r="AJ133" i="82"/>
  <c r="O134" i="82"/>
  <c r="Z134" i="82"/>
  <c r="AB134" i="82"/>
  <c r="AD134" i="82"/>
  <c r="AF134" i="82"/>
  <c r="AH134" i="82"/>
  <c r="AJ134" i="82"/>
  <c r="O135" i="82"/>
  <c r="Z135" i="82"/>
  <c r="AB135" i="82"/>
  <c r="AD135" i="82"/>
  <c r="AF135" i="82"/>
  <c r="AH135" i="82"/>
  <c r="AJ135" i="82"/>
  <c r="O136" i="82"/>
  <c r="Z136" i="82"/>
  <c r="AB136" i="82"/>
  <c r="AD136" i="82"/>
  <c r="AF136" i="82"/>
  <c r="AH136" i="82"/>
  <c r="AJ136" i="82"/>
  <c r="O137" i="82"/>
  <c r="Z137" i="82"/>
  <c r="AB137" i="82"/>
  <c r="AD137" i="82"/>
  <c r="AF137" i="82"/>
  <c r="AH137" i="82"/>
  <c r="AJ137" i="82"/>
  <c r="O138" i="82"/>
  <c r="Z138" i="82"/>
  <c r="AB138" i="82"/>
  <c r="AD138" i="82"/>
  <c r="AF138" i="82"/>
  <c r="AH138" i="82"/>
  <c r="AJ138" i="82"/>
  <c r="O139" i="82"/>
  <c r="Z139" i="82"/>
  <c r="AB139" i="82"/>
  <c r="AD139" i="82"/>
  <c r="AF139" i="82"/>
  <c r="AH139" i="82"/>
  <c r="AJ139" i="82"/>
  <c r="O140" i="82"/>
  <c r="Z140" i="82"/>
  <c r="AB140" i="82"/>
  <c r="AD140" i="82"/>
  <c r="AF140" i="82"/>
  <c r="AH140" i="82"/>
  <c r="AJ140" i="82"/>
  <c r="O141" i="82"/>
  <c r="Z141" i="82"/>
  <c r="AB141" i="82"/>
  <c r="AD141" i="82"/>
  <c r="AF141" i="82"/>
  <c r="AH141" i="82"/>
  <c r="AJ141" i="82"/>
  <c r="O142" i="82"/>
  <c r="Z142" i="82"/>
  <c r="AB142" i="82"/>
  <c r="AD142" i="82"/>
  <c r="AF142" i="82"/>
  <c r="AH142" i="82"/>
  <c r="AJ142" i="82"/>
  <c r="O143" i="82"/>
  <c r="Z143" i="82"/>
  <c r="AB143" i="82"/>
  <c r="AD143" i="82"/>
  <c r="AF143" i="82"/>
  <c r="AH143" i="82"/>
  <c r="AJ143" i="82"/>
  <c r="O144" i="82"/>
  <c r="Z144" i="82"/>
  <c r="AB144" i="82"/>
  <c r="AD144" i="82"/>
  <c r="AF144" i="82"/>
  <c r="AH144" i="82"/>
  <c r="AJ144" i="82"/>
  <c r="O145" i="82"/>
  <c r="Z145" i="82"/>
  <c r="AB145" i="82"/>
  <c r="AD145" i="82"/>
  <c r="AF145" i="82"/>
  <c r="AH145" i="82"/>
  <c r="AJ145" i="82"/>
  <c r="O146" i="82"/>
  <c r="Z146" i="82"/>
  <c r="AB146" i="82"/>
  <c r="AD146" i="82"/>
  <c r="AF146" i="82"/>
  <c r="AH146" i="82"/>
  <c r="AJ146" i="82"/>
  <c r="O147" i="82"/>
  <c r="Z147" i="82"/>
  <c r="AB147" i="82"/>
  <c r="AD147" i="82"/>
  <c r="AF147" i="82"/>
  <c r="AH147" i="82"/>
  <c r="AJ147" i="82"/>
  <c r="O148" i="82"/>
  <c r="Z148" i="82"/>
  <c r="AB148" i="82"/>
  <c r="AD148" i="82"/>
  <c r="AF148" i="82"/>
  <c r="AH148" i="82"/>
  <c r="AJ148" i="82"/>
  <c r="O149" i="82"/>
  <c r="Z149" i="82"/>
  <c r="AB149" i="82"/>
  <c r="AD149" i="82"/>
  <c r="AF149" i="82"/>
  <c r="AH149" i="82"/>
  <c r="AJ149" i="82"/>
  <c r="O150" i="82"/>
  <c r="Z150" i="82"/>
  <c r="AB150" i="82"/>
  <c r="AD150" i="82"/>
  <c r="AF150" i="82"/>
  <c r="AH150" i="82"/>
  <c r="AJ150" i="82"/>
  <c r="O151" i="82"/>
  <c r="Z151" i="82"/>
  <c r="AB151" i="82"/>
  <c r="AD151" i="82"/>
  <c r="AF151" i="82"/>
  <c r="AH151" i="82"/>
  <c r="AJ151" i="82"/>
  <c r="O152" i="82"/>
  <c r="Z152" i="82"/>
  <c r="AB152" i="82"/>
  <c r="AD152" i="82"/>
  <c r="AF152" i="82"/>
  <c r="AH152" i="82"/>
  <c r="AJ152" i="82"/>
  <c r="O153" i="82"/>
  <c r="Z153" i="82"/>
  <c r="AB153" i="82"/>
  <c r="AD153" i="82"/>
  <c r="AF153" i="82"/>
  <c r="AH153" i="82"/>
  <c r="AJ153" i="82"/>
  <c r="O154" i="82"/>
  <c r="Z154" i="82"/>
  <c r="AB154" i="82"/>
  <c r="AD154" i="82"/>
  <c r="AF154" i="82"/>
  <c r="AH154" i="82"/>
  <c r="AJ154" i="82"/>
  <c r="O155" i="82"/>
  <c r="Z155" i="82"/>
  <c r="AB155" i="82"/>
  <c r="AD155" i="82"/>
  <c r="AF155" i="82"/>
  <c r="AH155" i="82"/>
  <c r="AJ155" i="82"/>
  <c r="O156" i="82"/>
  <c r="Z156" i="82"/>
  <c r="AB156" i="82"/>
  <c r="AD156" i="82"/>
  <c r="AF156" i="82"/>
  <c r="AH156" i="82"/>
  <c r="AJ156" i="82"/>
  <c r="O157" i="82"/>
  <c r="Z157" i="82"/>
  <c r="AB157" i="82"/>
  <c r="AD157" i="82"/>
  <c r="AF157" i="82"/>
  <c r="AH157" i="82"/>
  <c r="AJ157" i="82"/>
  <c r="O158" i="82"/>
  <c r="Z158" i="82"/>
  <c r="AB158" i="82"/>
  <c r="AD158" i="82"/>
  <c r="AF158" i="82"/>
  <c r="AH158" i="82"/>
  <c r="AJ158" i="82"/>
  <c r="O159" i="82"/>
  <c r="Z159" i="82"/>
  <c r="AB159" i="82"/>
  <c r="AD159" i="82"/>
  <c r="AF159" i="82"/>
  <c r="AH159" i="82"/>
  <c r="AJ159" i="82"/>
  <c r="O160" i="82"/>
  <c r="Z160" i="82"/>
  <c r="AB160" i="82"/>
  <c r="AD160" i="82"/>
  <c r="AF160" i="82"/>
  <c r="AH160" i="82"/>
  <c r="AJ160" i="82"/>
  <c r="O161" i="82"/>
  <c r="Z161" i="82"/>
  <c r="AB161" i="82"/>
  <c r="AD161" i="82"/>
  <c r="AF161" i="82"/>
  <c r="AH161" i="82"/>
  <c r="AJ161" i="82"/>
  <c r="O162" i="82"/>
  <c r="Z162" i="82"/>
  <c r="AB162" i="82"/>
  <c r="AD162" i="82"/>
  <c r="AF162" i="82"/>
  <c r="AH162" i="82"/>
  <c r="AJ162" i="82"/>
  <c r="O163" i="82"/>
  <c r="Z163" i="82"/>
  <c r="AB163" i="82"/>
  <c r="AD163" i="82"/>
  <c r="AF163" i="82"/>
  <c r="AH163" i="82"/>
  <c r="AJ163" i="82"/>
  <c r="O164" i="82"/>
  <c r="Z164" i="82"/>
  <c r="AB164" i="82"/>
  <c r="AD164" i="82"/>
  <c r="AF164" i="82"/>
  <c r="AH164" i="82"/>
  <c r="AJ164" i="82"/>
  <c r="O165" i="82"/>
  <c r="Z165" i="82"/>
  <c r="AB165" i="82"/>
  <c r="AD165" i="82"/>
  <c r="AF165" i="82"/>
  <c r="Y123" i="82"/>
  <c r="AA123" i="82"/>
  <c r="AC123" i="82"/>
  <c r="AE123" i="82"/>
  <c r="AG123" i="82"/>
  <c r="Y124" i="82"/>
  <c r="AA124" i="82"/>
  <c r="AC124" i="82"/>
  <c r="AE124" i="82"/>
  <c r="AG124" i="82"/>
  <c r="Y125" i="82"/>
  <c r="AA125" i="82"/>
  <c r="AC125" i="82"/>
  <c r="AE125" i="82"/>
  <c r="AG125" i="82"/>
  <c r="Y126" i="82"/>
  <c r="AA126" i="82"/>
  <c r="AC126" i="82"/>
  <c r="AE126" i="82"/>
  <c r="AG126" i="82"/>
  <c r="Y127" i="82"/>
  <c r="AA127" i="82"/>
  <c r="AC127" i="82"/>
  <c r="AE127" i="82"/>
  <c r="AG127" i="82"/>
  <c r="Y128" i="82"/>
  <c r="AA128" i="82"/>
  <c r="AC128" i="82"/>
  <c r="AE128" i="82"/>
  <c r="AG128" i="82"/>
  <c r="Y129" i="82"/>
  <c r="AA129" i="82"/>
  <c r="AC129" i="82"/>
  <c r="AE129" i="82"/>
  <c r="AG129" i="82"/>
  <c r="Y130" i="82"/>
  <c r="AA130" i="82"/>
  <c r="AC130" i="82"/>
  <c r="AE130" i="82"/>
  <c r="AG130" i="82"/>
  <c r="Y131" i="82"/>
  <c r="AA131" i="82"/>
  <c r="AC131" i="82"/>
  <c r="AE131" i="82"/>
  <c r="AG131" i="82"/>
  <c r="Y132" i="82"/>
  <c r="AA132" i="82"/>
  <c r="AC132" i="82"/>
  <c r="AE132" i="82"/>
  <c r="AG132" i="82"/>
  <c r="Y133" i="82"/>
  <c r="AA133" i="82"/>
  <c r="AC133" i="82"/>
  <c r="AE133" i="82"/>
  <c r="AG133" i="82"/>
  <c r="Y134" i="82"/>
  <c r="AA134" i="82"/>
  <c r="AC134" i="82"/>
  <c r="AE134" i="82"/>
  <c r="AG134" i="82"/>
  <c r="Y135" i="82"/>
  <c r="AA135" i="82"/>
  <c r="AC135" i="82"/>
  <c r="AE135" i="82"/>
  <c r="AG135" i="82"/>
  <c r="Y136" i="82"/>
  <c r="AA136" i="82"/>
  <c r="AC136" i="82"/>
  <c r="AE136" i="82"/>
  <c r="AG136" i="82"/>
  <c r="Y137" i="82"/>
  <c r="AA137" i="82"/>
  <c r="AC137" i="82"/>
  <c r="AE137" i="82"/>
  <c r="AG137" i="82"/>
  <c r="Y138" i="82"/>
  <c r="AA138" i="82"/>
  <c r="AC138" i="82"/>
  <c r="AE138" i="82"/>
  <c r="AG138" i="82"/>
  <c r="Y139" i="82"/>
  <c r="AA139" i="82"/>
  <c r="AC139" i="82"/>
  <c r="AE139" i="82"/>
  <c r="AG139" i="82"/>
  <c r="Y140" i="82"/>
  <c r="AA140" i="82"/>
  <c r="AC140" i="82"/>
  <c r="AE140" i="82"/>
  <c r="AG140" i="82"/>
  <c r="Y141" i="82"/>
  <c r="AA141" i="82"/>
  <c r="AC141" i="82"/>
  <c r="AE141" i="82"/>
  <c r="AG141" i="82"/>
  <c r="Y142" i="82"/>
  <c r="AA142" i="82"/>
  <c r="AC142" i="82"/>
  <c r="AE142" i="82"/>
  <c r="AG142" i="82"/>
  <c r="Y143" i="82"/>
  <c r="AA143" i="82"/>
  <c r="AC143" i="82"/>
  <c r="AE143" i="82"/>
  <c r="AG143" i="82"/>
  <c r="Y144" i="82"/>
  <c r="AA144" i="82"/>
  <c r="AC144" i="82"/>
  <c r="AE144" i="82"/>
  <c r="AG144" i="82"/>
  <c r="Y145" i="82"/>
  <c r="AA145" i="82"/>
  <c r="AC145" i="82"/>
  <c r="AE145" i="82"/>
  <c r="AG145" i="82"/>
  <c r="Y146" i="82"/>
  <c r="AA146" i="82"/>
  <c r="AC146" i="82"/>
  <c r="AE146" i="82"/>
  <c r="AG146" i="82"/>
  <c r="Y147" i="82"/>
  <c r="AA147" i="82"/>
  <c r="AC147" i="82"/>
  <c r="AE147" i="82"/>
  <c r="AG147" i="82"/>
  <c r="Y148" i="82"/>
  <c r="AA148" i="82"/>
  <c r="AC148" i="82"/>
  <c r="AE148" i="82"/>
  <c r="AG148" i="82"/>
  <c r="Y149" i="82"/>
  <c r="AA149" i="82"/>
  <c r="AC149" i="82"/>
  <c r="AE149" i="82"/>
  <c r="AG149" i="82"/>
  <c r="Y150" i="82"/>
  <c r="AA150" i="82"/>
  <c r="AC150" i="82"/>
  <c r="AE150" i="82"/>
  <c r="AG150" i="82"/>
  <c r="Y151" i="82"/>
  <c r="AA151" i="82"/>
  <c r="AC151" i="82"/>
  <c r="AE151" i="82"/>
  <c r="AG151" i="82"/>
  <c r="Y152" i="82"/>
  <c r="AA152" i="82"/>
  <c r="AC152" i="82"/>
  <c r="AE152" i="82"/>
  <c r="AG152" i="82"/>
  <c r="Y153" i="82"/>
  <c r="AA153" i="82"/>
  <c r="AC153" i="82"/>
  <c r="AE153" i="82"/>
  <c r="AG153" i="82"/>
  <c r="Y154" i="82"/>
  <c r="AA154" i="82"/>
  <c r="AC154" i="82"/>
  <c r="AE154" i="82"/>
  <c r="AG154" i="82"/>
  <c r="Y155" i="82"/>
  <c r="AA155" i="82"/>
  <c r="AC155" i="82"/>
  <c r="AE155" i="82"/>
  <c r="AG155" i="82"/>
  <c r="Y156" i="82"/>
  <c r="AA156" i="82"/>
  <c r="AC156" i="82"/>
  <c r="AE156" i="82"/>
  <c r="AG156" i="82"/>
  <c r="Y157" i="82"/>
  <c r="AA157" i="82"/>
  <c r="AC157" i="82"/>
  <c r="AE157" i="82"/>
  <c r="AG157" i="82"/>
  <c r="Y158" i="82"/>
  <c r="AA158" i="82"/>
  <c r="AC158" i="82"/>
  <c r="AE158" i="82"/>
  <c r="AG158" i="82"/>
  <c r="Y159" i="82"/>
  <c r="AA159" i="82"/>
  <c r="AC159" i="82"/>
  <c r="AE159" i="82"/>
  <c r="AG159" i="82"/>
  <c r="Y160" i="82"/>
  <c r="AA160" i="82"/>
  <c r="AC160" i="82"/>
  <c r="AE160" i="82"/>
  <c r="AG160" i="82"/>
  <c r="Y161" i="82"/>
  <c r="AA161" i="82"/>
  <c r="AC161" i="82"/>
  <c r="AE161" i="82"/>
  <c r="AG161" i="82"/>
  <c r="Y162" i="82"/>
  <c r="AA162" i="82"/>
  <c r="AC162" i="82"/>
  <c r="AE162" i="82"/>
  <c r="AG162" i="82"/>
  <c r="Y163" i="82"/>
  <c r="AA163" i="82"/>
  <c r="AC163" i="82"/>
  <c r="AE163" i="82"/>
  <c r="AG163" i="82"/>
  <c r="Y164" i="82"/>
  <c r="AA164" i="82"/>
  <c r="AC164" i="82"/>
  <c r="AE164" i="82"/>
  <c r="AG164" i="82"/>
  <c r="AJ165" i="82"/>
  <c r="AH165" i="82"/>
  <c r="Y165" i="82"/>
  <c r="AA165" i="82"/>
  <c r="AC165" i="82"/>
  <c r="AE165" i="82"/>
  <c r="AG165" i="82"/>
  <c r="AJ166" i="82"/>
  <c r="AH166" i="82"/>
  <c r="AF166" i="82"/>
  <c r="AD166" i="82"/>
  <c r="AB166" i="82"/>
  <c r="Z166" i="82"/>
  <c r="O166" i="82"/>
  <c r="AI166" i="82"/>
  <c r="AG166" i="82"/>
  <c r="AE166" i="82"/>
  <c r="AC166" i="82"/>
  <c r="AA166" i="82"/>
  <c r="Y166" i="82"/>
  <c r="Y167" i="82"/>
  <c r="AA167" i="82"/>
  <c r="AC167" i="82"/>
  <c r="AE167" i="82"/>
  <c r="AG167" i="82"/>
  <c r="AI167" i="82"/>
  <c r="Y168" i="82"/>
  <c r="AA168" i="82"/>
  <c r="AC168" i="82"/>
  <c r="AE168" i="82"/>
  <c r="AG168" i="82"/>
  <c r="AI168" i="82"/>
  <c r="Y169" i="82"/>
  <c r="AA169" i="82"/>
  <c r="AC169" i="82"/>
  <c r="AE169" i="82"/>
  <c r="AG169" i="82"/>
  <c r="AI169" i="82"/>
  <c r="Y170" i="82"/>
  <c r="AA170" i="82"/>
  <c r="AC170" i="82"/>
  <c r="AE170" i="82"/>
  <c r="AG170" i="82"/>
  <c r="AI170" i="82"/>
  <c r="Y171" i="82"/>
  <c r="AA171" i="82"/>
  <c r="AC171" i="82"/>
  <c r="AE171" i="82"/>
  <c r="AG171" i="82"/>
  <c r="AI171" i="82"/>
  <c r="Y172" i="82"/>
  <c r="AA172" i="82"/>
  <c r="AC172" i="82"/>
  <c r="AE172" i="82"/>
  <c r="AG172" i="82"/>
  <c r="AI172" i="82"/>
  <c r="Y173" i="82"/>
  <c r="AA173" i="82"/>
  <c r="AC173" i="82"/>
  <c r="AE173" i="82"/>
  <c r="AG173" i="82"/>
  <c r="AI173" i="82"/>
  <c r="Y174" i="82"/>
  <c r="AA174" i="82"/>
  <c r="AC174" i="82"/>
  <c r="AE174" i="82"/>
  <c r="AG174" i="82"/>
  <c r="AI174" i="82"/>
  <c r="Y175" i="82"/>
  <c r="AA175" i="82"/>
  <c r="AC175" i="82"/>
  <c r="AE175" i="82"/>
  <c r="AG175" i="82"/>
  <c r="AI175" i="82"/>
  <c r="Y176" i="82"/>
  <c r="AA176" i="82"/>
  <c r="AC176" i="82"/>
  <c r="AE176" i="82"/>
  <c r="AG176" i="82"/>
  <c r="AI176" i="82"/>
  <c r="Y177" i="82"/>
  <c r="AA177" i="82"/>
  <c r="AC177" i="82"/>
  <c r="AE177" i="82"/>
  <c r="AG177" i="82"/>
  <c r="AI177" i="82"/>
  <c r="Y178" i="82"/>
  <c r="AA178" i="82"/>
  <c r="AC178" i="82"/>
  <c r="AE178" i="82"/>
  <c r="AG178" i="82"/>
  <c r="AI178" i="82"/>
  <c r="Y179" i="82"/>
  <c r="AA179" i="82"/>
  <c r="AC179" i="82"/>
  <c r="AE179" i="82"/>
  <c r="AG179" i="82"/>
  <c r="AI179" i="82"/>
  <c r="Y180" i="82"/>
  <c r="AA180" i="82"/>
  <c r="AC180" i="82"/>
  <c r="AE180" i="82"/>
  <c r="AG180" i="82"/>
  <c r="AI180" i="82"/>
  <c r="Y181" i="82"/>
  <c r="AA181" i="82"/>
  <c r="AC181" i="82"/>
  <c r="AE181" i="82"/>
  <c r="AG181" i="82"/>
  <c r="AI181" i="82"/>
  <c r="Y182" i="82"/>
  <c r="AA182" i="82"/>
  <c r="AC182" i="82"/>
  <c r="AE182" i="82"/>
  <c r="AG182" i="82"/>
  <c r="AI182" i="82"/>
  <c r="Y183" i="82"/>
  <c r="AA183" i="82"/>
  <c r="AC183" i="82"/>
  <c r="AE183" i="82"/>
  <c r="AG183" i="82"/>
  <c r="AI183" i="82"/>
  <c r="Y184" i="82"/>
  <c r="AA184" i="82"/>
  <c r="AC184" i="82"/>
  <c r="AE184" i="82"/>
  <c r="AG184" i="82"/>
  <c r="AI184" i="82"/>
  <c r="Y185" i="82"/>
  <c r="AA185" i="82"/>
  <c r="AC185" i="82"/>
  <c r="AE185" i="82"/>
  <c r="AG185" i="82"/>
  <c r="AI185" i="82"/>
  <c r="Y186" i="82"/>
  <c r="AA186" i="82"/>
  <c r="AC186" i="82"/>
  <c r="AE186" i="82"/>
  <c r="AG186" i="82"/>
  <c r="AI186" i="82"/>
  <c r="Y187" i="82"/>
  <c r="AA187" i="82"/>
  <c r="AC187" i="82"/>
  <c r="AE187" i="82"/>
  <c r="AG187" i="82"/>
  <c r="AI187" i="82"/>
  <c r="Y188" i="82"/>
  <c r="AA188" i="82"/>
  <c r="AC188" i="82"/>
  <c r="AE188" i="82"/>
  <c r="AG188" i="82"/>
  <c r="AI188" i="82"/>
  <c r="AJ200" i="82"/>
  <c r="AH200" i="82"/>
  <c r="AF200" i="82"/>
  <c r="AD200" i="82"/>
  <c r="AB200" i="82"/>
  <c r="Z200" i="82"/>
  <c r="O200" i="82"/>
  <c r="AA200" i="82"/>
  <c r="AE200" i="82"/>
  <c r="AI200" i="82"/>
  <c r="O167" i="82"/>
  <c r="Z167" i="82"/>
  <c r="AB167" i="82"/>
  <c r="AD167" i="82"/>
  <c r="AF167" i="82"/>
  <c r="AH167" i="82"/>
  <c r="O168" i="82"/>
  <c r="Z168" i="82"/>
  <c r="AB168" i="82"/>
  <c r="AD168" i="82"/>
  <c r="AF168" i="82"/>
  <c r="AH168" i="82"/>
  <c r="O169" i="82"/>
  <c r="Z169" i="82"/>
  <c r="AB169" i="82"/>
  <c r="AD169" i="82"/>
  <c r="AF169" i="82"/>
  <c r="AH169" i="82"/>
  <c r="O170" i="82"/>
  <c r="Z170" i="82"/>
  <c r="AB170" i="82"/>
  <c r="AD170" i="82"/>
  <c r="AF170" i="82"/>
  <c r="AH170" i="82"/>
  <c r="O171" i="82"/>
  <c r="Z171" i="82"/>
  <c r="AB171" i="82"/>
  <c r="AD171" i="82"/>
  <c r="AF171" i="82"/>
  <c r="AH171" i="82"/>
  <c r="O172" i="82"/>
  <c r="Z172" i="82"/>
  <c r="AB172" i="82"/>
  <c r="AD172" i="82"/>
  <c r="AF172" i="82"/>
  <c r="AH172" i="82"/>
  <c r="O173" i="82"/>
  <c r="Z173" i="82"/>
  <c r="AB173" i="82"/>
  <c r="AD173" i="82"/>
  <c r="AF173" i="82"/>
  <c r="AH173" i="82"/>
  <c r="O174" i="82"/>
  <c r="Z174" i="82"/>
  <c r="AB174" i="82"/>
  <c r="AD174" i="82"/>
  <c r="AF174" i="82"/>
  <c r="AH174" i="82"/>
  <c r="O175" i="82"/>
  <c r="Z175" i="82"/>
  <c r="AB175" i="82"/>
  <c r="AD175" i="82"/>
  <c r="AF175" i="82"/>
  <c r="AH175" i="82"/>
  <c r="O176" i="82"/>
  <c r="Z176" i="82"/>
  <c r="AB176" i="82"/>
  <c r="AD176" i="82"/>
  <c r="AF176" i="82"/>
  <c r="AH176" i="82"/>
  <c r="O177" i="82"/>
  <c r="Z177" i="82"/>
  <c r="AB177" i="82"/>
  <c r="AD177" i="82"/>
  <c r="AF177" i="82"/>
  <c r="AH177" i="82"/>
  <c r="O178" i="82"/>
  <c r="Z178" i="82"/>
  <c r="AB178" i="82"/>
  <c r="AD178" i="82"/>
  <c r="AF178" i="82"/>
  <c r="AH178" i="82"/>
  <c r="O179" i="82"/>
  <c r="Z179" i="82"/>
  <c r="AB179" i="82"/>
  <c r="AD179" i="82"/>
  <c r="AF179" i="82"/>
  <c r="AH179" i="82"/>
  <c r="O180" i="82"/>
  <c r="Z180" i="82"/>
  <c r="AB180" i="82"/>
  <c r="AD180" i="82"/>
  <c r="AF180" i="82"/>
  <c r="AH180" i="82"/>
  <c r="O181" i="82"/>
  <c r="Z181" i="82"/>
  <c r="AB181" i="82"/>
  <c r="AD181" i="82"/>
  <c r="AF181" i="82"/>
  <c r="AH181" i="82"/>
  <c r="O182" i="82"/>
  <c r="Z182" i="82"/>
  <c r="AB182" i="82"/>
  <c r="AD182" i="82"/>
  <c r="AF182" i="82"/>
  <c r="AH182" i="82"/>
  <c r="O183" i="82"/>
  <c r="Z183" i="82"/>
  <c r="AB183" i="82"/>
  <c r="AD183" i="82"/>
  <c r="AF183" i="82"/>
  <c r="AH183" i="82"/>
  <c r="O184" i="82"/>
  <c r="Z184" i="82"/>
  <c r="AB184" i="82"/>
  <c r="AD184" i="82"/>
  <c r="AF184" i="82"/>
  <c r="AH184" i="82"/>
  <c r="O185" i="82"/>
  <c r="Z185" i="82"/>
  <c r="AB185" i="82"/>
  <c r="AD185" i="82"/>
  <c r="AF185" i="82"/>
  <c r="AH185" i="82"/>
  <c r="O186" i="82"/>
  <c r="Z186" i="82"/>
  <c r="AB186" i="82"/>
  <c r="AD186" i="82"/>
  <c r="AF186" i="82"/>
  <c r="AH186" i="82"/>
  <c r="O187" i="82"/>
  <c r="Z187" i="82"/>
  <c r="AB187" i="82"/>
  <c r="AD187" i="82"/>
  <c r="AF187" i="82"/>
  <c r="AH187" i="82"/>
  <c r="O188" i="82"/>
  <c r="Z188" i="82"/>
  <c r="AB188" i="82"/>
  <c r="AD188" i="82"/>
  <c r="AF188" i="82"/>
  <c r="AH188" i="82"/>
  <c r="AJ199" i="82"/>
  <c r="AH199" i="82"/>
  <c r="AF199" i="82"/>
  <c r="AD199" i="82"/>
  <c r="AB199" i="82"/>
  <c r="Z199" i="82"/>
  <c r="O199" i="82"/>
  <c r="AA199" i="82"/>
  <c r="AE199" i="82"/>
  <c r="AI199" i="82"/>
  <c r="Y200" i="82"/>
  <c r="AC200" i="82"/>
  <c r="AG200" i="82"/>
  <c r="AI201" i="82"/>
  <c r="AG201" i="82"/>
  <c r="AE201" i="82"/>
  <c r="AC201" i="82"/>
  <c r="AA201" i="82"/>
  <c r="AJ201" i="82"/>
  <c r="AH201" i="82"/>
  <c r="AF201" i="82"/>
  <c r="AD201" i="82"/>
  <c r="AB201" i="82"/>
  <c r="Z201" i="82"/>
  <c r="O201" i="82"/>
  <c r="Y189" i="82"/>
  <c r="AA189" i="82"/>
  <c r="AC189" i="82"/>
  <c r="AE189" i="82"/>
  <c r="AG189" i="82"/>
  <c r="Y190" i="82"/>
  <c r="AA190" i="82"/>
  <c r="AC190" i="82"/>
  <c r="AE190" i="82"/>
  <c r="AG190" i="82"/>
  <c r="Y191" i="82"/>
  <c r="AA191" i="82"/>
  <c r="AC191" i="82"/>
  <c r="AE191" i="82"/>
  <c r="AG191" i="82"/>
  <c r="Y192" i="82"/>
  <c r="AA192" i="82"/>
  <c r="AC192" i="82"/>
  <c r="AE192" i="82"/>
  <c r="AG192" i="82"/>
  <c r="Y193" i="82"/>
  <c r="AA193" i="82"/>
  <c r="AC193" i="82"/>
  <c r="AE193" i="82"/>
  <c r="AG193" i="82"/>
  <c r="Y194" i="82"/>
  <c r="AA194" i="82"/>
  <c r="AC194" i="82"/>
  <c r="AE194" i="82"/>
  <c r="AG194" i="82"/>
  <c r="Y195" i="82"/>
  <c r="AA195" i="82"/>
  <c r="AC195" i="82"/>
  <c r="AE195" i="82"/>
  <c r="AG195" i="82"/>
  <c r="Y196" i="82"/>
  <c r="AA196" i="82"/>
  <c r="AC196" i="82"/>
  <c r="AE196" i="82"/>
  <c r="AG196" i="82"/>
  <c r="Y197" i="82"/>
  <c r="AA197" i="82"/>
  <c r="AC197" i="82"/>
  <c r="AE197" i="82"/>
  <c r="AG197" i="82"/>
  <c r="O202" i="82"/>
  <c r="Z202" i="82"/>
  <c r="AB202" i="82"/>
  <c r="AD202" i="82"/>
  <c r="AF202" i="82"/>
  <c r="AH202" i="82"/>
  <c r="AJ202" i="82"/>
  <c r="O203" i="82"/>
  <c r="Z203" i="82"/>
  <c r="AB203" i="82"/>
  <c r="AD203" i="82"/>
  <c r="AF203" i="82"/>
  <c r="AH203" i="82"/>
  <c r="AJ203" i="82"/>
  <c r="O204" i="82"/>
  <c r="Z204" i="82"/>
  <c r="AB204" i="82"/>
  <c r="AD204" i="82"/>
  <c r="AF204" i="82"/>
  <c r="AH204" i="82"/>
  <c r="AJ204" i="82"/>
  <c r="O205" i="82"/>
  <c r="Z205" i="82"/>
  <c r="AB205" i="82"/>
  <c r="AD205" i="82"/>
  <c r="AF205" i="82"/>
  <c r="AH205" i="82"/>
  <c r="AJ205" i="82"/>
  <c r="O206" i="82"/>
  <c r="Z206" i="82"/>
  <c r="AB206" i="82"/>
  <c r="AD206" i="82"/>
  <c r="AF206" i="82"/>
  <c r="AH206" i="82"/>
  <c r="AJ206" i="82"/>
  <c r="Y210" i="82"/>
  <c r="AA210" i="82"/>
  <c r="AC210" i="82"/>
  <c r="AE210" i="82"/>
  <c r="AG210" i="82"/>
  <c r="Y211" i="82"/>
  <c r="AA211" i="82"/>
  <c r="AC211" i="82"/>
  <c r="AE211" i="82"/>
  <c r="AG211" i="82"/>
  <c r="Y212" i="82"/>
  <c r="AA212" i="82"/>
  <c r="AC212" i="82"/>
  <c r="AE212" i="82"/>
  <c r="AG212" i="82"/>
  <c r="Y213" i="82"/>
  <c r="AA213" i="82"/>
  <c r="AC213" i="82"/>
  <c r="AE213" i="82"/>
  <c r="AG213" i="82"/>
  <c r="Y214" i="82"/>
  <c r="AA214" i="82"/>
  <c r="AC214" i="82"/>
  <c r="AE214" i="82"/>
  <c r="AG214" i="82"/>
  <c r="Y215" i="82"/>
  <c r="AA215" i="82"/>
  <c r="AC215" i="82"/>
  <c r="AE215" i="82"/>
  <c r="AG215" i="82"/>
  <c r="Y216" i="82"/>
  <c r="AA216" i="82"/>
  <c r="AC216" i="82"/>
  <c r="AE216" i="82"/>
  <c r="AG216" i="82"/>
  <c r="Y217" i="82"/>
  <c r="AA217" i="82"/>
  <c r="AC217" i="82"/>
  <c r="AE217" i="82"/>
  <c r="AG217" i="82"/>
  <c r="Y218" i="82"/>
  <c r="AA218" i="82"/>
  <c r="AC218" i="82"/>
  <c r="AE218" i="82"/>
  <c r="AG218" i="82"/>
  <c r="Y219" i="82"/>
  <c r="AA219" i="82"/>
  <c r="AC219" i="82"/>
  <c r="AE219" i="82"/>
  <c r="AG219" i="82"/>
  <c r="Y220" i="82"/>
  <c r="AA220" i="82"/>
  <c r="AC220" i="82"/>
  <c r="AE220" i="82"/>
  <c r="AG220" i="82"/>
  <c r="Y221" i="82"/>
  <c r="AA221" i="82"/>
  <c r="AC221" i="82"/>
  <c r="AE221" i="82"/>
  <c r="AG221" i="82"/>
  <c r="Y222" i="82"/>
  <c r="AA222" i="82"/>
  <c r="AC222" i="82"/>
  <c r="AE222" i="82"/>
  <c r="AG222" i="82"/>
  <c r="Y223" i="82"/>
  <c r="AA223" i="82"/>
  <c r="AC223" i="82"/>
  <c r="AE223" i="82"/>
  <c r="AG223" i="82"/>
  <c r="Y224" i="82"/>
  <c r="AA224" i="82"/>
  <c r="AC224" i="82"/>
  <c r="AE224" i="82"/>
  <c r="AG224" i="82"/>
  <c r="Y225" i="82"/>
  <c r="AA225" i="82"/>
  <c r="AC225" i="82"/>
  <c r="AE225" i="82"/>
  <c r="AG225" i="82"/>
  <c r="O235" i="82"/>
  <c r="Z235" i="82"/>
  <c r="AB235" i="82"/>
  <c r="AD235" i="82"/>
  <c r="AF235" i="82"/>
  <c r="AH235" i="82"/>
  <c r="AJ235" i="82"/>
  <c r="O236" i="82"/>
  <c r="O302" i="82" s="1"/>
  <c r="N303" i="82" s="1"/>
  <c r="R303" i="82" s="1"/>
  <c r="Z236" i="82"/>
  <c r="AB236" i="82"/>
  <c r="AB301" i="82" s="1"/>
  <c r="AD236" i="82"/>
  <c r="AF236" i="82"/>
  <c r="AF301" i="82" s="1"/>
  <c r="AH236" i="82"/>
  <c r="AJ236" i="82"/>
  <c r="AJ301" i="82" s="1"/>
  <c r="O237" i="82"/>
  <c r="Z237" i="82"/>
  <c r="AB237" i="82"/>
  <c r="AD237" i="82"/>
  <c r="AF237" i="82"/>
  <c r="AH237" i="82"/>
  <c r="AJ237" i="82"/>
  <c r="O238" i="82"/>
  <c r="Z238" i="82"/>
  <c r="AB238" i="82"/>
  <c r="AF238" i="82"/>
  <c r="AJ249" i="82"/>
  <c r="AH249" i="82"/>
  <c r="AF249" i="82"/>
  <c r="AD249" i="82"/>
  <c r="AB249" i="82"/>
  <c r="Z249" i="82"/>
  <c r="O249" i="82"/>
  <c r="AA249" i="82"/>
  <c r="AE249" i="82"/>
  <c r="AI249" i="82"/>
  <c r="Y250" i="82"/>
  <c r="AC250" i="82"/>
  <c r="AI251" i="82"/>
  <c r="AG251" i="82"/>
  <c r="AE251" i="82"/>
  <c r="AC251" i="82"/>
  <c r="AJ251" i="82"/>
  <c r="AH251" i="82"/>
  <c r="AF251" i="82"/>
  <c r="AD251" i="82"/>
  <c r="AB251" i="82"/>
  <c r="Z251" i="82"/>
  <c r="O251" i="82"/>
  <c r="AA251" i="82"/>
  <c r="Y202" i="82"/>
  <c r="AA202" i="82"/>
  <c r="AC202" i="82"/>
  <c r="AE202" i="82"/>
  <c r="AG202" i="82"/>
  <c r="Y203" i="82"/>
  <c r="AA203" i="82"/>
  <c r="AC203" i="82"/>
  <c r="AE203" i="82"/>
  <c r="AG203" i="82"/>
  <c r="Y204" i="82"/>
  <c r="AA204" i="82"/>
  <c r="AC204" i="82"/>
  <c r="AE204" i="82"/>
  <c r="AG204" i="82"/>
  <c r="Y205" i="82"/>
  <c r="AA205" i="82"/>
  <c r="AC205" i="82"/>
  <c r="AE205" i="82"/>
  <c r="AG205" i="82"/>
  <c r="Y206" i="82"/>
  <c r="AA206" i="82"/>
  <c r="AC206" i="82"/>
  <c r="AE206" i="82"/>
  <c r="AG206" i="82"/>
  <c r="Y235" i="82"/>
  <c r="AA235" i="82"/>
  <c r="AC235" i="82"/>
  <c r="AE235" i="82"/>
  <c r="AG235" i="82"/>
  <c r="Y236" i="82"/>
  <c r="AA236" i="82"/>
  <c r="AC236" i="82"/>
  <c r="AE236" i="82"/>
  <c r="AG236" i="82"/>
  <c r="Y237" i="82"/>
  <c r="AA237" i="82"/>
  <c r="AC237" i="82"/>
  <c r="AE237" i="82"/>
  <c r="AG237" i="82"/>
  <c r="AI238" i="82"/>
  <c r="AI301" i="82" s="1"/>
  <c r="AG238" i="82"/>
  <c r="AE238" i="82"/>
  <c r="AC238" i="82"/>
  <c r="Y238" i="82"/>
  <c r="AA238" i="82"/>
  <c r="AD238" i="82"/>
  <c r="AH238" i="82"/>
  <c r="AH301" i="82" s="1"/>
  <c r="AJ250" i="82"/>
  <c r="AH250" i="82"/>
  <c r="AF250" i="82"/>
  <c r="AD250" i="82"/>
  <c r="AD301" i="82" s="1"/>
  <c r="AB250" i="82"/>
  <c r="Z250" i="82"/>
  <c r="Z301" i="82" s="1"/>
  <c r="O250" i="82"/>
  <c r="AA250" i="82"/>
  <c r="AE250" i="82"/>
  <c r="AI250" i="82"/>
  <c r="Y239" i="82"/>
  <c r="AA239" i="82"/>
  <c r="AC239" i="82"/>
  <c r="AE239" i="82"/>
  <c r="AG239" i="82"/>
  <c r="Y244" i="82"/>
  <c r="AA244" i="82"/>
  <c r="AC244" i="82"/>
  <c r="AE244" i="82"/>
  <c r="AG244" i="82"/>
  <c r="Y245" i="82"/>
  <c r="AA245" i="82"/>
  <c r="AC245" i="82"/>
  <c r="AE245" i="82"/>
  <c r="AG245" i="82"/>
  <c r="Y246" i="82"/>
  <c r="AA246" i="82"/>
  <c r="AC246" i="82"/>
  <c r="AE246" i="82"/>
  <c r="AG246" i="82"/>
  <c r="Y247" i="82"/>
  <c r="AA247" i="82"/>
  <c r="AC247" i="82"/>
  <c r="AE247" i="82"/>
  <c r="AG247" i="82"/>
  <c r="O252" i="82"/>
  <c r="Z252" i="82"/>
  <c r="AB252" i="82"/>
  <c r="AD252" i="82"/>
  <c r="AF252" i="82"/>
  <c r="AH252" i="82"/>
  <c r="AJ252" i="82"/>
  <c r="O253" i="82"/>
  <c r="Z253" i="82"/>
  <c r="AB253" i="82"/>
  <c r="AD253" i="82"/>
  <c r="AF253" i="82"/>
  <c r="AH253" i="82"/>
  <c r="AJ253" i="82"/>
  <c r="O254" i="82"/>
  <c r="Z254" i="82"/>
  <c r="AB254" i="82"/>
  <c r="AD254" i="82"/>
  <c r="AF254" i="82"/>
  <c r="AH254" i="82"/>
  <c r="AJ254" i="82"/>
  <c r="O255" i="82"/>
  <c r="Z255" i="82"/>
  <c r="AB255" i="82"/>
  <c r="AD255" i="82"/>
  <c r="AF255" i="82"/>
  <c r="AH255" i="82"/>
  <c r="AJ255" i="82"/>
  <c r="O256" i="82"/>
  <c r="Z256" i="82"/>
  <c r="AB256" i="82"/>
  <c r="AD256" i="82"/>
  <c r="AF256" i="82"/>
  <c r="AH256" i="82"/>
  <c r="AJ256" i="82"/>
  <c r="O257" i="82"/>
  <c r="Z257" i="82"/>
  <c r="AB257" i="82"/>
  <c r="AD257" i="82"/>
  <c r="AF257" i="82"/>
  <c r="AH257" i="82"/>
  <c r="AJ257" i="82"/>
  <c r="O258" i="82"/>
  <c r="Z258" i="82"/>
  <c r="AB258" i="82"/>
  <c r="AD258" i="82"/>
  <c r="AF258" i="82"/>
  <c r="AH258" i="82"/>
  <c r="AJ258" i="82"/>
  <c r="Y268" i="82"/>
  <c r="AA268" i="82"/>
  <c r="AC268" i="82"/>
  <c r="AE268" i="82"/>
  <c r="AG268" i="82"/>
  <c r="Y269" i="82"/>
  <c r="AA269" i="82"/>
  <c r="AC269" i="82"/>
  <c r="AE269" i="82"/>
  <c r="AG269" i="82"/>
  <c r="Y270" i="82"/>
  <c r="AA270" i="82"/>
  <c r="AC270" i="82"/>
  <c r="AE270" i="82"/>
  <c r="AG270" i="82"/>
  <c r="Y271" i="82"/>
  <c r="AA271" i="82"/>
  <c r="AC271" i="82"/>
  <c r="AE271" i="82"/>
  <c r="AG271" i="82"/>
  <c r="O275" i="82"/>
  <c r="Z275" i="82"/>
  <c r="AB275" i="82"/>
  <c r="AD275" i="82"/>
  <c r="AF275" i="82"/>
  <c r="AH275" i="82"/>
  <c r="AJ275" i="82"/>
  <c r="O276" i="82"/>
  <c r="Z276" i="82"/>
  <c r="AB276" i="82"/>
  <c r="AD276" i="82"/>
  <c r="AF276" i="82"/>
  <c r="AH276" i="82"/>
  <c r="AJ276" i="82"/>
  <c r="O277" i="82"/>
  <c r="Z277" i="82"/>
  <c r="AB277" i="82"/>
  <c r="AD277" i="82"/>
  <c r="AF277" i="82"/>
  <c r="AH277" i="82"/>
  <c r="AJ277" i="82"/>
  <c r="O278" i="82"/>
  <c r="Z278" i="82"/>
  <c r="AB278" i="82"/>
  <c r="AD278" i="82"/>
  <c r="AF278" i="82"/>
  <c r="AH278" i="82"/>
  <c r="AJ278" i="82"/>
  <c r="O279" i="82"/>
  <c r="Z279" i="82"/>
  <c r="AB279" i="82"/>
  <c r="AF279" i="82"/>
  <c r="Y252" i="82"/>
  <c r="AA252" i="82"/>
  <c r="AC252" i="82"/>
  <c r="AE252" i="82"/>
  <c r="AG252" i="82"/>
  <c r="Y253" i="82"/>
  <c r="AA253" i="82"/>
  <c r="AC253" i="82"/>
  <c r="AE253" i="82"/>
  <c r="AG253" i="82"/>
  <c r="Y254" i="82"/>
  <c r="AA254" i="82"/>
  <c r="AC254" i="82"/>
  <c r="AE254" i="82"/>
  <c r="AG254" i="82"/>
  <c r="Y255" i="82"/>
  <c r="AA255" i="82"/>
  <c r="AC255" i="82"/>
  <c r="AE255" i="82"/>
  <c r="AG255" i="82"/>
  <c r="Y256" i="82"/>
  <c r="AA256" i="82"/>
  <c r="AC256" i="82"/>
  <c r="AE256" i="82"/>
  <c r="AG256" i="82"/>
  <c r="Y257" i="82"/>
  <c r="AA257" i="82"/>
  <c r="AC257" i="82"/>
  <c r="AE257" i="82"/>
  <c r="AG257" i="82"/>
  <c r="Y258" i="82"/>
  <c r="AA258" i="82"/>
  <c r="AC258" i="82"/>
  <c r="AE258" i="82"/>
  <c r="AG258" i="82"/>
  <c r="Y275" i="82"/>
  <c r="AA275" i="82"/>
  <c r="AC275" i="82"/>
  <c r="AE275" i="82"/>
  <c r="AG275" i="82"/>
  <c r="Y276" i="82"/>
  <c r="AA276" i="82"/>
  <c r="AC276" i="82"/>
  <c r="AE276" i="82"/>
  <c r="AG276" i="82"/>
  <c r="Y277" i="82"/>
  <c r="AA277" i="82"/>
  <c r="AC277" i="82"/>
  <c r="AE277" i="82"/>
  <c r="AG277" i="82"/>
  <c r="Y278" i="82"/>
  <c r="AA278" i="82"/>
  <c r="AC278" i="82"/>
  <c r="AE278" i="82"/>
  <c r="AG278" i="82"/>
  <c r="AI279" i="82"/>
  <c r="AG279" i="82"/>
  <c r="AE279" i="82"/>
  <c r="AC279" i="82"/>
  <c r="Y279" i="82"/>
  <c r="AA279" i="82"/>
  <c r="AD279" i="82"/>
  <c r="AH279" i="82"/>
  <c r="Y280" i="82"/>
  <c r="AA280" i="82"/>
  <c r="AC280" i="82"/>
  <c r="AE280" i="82"/>
  <c r="AG280" i="82"/>
  <c r="O284" i="82"/>
  <c r="Z284" i="82"/>
  <c r="AB284" i="82"/>
  <c r="AD284" i="82"/>
  <c r="AF284" i="82"/>
  <c r="AH284" i="82"/>
  <c r="AJ284" i="82"/>
  <c r="Y288" i="82"/>
  <c r="AA288" i="82"/>
  <c r="AC288" i="82"/>
  <c r="AE288" i="82"/>
  <c r="AG288" i="82"/>
  <c r="O292" i="82"/>
  <c r="Z292" i="82"/>
  <c r="AB292" i="82"/>
  <c r="AD292" i="82"/>
  <c r="AF292" i="82"/>
  <c r="AH292" i="82"/>
  <c r="AJ292" i="82"/>
  <c r="O293" i="82"/>
  <c r="Z293" i="82"/>
  <c r="AB293" i="82"/>
  <c r="AD293" i="82"/>
  <c r="AF293" i="82"/>
  <c r="AH293" i="82"/>
  <c r="AJ293" i="82"/>
  <c r="O294" i="82"/>
  <c r="Z294" i="82"/>
  <c r="AB294" i="82"/>
  <c r="AD294" i="82"/>
  <c r="AF294" i="82"/>
  <c r="AH294" i="82"/>
  <c r="AJ294" i="82"/>
  <c r="O295" i="82"/>
  <c r="Z295" i="82"/>
  <c r="AB295" i="82"/>
  <c r="AD295" i="82"/>
  <c r="AF295" i="82"/>
  <c r="AH295" i="82"/>
  <c r="AJ295" i="82"/>
  <c r="O296" i="82"/>
  <c r="Z296" i="82"/>
  <c r="AB296" i="82"/>
  <c r="AD296" i="82"/>
  <c r="AF296" i="82"/>
  <c r="AH296" i="82"/>
  <c r="AJ296" i="82"/>
  <c r="O297" i="82"/>
  <c r="Z297" i="82"/>
  <c r="AB297" i="82"/>
  <c r="AD297" i="82"/>
  <c r="AF297" i="82"/>
  <c r="AH297" i="82"/>
  <c r="AJ297" i="82"/>
  <c r="O298" i="82"/>
  <c r="Z298" i="82"/>
  <c r="AB298" i="82"/>
  <c r="AD298" i="82"/>
  <c r="AF298" i="82"/>
  <c r="AH298" i="82"/>
  <c r="AJ298" i="82"/>
  <c r="Y284" i="82"/>
  <c r="AA284" i="82"/>
  <c r="AC284" i="82"/>
  <c r="AE284" i="82"/>
  <c r="AG284" i="82"/>
  <c r="Y292" i="82"/>
  <c r="AA292" i="82"/>
  <c r="AC292" i="82"/>
  <c r="AE292" i="82"/>
  <c r="AG292" i="82"/>
  <c r="Y293" i="82"/>
  <c r="AA293" i="82"/>
  <c r="AC293" i="82"/>
  <c r="AE293" i="82"/>
  <c r="AG293" i="82"/>
  <c r="Y294" i="82"/>
  <c r="AA294" i="82"/>
  <c r="AC294" i="82"/>
  <c r="AE294" i="82"/>
  <c r="AG294" i="82"/>
  <c r="Y295" i="82"/>
  <c r="AA295" i="82"/>
  <c r="AC295" i="82"/>
  <c r="AE295" i="82"/>
  <c r="AG295" i="82"/>
  <c r="Y296" i="82"/>
  <c r="AA296" i="82"/>
  <c r="AC296" i="82"/>
  <c r="AE296" i="82"/>
  <c r="AG296" i="82"/>
  <c r="Y297" i="82"/>
  <c r="AA297" i="82"/>
  <c r="AC297" i="82"/>
  <c r="AE297" i="82"/>
  <c r="AG297" i="82"/>
  <c r="Y298" i="82"/>
  <c r="AA298" i="82"/>
  <c r="AC298" i="82"/>
  <c r="AE298" i="82"/>
  <c r="AG298" i="82"/>
  <c r="AG301" i="82" l="1"/>
  <c r="AC301" i="82"/>
  <c r="Y301" i="82"/>
  <c r="Y83" i="82"/>
  <c r="AG207" i="82"/>
  <c r="AC207" i="82"/>
  <c r="Y207" i="82"/>
  <c r="AJ83" i="82"/>
  <c r="AF83" i="82"/>
  <c r="AB83" i="82"/>
  <c r="O84" i="82"/>
  <c r="N85" i="82" s="1"/>
  <c r="S85" i="82" s="1"/>
  <c r="AC83" i="82"/>
  <c r="AE301" i="82"/>
  <c r="AA301" i="82"/>
  <c r="AE83" i="82"/>
  <c r="AE207" i="82"/>
  <c r="AA207" i="82"/>
  <c r="AH83" i="82"/>
  <c r="AD83" i="82"/>
  <c r="Z83" i="82"/>
  <c r="AG83" i="82"/>
  <c r="AA83" i="82"/>
  <c r="AK83" i="82" l="1"/>
  <c r="AK207" i="82"/>
  <c r="AK301" i="82"/>
  <c r="Q72" i="81" l="1"/>
  <c r="Q59" i="81"/>
  <c r="K59" i="81"/>
  <c r="P74" i="81" s="1"/>
  <c r="Q58" i="81"/>
  <c r="Q51" i="81"/>
  <c r="J50" i="81"/>
  <c r="M47" i="81"/>
  <c r="D46" i="81"/>
  <c r="F34" i="81"/>
  <c r="F62" i="81" s="1"/>
  <c r="F33" i="81"/>
  <c r="F61" i="81" s="1"/>
  <c r="F32" i="81"/>
  <c r="F60" i="81" s="1"/>
  <c r="F28" i="81"/>
  <c r="C28" i="81" s="1"/>
  <c r="F23" i="81"/>
  <c r="D24" i="81" s="1"/>
  <c r="D23" i="81"/>
  <c r="D22" i="81"/>
  <c r="F21" i="81"/>
  <c r="M20" i="81"/>
  <c r="F20" i="81"/>
  <c r="M19" i="81"/>
  <c r="M18" i="81"/>
  <c r="F18" i="81"/>
  <c r="F17" i="81"/>
  <c r="F15" i="81"/>
  <c r="Q72" i="80"/>
  <c r="Q59" i="80"/>
  <c r="K59" i="80"/>
  <c r="P74" i="80" s="1"/>
  <c r="Q58" i="80"/>
  <c r="Q51" i="80"/>
  <c r="J50" i="80"/>
  <c r="M47" i="80"/>
  <c r="D46" i="80"/>
  <c r="F34" i="80"/>
  <c r="F62" i="80" s="1"/>
  <c r="F33" i="80"/>
  <c r="F61" i="80" s="1"/>
  <c r="F32" i="80"/>
  <c r="F60" i="80" s="1"/>
  <c r="F28" i="80"/>
  <c r="C28" i="80" s="1"/>
  <c r="F23" i="80"/>
  <c r="D23" i="80" s="1"/>
  <c r="F21" i="80"/>
  <c r="M20" i="80"/>
  <c r="F20" i="80"/>
  <c r="M19" i="80"/>
  <c r="M18" i="80"/>
  <c r="F18" i="80"/>
  <c r="F17" i="80"/>
  <c r="F15" i="80"/>
  <c r="Q72" i="79"/>
  <c r="Q59" i="79"/>
  <c r="K59" i="79"/>
  <c r="P74" i="79" s="1"/>
  <c r="Q58" i="79"/>
  <c r="Q51" i="79"/>
  <c r="J50" i="79"/>
  <c r="M47" i="79"/>
  <c r="D46" i="79"/>
  <c r="F34" i="79"/>
  <c r="F62" i="79" s="1"/>
  <c r="F33" i="79"/>
  <c r="F61" i="79" s="1"/>
  <c r="F32" i="79"/>
  <c r="F60" i="79" s="1"/>
  <c r="F28" i="79"/>
  <c r="C28" i="79" s="1"/>
  <c r="F23" i="79"/>
  <c r="D23" i="79" s="1"/>
  <c r="D22" i="79"/>
  <c r="F21" i="79"/>
  <c r="M20" i="79"/>
  <c r="F20" i="79"/>
  <c r="M19" i="79"/>
  <c r="M18" i="79"/>
  <c r="F18" i="79"/>
  <c r="F17" i="79"/>
  <c r="F15" i="79"/>
  <c r="P71" i="39"/>
  <c r="Q71" i="39" s="1"/>
  <c r="I7" i="6"/>
  <c r="I17" i="3"/>
  <c r="N24" i="6"/>
  <c r="N23" i="6"/>
  <c r="N22" i="6"/>
  <c r="P61" i="81" l="1"/>
  <c r="J51" i="81"/>
  <c r="D24" i="80"/>
  <c r="P61" i="80"/>
  <c r="D22" i="80"/>
  <c r="J51" i="80"/>
  <c r="D24" i="79"/>
  <c r="P61" i="79"/>
  <c r="J51" i="79"/>
  <c r="N7" i="1"/>
  <c r="N8" i="1"/>
  <c r="N9" i="1"/>
  <c r="N6" i="1"/>
  <c r="C22" i="6"/>
  <c r="C21" i="6"/>
  <c r="G22" i="6"/>
  <c r="G21" i="6"/>
  <c r="G20" i="6"/>
  <c r="C20" i="6"/>
  <c r="C19" i="6"/>
  <c r="I38" i="39"/>
  <c r="G38" i="39"/>
  <c r="E38" i="39"/>
  <c r="F71" i="39"/>
  <c r="G71" i="39" s="1"/>
  <c r="H71" i="39" s="1"/>
  <c r="I71" i="39" s="1"/>
  <c r="J71" i="39" s="1"/>
  <c r="K71" i="39" s="1"/>
  <c r="L71" i="39" s="1"/>
  <c r="M71" i="39" s="1"/>
  <c r="N71" i="39" s="1"/>
  <c r="O71" i="39" s="1"/>
  <c r="E71" i="39"/>
  <c r="D71" i="39"/>
  <c r="I7" i="39"/>
  <c r="G7" i="39"/>
  <c r="E7" i="39"/>
  <c r="I5" i="39"/>
  <c r="G5" i="39"/>
  <c r="E5" i="39"/>
  <c r="F19" i="6" l="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7" i="6" s="1"/>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AC17" i="39" s="1"/>
  <c r="J27" i="39"/>
  <c r="AC27" i="39" s="1"/>
  <c r="F27" i="39"/>
  <c r="AA27" i="39" s="1"/>
  <c r="F11" i="21"/>
  <c r="S11" i="2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AC25" i="39" s="1"/>
  <c r="F25" i="39"/>
  <c r="AA25" i="39" s="1"/>
  <c r="F15" i="39"/>
  <c r="AA15" i="39" s="1"/>
  <c r="H15" i="39"/>
  <c r="U15" i="39" s="1"/>
  <c r="J15" i="39"/>
  <c r="W15" i="39" s="1"/>
  <c r="H41" i="39"/>
  <c r="U41" i="39" s="1"/>
  <c r="AB34"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K15" i="1" s="1"/>
  <c r="BN5" i="3"/>
  <c r="AZ343" i="3"/>
  <c r="BK5" i="3"/>
  <c r="BI5" i="3"/>
  <c r="BG5" i="3"/>
  <c r="BE5" i="3"/>
  <c r="BC5" i="3"/>
  <c r="G17" i="3"/>
  <c r="BA17" i="3"/>
  <c r="BT5" i="3"/>
  <c r="AZ350" i="3"/>
  <c r="AZ352" i="3"/>
  <c r="AZ356" i="3"/>
  <c r="AZ360" i="3"/>
  <c r="AZ364" i="3"/>
  <c r="AZ368" i="3"/>
  <c r="BA15" i="3"/>
  <c r="BB5" i="3"/>
  <c r="E15" i="6" s="1"/>
  <c r="BR5" i="3"/>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P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R11" i="1"/>
  <c r="J51" i="67"/>
  <c r="C42" i="1"/>
  <c r="C13" i="12"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S43" i="39"/>
  <c r="S37" i="39"/>
  <c r="U35" i="39"/>
  <c r="F32" i="39"/>
  <c r="AA32" i="39" s="1"/>
  <c r="U25" i="39"/>
  <c r="U31" i="39"/>
  <c r="S25" i="39"/>
  <c r="J21" i="39"/>
  <c r="AC21" i="39" s="1"/>
  <c r="F21" i="39"/>
  <c r="AA21" i="39" s="1"/>
  <c r="H21" i="39"/>
  <c r="W19" i="39"/>
  <c r="U19" i="39"/>
  <c r="S17"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c r="B3" i="3" s="1"/>
  <c r="BA13" i="3"/>
  <c r="AZ13" i="3" s="1"/>
  <c r="E10" i="6"/>
  <c r="BA5" i="3"/>
  <c r="E27" i="6" s="1"/>
  <c r="E11" i="6"/>
  <c r="BL17" i="3"/>
  <c r="AZ17" i="3" s="1"/>
  <c r="BL13" i="3"/>
  <c r="J56" i="9"/>
  <c r="J57" i="9"/>
  <c r="A24" i="51"/>
  <c r="B18" i="72" s="1"/>
  <c r="U29" i="34"/>
  <c r="E14" i="6"/>
  <c r="E64" i="39" s="1"/>
  <c r="E5" i="6"/>
  <c r="E32" i="6"/>
  <c r="L19" i="6"/>
  <c r="G1" i="68"/>
  <c r="K1" i="12"/>
  <c r="F30" i="6"/>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56" i="39"/>
  <c r="E51" i="40"/>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AB41" i="39"/>
  <c r="W25" i="39"/>
  <c r="U13" i="39"/>
  <c r="AB13" i="39"/>
  <c r="AA13" i="39"/>
  <c r="S13" i="39"/>
  <c r="S14" i="39"/>
  <c r="AA14" i="39"/>
  <c r="U43" i="39"/>
  <c r="AB43" i="39"/>
  <c r="AB11" i="39"/>
  <c r="U11" i="39"/>
  <c r="W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49" i="43"/>
  <c r="B56" i="43"/>
  <c r="B63" i="43"/>
  <c r="D23" i="15"/>
  <c r="D22" i="15"/>
  <c r="E4" i="4"/>
  <c r="B5" i="62" s="1"/>
  <c r="B73" i="72" s="1"/>
  <c r="C4" i="4"/>
  <c r="M6" i="1"/>
  <c r="O6" i="1" s="1"/>
  <c r="F30" i="68"/>
  <c r="C48" i="68" s="1"/>
  <c r="F30" i="11"/>
  <c r="C48" i="11"/>
  <c r="F28" i="67"/>
  <c r="F31" i="12"/>
  <c r="F52" i="9"/>
  <c r="M18" i="67"/>
  <c r="F32" i="67"/>
  <c r="F60" i="67"/>
  <c r="F30" i="69"/>
  <c r="F32" i="15"/>
  <c r="F60" i="15" s="1"/>
  <c r="M18" i="15"/>
  <c r="F28" i="15"/>
  <c r="T13" i="1"/>
  <c r="E305" i="3"/>
  <c r="E7" i="70"/>
  <c r="AA39" i="40"/>
  <c r="S39" i="40"/>
  <c r="S12" i="33"/>
  <c r="AA12" i="33"/>
  <c r="D68" i="9"/>
  <c r="F54" i="9"/>
  <c r="J32" i="39"/>
  <c r="H32" i="39"/>
  <c r="U32" i="39" s="1"/>
  <c r="S32" i="39"/>
  <c r="AB21" i="39"/>
  <c r="U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99" i="3"/>
  <c r="J59" i="9"/>
  <c r="J61" i="9"/>
  <c r="E314" i="3"/>
  <c r="E16" i="3"/>
  <c r="E434" i="3"/>
  <c r="E296" i="3"/>
  <c r="E196" i="3"/>
  <c r="E156" i="3"/>
  <c r="E148" i="3"/>
  <c r="E122"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19" i="3"/>
  <c r="E444" i="3"/>
  <c r="E460" i="3"/>
  <c r="E476" i="3"/>
  <c r="E491" i="3"/>
  <c r="E489" i="3"/>
  <c r="E520" i="3"/>
  <c r="E546" i="3"/>
  <c r="E417" i="3"/>
  <c r="E404" i="3"/>
  <c r="E436" i="3"/>
  <c r="E447" i="3"/>
  <c r="E479" i="3"/>
  <c r="E28" i="3"/>
  <c r="E39" i="3"/>
  <c r="E71" i="3"/>
  <c r="E56" i="3"/>
  <c r="E88" i="3"/>
  <c r="E90" i="3"/>
  <c r="E27" i="3"/>
  <c r="E37" i="3"/>
  <c r="E70" i="3"/>
  <c r="E57"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C30" i="11"/>
  <c r="E6" i="70"/>
  <c r="A18" i="62"/>
  <c r="B64" i="72"/>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s="1"/>
  <c r="J1" i="73"/>
  <c r="C30" i="6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 i="49"/>
  <c r="D70" i="39"/>
  <c r="E68" i="39"/>
  <c r="E70" i="39" s="1"/>
  <c r="V11" i="71"/>
  <c r="C11" i="71"/>
  <c r="D12" i="71"/>
  <c r="F68" i="39"/>
  <c r="F70" i="39" s="1"/>
  <c r="I59" i="34"/>
  <c r="D9" i="71"/>
  <c r="T11" i="71"/>
  <c r="D10" i="71"/>
  <c r="D11" i="71"/>
  <c r="G68" i="39"/>
  <c r="G70" i="39" s="1"/>
  <c r="C19" i="43"/>
  <c r="U11" i="71"/>
  <c r="H68" i="39"/>
  <c r="H70" i="39" s="1"/>
  <c r="I68" i="39"/>
  <c r="I70" i="39" s="1"/>
  <c r="J68" i="39"/>
  <c r="J70" i="39" s="1"/>
  <c r="K68" i="39"/>
  <c r="K70" i="39" s="1"/>
  <c r="L68" i="39"/>
  <c r="L70" i="39" s="1"/>
  <c r="M68" i="39"/>
  <c r="M70" i="39" s="1"/>
  <c r="N68" i="39"/>
  <c r="O68" i="39" s="1"/>
  <c r="O70" i="39" s="1"/>
  <c r="F35" i="67"/>
  <c r="M23" i="15"/>
  <c r="B12" i="76"/>
  <c r="E2" i="68"/>
  <c r="E13" i="76"/>
  <c r="F9" i="67"/>
  <c r="AO10" i="1"/>
  <c r="D7" i="73"/>
  <c r="M29" i="67"/>
  <c r="D34" i="9"/>
  <c r="D6" i="73"/>
  <c r="D2" i="21"/>
  <c r="E8" i="76"/>
  <c r="D2" i="34"/>
  <c r="M27" i="67"/>
  <c r="F4" i="73"/>
  <c r="M8" i="15"/>
  <c r="F6" i="67"/>
  <c r="D2" i="33"/>
  <c r="M26" i="15"/>
  <c r="E10" i="76"/>
  <c r="M9" i="15"/>
  <c r="B11" i="76"/>
  <c r="M22" i="15"/>
  <c r="F37" i="67"/>
  <c r="F7" i="73"/>
  <c r="F8" i="15"/>
  <c r="F16" i="67"/>
  <c r="F36" i="67"/>
  <c r="AO13" i="1"/>
  <c r="F9" i="15"/>
  <c r="M9" i="67"/>
  <c r="L48" i="67"/>
  <c r="D35" i="9"/>
  <c r="M28" i="15"/>
  <c r="F40" i="15"/>
  <c r="J15" i="15"/>
  <c r="E7" i="76"/>
  <c r="L47" i="67"/>
  <c r="F7" i="67"/>
  <c r="F42" i="67"/>
  <c r="B13" i="76"/>
  <c r="B10" i="76"/>
  <c r="F38" i="67"/>
  <c r="D2" i="36"/>
  <c r="F43" i="67"/>
  <c r="B9" i="76"/>
  <c r="F13" i="15"/>
  <c r="L47" i="15"/>
  <c r="E11" i="76"/>
  <c r="F7" i="15"/>
  <c r="F43" i="15"/>
  <c r="F41" i="67"/>
  <c r="M24" i="15"/>
  <c r="M27" i="15"/>
  <c r="F42" i="15"/>
  <c r="F16" i="15"/>
  <c r="B7" i="76"/>
  <c r="E2" i="69"/>
  <c r="AO11" i="1"/>
  <c r="F40" i="67"/>
  <c r="D5" i="73"/>
  <c r="B8" i="76"/>
  <c r="M28" i="67"/>
  <c r="E12" i="76"/>
  <c r="F6" i="15"/>
  <c r="F26" i="67"/>
  <c r="D4" i="73"/>
  <c r="E9" i="76"/>
  <c r="F3" i="73"/>
  <c r="M8" i="67"/>
  <c r="M21" i="67"/>
  <c r="M29" i="15"/>
  <c r="L48" i="15"/>
  <c r="J15" i="67"/>
  <c r="F37" i="15"/>
  <c r="M26" i="67"/>
  <c r="M22" i="67"/>
  <c r="M6" i="67"/>
  <c r="F6" i="73"/>
  <c r="M23" i="67"/>
  <c r="F36" i="15"/>
  <c r="F13" i="67"/>
  <c r="AO12" i="1"/>
  <c r="M6" i="15"/>
  <c r="D3" i="73"/>
  <c r="C76" i="15"/>
  <c r="F5" i="73"/>
  <c r="D2" i="37"/>
  <c r="F8" i="67"/>
  <c r="F38" i="15"/>
  <c r="D2" i="35"/>
  <c r="C76" i="67"/>
  <c r="F26" i="15"/>
  <c r="M24" i="67"/>
  <c r="F20" i="31"/>
  <c r="S27" i="39" l="1"/>
  <c r="S21" i="39"/>
  <c r="H52" i="43"/>
  <c r="H53" i="43"/>
  <c r="H55" i="43"/>
  <c r="H54" i="43"/>
  <c r="H48" i="43"/>
  <c r="H49" i="43"/>
  <c r="H51" i="43"/>
  <c r="H56" i="43"/>
  <c r="H50" i="43"/>
  <c r="H75" i="43"/>
  <c r="E2" i="70"/>
  <c r="E8" i="49"/>
  <c r="G1" i="79"/>
  <c r="G1" i="81"/>
  <c r="G1" i="80"/>
  <c r="B7" i="1"/>
  <c r="E7" i="1" s="1"/>
  <c r="G17" i="43"/>
  <c r="C16" i="43" s="1"/>
  <c r="D5" i="43" s="1"/>
  <c r="P61" i="15"/>
  <c r="G28" i="6"/>
  <c r="B113" i="43"/>
  <c r="E22" i="43"/>
  <c r="F22" i="43"/>
  <c r="H22" i="43"/>
  <c r="H101" i="43"/>
  <c r="M101" i="43"/>
  <c r="M104" i="43" s="1"/>
  <c r="E101" i="43"/>
  <c r="AH11" i="43"/>
  <c r="AH13" i="43" s="1"/>
  <c r="AD11" i="43"/>
  <c r="AD13" i="43" s="1"/>
  <c r="Z11" i="43"/>
  <c r="Z13" i="43" s="1"/>
  <c r="AG11" i="43"/>
  <c r="AG13" i="43" s="1"/>
  <c r="AC11" i="43"/>
  <c r="AC13" i="43" s="1"/>
  <c r="Y11" i="43"/>
  <c r="Y13" i="43" s="1"/>
  <c r="J22" i="43"/>
  <c r="L101" i="43"/>
  <c r="D101" i="43"/>
  <c r="D106" i="43" s="1"/>
  <c r="I101" i="43"/>
  <c r="I107" i="43" s="1"/>
  <c r="G22" i="43"/>
  <c r="AJ11" i="43"/>
  <c r="AJ13" i="43" s="1"/>
  <c r="AF11" i="43"/>
  <c r="AF13" i="43" s="1"/>
  <c r="AB11" i="43"/>
  <c r="AB13" i="43" s="1"/>
  <c r="Z7" i="43"/>
  <c r="AI11" i="43"/>
  <c r="AI13" i="43" s="1"/>
  <c r="AE11" i="43"/>
  <c r="AE13" i="43" s="1"/>
  <c r="AA11" i="43"/>
  <c r="AA13" i="43" s="1"/>
  <c r="C92" i="9"/>
  <c r="C94" i="9"/>
  <c r="C30" i="68"/>
  <c r="C28" i="67"/>
  <c r="C77" i="9"/>
  <c r="C74" i="9" s="1"/>
  <c r="C36" i="11"/>
  <c r="C31" i="12"/>
  <c r="D23" i="67"/>
  <c r="D102" i="43"/>
  <c r="H109" i="43"/>
  <c r="H106" i="43"/>
  <c r="E107" i="43"/>
  <c r="H16" i="1"/>
  <c r="L27" i="6"/>
  <c r="U42" i="39"/>
  <c r="AA12" i="39"/>
  <c r="S40" i="39"/>
  <c r="S42" i="39"/>
  <c r="U40" i="39"/>
  <c r="AA39" i="39"/>
  <c r="W39" i="39"/>
  <c r="W29" i="39"/>
  <c r="S29" i="39"/>
  <c r="AB27" i="39"/>
  <c r="W27" i="39"/>
  <c r="S19" i="39"/>
  <c r="U17" i="39"/>
  <c r="AC15" i="39"/>
  <c r="AB8" i="39"/>
  <c r="W40" i="39"/>
  <c r="AC11" i="39"/>
  <c r="S11" i="39"/>
  <c r="AB32" i="39"/>
  <c r="U37" i="39"/>
  <c r="S31" i="39"/>
  <c r="B4" i="49"/>
  <c r="E9" i="49"/>
  <c r="B22" i="49"/>
  <c r="E10" i="49"/>
  <c r="K4" i="4"/>
  <c r="B46" i="48" s="1"/>
  <c r="B4" i="72" s="1"/>
  <c r="F101" i="43"/>
  <c r="I104" i="43"/>
  <c r="I105" i="43"/>
  <c r="L106" i="43"/>
  <c r="L103" i="43"/>
  <c r="E175" i="3"/>
  <c r="E343" i="3"/>
  <c r="E508" i="3"/>
  <c r="AA6" i="3"/>
  <c r="E280" i="3"/>
  <c r="E270" i="3"/>
  <c r="E568" i="3"/>
  <c r="I6" i="3"/>
  <c r="E536" i="3"/>
  <c r="E549" i="3"/>
  <c r="E453" i="3"/>
  <c r="E368" i="3"/>
  <c r="E244" i="3"/>
  <c r="E245" i="3"/>
  <c r="E159" i="3"/>
  <c r="E191" i="3"/>
  <c r="E99" i="3"/>
  <c r="E188" i="3"/>
  <c r="E228" i="3"/>
  <c r="E181" i="3"/>
  <c r="E15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73" i="3"/>
  <c r="E41" i="3"/>
  <c r="E54" i="3"/>
  <c r="E25" i="3"/>
  <c r="E106" i="3"/>
  <c r="E104" i="3"/>
  <c r="E72" i="3"/>
  <c r="E40" i="3"/>
  <c r="E55" i="3"/>
  <c r="E26" i="3"/>
  <c r="E475" i="3"/>
  <c r="E463" i="3"/>
  <c r="E454" i="3"/>
  <c r="E420" i="3"/>
  <c r="E433" i="3"/>
  <c r="E401" i="3"/>
  <c r="E496" i="3"/>
  <c r="E470" i="3"/>
  <c r="E471" i="3"/>
  <c r="E483" i="3"/>
  <c r="E468" i="3"/>
  <c r="E452" i="3"/>
  <c r="E450" i="3"/>
  <c r="E429" i="3"/>
  <c r="E537" i="3"/>
  <c r="E577" i="3"/>
  <c r="E571" i="3"/>
  <c r="AE6" i="3"/>
  <c r="W6" i="3"/>
  <c r="E587" i="3"/>
  <c r="E562" i="3"/>
  <c r="E344" i="3"/>
  <c r="E288" i="3"/>
  <c r="E465" i="3"/>
  <c r="E457" i="3"/>
  <c r="E424" i="3"/>
  <c r="E438" i="3"/>
  <c r="E406" i="3"/>
  <c r="E527" i="3"/>
  <c r="E481" i="3"/>
  <c r="E474" i="3"/>
  <c r="E472" i="3"/>
  <c r="E458" i="3"/>
  <c r="E437" i="3"/>
  <c r="E502" i="3"/>
  <c r="R6" i="3"/>
  <c r="E499" i="3"/>
  <c r="E575" i="3"/>
  <c r="E286" i="3"/>
  <c r="E199" i="3"/>
  <c r="E253" i="3"/>
  <c r="E77" i="3"/>
  <c r="L107" i="43"/>
  <c r="E89" i="3"/>
  <c r="E269" i="3"/>
  <c r="E236" i="3"/>
  <c r="E136" i="3"/>
  <c r="E262" i="3"/>
  <c r="E306" i="3"/>
  <c r="AK6" i="3"/>
  <c r="E511" i="3"/>
  <c r="E124" i="3"/>
  <c r="E347" i="3"/>
  <c r="E530" i="3"/>
  <c r="I109" i="43"/>
  <c r="I102" i="43"/>
  <c r="I106" i="43"/>
  <c r="I103" i="43"/>
  <c r="L109" i="43"/>
  <c r="L102" i="43"/>
  <c r="L105" i="43"/>
  <c r="L104" i="43"/>
  <c r="D9" i="11"/>
  <c r="C9" i="11" s="1"/>
  <c r="D19" i="12"/>
  <c r="C19" i="12" s="1"/>
  <c r="E61" i="39"/>
  <c r="E56" i="40"/>
  <c r="E125" i="3"/>
  <c r="E53" i="3"/>
  <c r="E319" i="3"/>
  <c r="E501" i="3"/>
  <c r="E153" i="3"/>
  <c r="E426" i="3"/>
  <c r="E328" i="3"/>
  <c r="E583" i="3"/>
  <c r="X6" i="3"/>
  <c r="E336" i="3"/>
  <c r="E246" i="3"/>
  <c r="E293" i="3"/>
  <c r="E353" i="3"/>
  <c r="E385" i="3"/>
  <c r="E495" i="3"/>
  <c r="E518" i="3"/>
  <c r="AN6" i="3"/>
  <c r="AI6" i="3"/>
  <c r="E586" i="3"/>
  <c r="E578" i="3"/>
  <c r="E402" i="3"/>
  <c r="E423" i="3"/>
  <c r="E350" i="3"/>
  <c r="E382" i="3"/>
  <c r="E303" i="3"/>
  <c r="E263" i="3"/>
  <c r="E301"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60" i="40"/>
  <c r="E65" i="39"/>
  <c r="E109" i="43"/>
  <c r="H104" i="43"/>
  <c r="H103" i="43"/>
  <c r="E103" i="43"/>
  <c r="E106" i="4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128" i="3"/>
  <c r="E165" i="3"/>
  <c r="E205" i="3"/>
  <c r="E227" i="3"/>
  <c r="E352" i="3"/>
  <c r="E461" i="3"/>
  <c r="E510" i="3"/>
  <c r="E567" i="3"/>
  <c r="E545" i="3"/>
  <c r="E539" i="3"/>
  <c r="E329" i="3"/>
  <c r="AJ6" i="3"/>
  <c r="N6" i="3"/>
  <c r="E322" i="3"/>
  <c r="E282" i="3"/>
  <c r="E268" i="3"/>
  <c r="E553" i="3"/>
  <c r="E526" i="3"/>
  <c r="E366" i="3"/>
  <c r="E217" i="3"/>
  <c r="BL5" i="3"/>
  <c r="AZ15" i="3"/>
  <c r="AZ5" i="3" s="1"/>
  <c r="M7" i="1"/>
  <c r="O7" i="1" s="1"/>
  <c r="E12" i="6"/>
  <c r="E57" i="40" s="1"/>
  <c r="F31" i="6"/>
  <c r="Q16" i="1"/>
  <c r="F28" i="12" s="1"/>
  <c r="C29" i="12" s="1"/>
  <c r="D28" i="12" s="1"/>
  <c r="AR10"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516" i="3"/>
  <c r="E555" i="3"/>
  <c r="E579" i="3"/>
  <c r="E574" i="3"/>
  <c r="E569" i="3"/>
  <c r="E410" i="3"/>
  <c r="E431" i="3"/>
  <c r="E359" i="3"/>
  <c r="E396" i="3"/>
  <c r="E337" i="3"/>
  <c r="E247" i="3"/>
  <c r="E285" i="3"/>
  <c r="E229" i="3"/>
  <c r="E143" i="3"/>
  <c r="E201" i="3"/>
  <c r="E97" i="3"/>
  <c r="E151" i="3"/>
  <c r="E397" i="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B115" i="43"/>
  <c r="AQ11" i="1"/>
  <c r="T11" i="1"/>
  <c r="AR11" i="1"/>
  <c r="AQ13" i="1"/>
  <c r="C36" i="69"/>
  <c r="T10" i="1"/>
  <c r="T12" i="1"/>
  <c r="N104" i="46"/>
  <c r="J101" i="43"/>
  <c r="C101" i="43"/>
  <c r="G101" i="43"/>
  <c r="N101" i="43"/>
  <c r="K101" i="43"/>
  <c r="G30" i="6"/>
  <c r="G31" i="6" s="1"/>
  <c r="E28" i="6"/>
  <c r="E62" i="39"/>
  <c r="P6" i="1"/>
  <c r="P11" i="1"/>
  <c r="O12" i="1"/>
  <c r="P12" i="1" s="1"/>
  <c r="O8" i="1"/>
  <c r="P8" i="1" s="1"/>
  <c r="D9" i="68"/>
  <c r="C9" i="68" s="1"/>
  <c r="E59" i="40"/>
  <c r="D9" i="69"/>
  <c r="C9" i="69" s="1"/>
  <c r="E13" i="6"/>
  <c r="G16" i="1"/>
  <c r="F10" i="39" s="1"/>
  <c r="J7" i="39"/>
  <c r="W7" i="39" s="1"/>
  <c r="H7" i="39"/>
  <c r="U7" i="39" s="1"/>
  <c r="N70" i="39"/>
  <c r="F7" i="39" s="1"/>
  <c r="J59" i="34"/>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J7" i="36"/>
  <c r="D58" i="21"/>
  <c r="E48" i="35"/>
  <c r="F48" i="35" s="1"/>
  <c r="G48" i="35" s="1"/>
  <c r="H48" i="35" s="1"/>
  <c r="I48" i="35" s="1"/>
  <c r="J48" i="35" s="1"/>
  <c r="K48" i="35" s="1"/>
  <c r="L48" i="35" s="1"/>
  <c r="M48" i="35" s="1"/>
  <c r="N48" i="35" s="1"/>
  <c r="O48" i="35" s="1"/>
  <c r="D63" i="40"/>
  <c r="C65" i="40"/>
  <c r="J7" i="33"/>
  <c r="H7" i="33"/>
  <c r="D58" i="33"/>
  <c r="E58" i="33" s="1"/>
  <c r="F58" i="33" s="1"/>
  <c r="G58" i="33" s="1"/>
  <c r="H58" i="33" s="1"/>
  <c r="I58" i="33" s="1"/>
  <c r="J58" i="33" s="1"/>
  <c r="K58" i="33" s="1"/>
  <c r="L58" i="33" s="1"/>
  <c r="M58" i="33" s="1"/>
  <c r="N58" i="33" s="1"/>
  <c r="O58" i="33" s="1"/>
  <c r="C28" i="15"/>
  <c r="C48" i="69"/>
  <c r="C21" i="40"/>
  <c r="C17" i="40"/>
  <c r="B67" i="43"/>
  <c r="B60" i="43"/>
  <c r="B52" i="43"/>
  <c r="B65" i="43"/>
  <c r="C21" i="39"/>
  <c r="C25" i="39"/>
  <c r="C5" i="43"/>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F26" i="79"/>
  <c r="F9" i="80"/>
  <c r="F37" i="80"/>
  <c r="F43" i="81"/>
  <c r="F40" i="80"/>
  <c r="J15" i="79"/>
  <c r="M17" i="15"/>
  <c r="F13" i="81"/>
  <c r="M17" i="67"/>
  <c r="F16" i="81"/>
  <c r="M27" i="80"/>
  <c r="F38" i="79"/>
  <c r="M26" i="80"/>
  <c r="M8" i="81"/>
  <c r="F38" i="81"/>
  <c r="L47" i="79"/>
  <c r="F40" i="81"/>
  <c r="F26" i="80"/>
  <c r="C76" i="81"/>
  <c r="F40" i="79"/>
  <c r="M28" i="79"/>
  <c r="M28" i="80"/>
  <c r="F31" i="15"/>
  <c r="L48" i="80"/>
  <c r="F8" i="81"/>
  <c r="F31" i="67"/>
  <c r="F59" i="67"/>
  <c r="M27" i="79"/>
  <c r="M23" i="79"/>
  <c r="M9" i="80"/>
  <c r="L47" i="80"/>
  <c r="F13" i="79"/>
  <c r="F36" i="80"/>
  <c r="L48" i="81"/>
  <c r="F7" i="79"/>
  <c r="M28" i="81"/>
  <c r="F26" i="81"/>
  <c r="G1" i="73"/>
  <c r="F6" i="79"/>
  <c r="F37" i="81"/>
  <c r="J15" i="80"/>
  <c r="F16" i="80"/>
  <c r="M23" i="80"/>
  <c r="L48" i="79"/>
  <c r="M22" i="79"/>
  <c r="M23" i="81"/>
  <c r="F42" i="81"/>
  <c r="F9" i="79"/>
  <c r="M29" i="79"/>
  <c r="F6" i="81"/>
  <c r="F9" i="81"/>
  <c r="F8" i="79"/>
  <c r="F6" i="80"/>
  <c r="M22" i="81"/>
  <c r="F43" i="79"/>
  <c r="M26" i="81"/>
  <c r="C17" i="67"/>
  <c r="M24" i="81"/>
  <c r="M24" i="80"/>
  <c r="F36" i="79"/>
  <c r="F42" i="79"/>
  <c r="M27" i="81"/>
  <c r="F16" i="79"/>
  <c r="M29" i="81"/>
  <c r="F7" i="81"/>
  <c r="C16" i="15"/>
  <c r="C14" i="79"/>
  <c r="F42" i="80"/>
  <c r="M26" i="79"/>
  <c r="M22" i="80"/>
  <c r="M24" i="79"/>
  <c r="J15" i="81"/>
  <c r="M6" i="81"/>
  <c r="M9" i="81"/>
  <c r="F36" i="81"/>
  <c r="L47" i="81"/>
  <c r="F13" i="80"/>
  <c r="M8" i="79"/>
  <c r="F8" i="80"/>
  <c r="F43" i="80"/>
  <c r="M8" i="80"/>
  <c r="M6" i="79"/>
  <c r="M29" i="80"/>
  <c r="C76" i="80"/>
  <c r="F7" i="80"/>
  <c r="M6" i="80"/>
  <c r="C76" i="79"/>
  <c r="C16" i="67"/>
  <c r="C14" i="67"/>
  <c r="F59" i="15"/>
  <c r="F37" i="79"/>
  <c r="F38" i="80"/>
  <c r="M9" i="79"/>
  <c r="D22" i="43" l="1"/>
  <c r="Q71" i="81"/>
  <c r="C6" i="81"/>
  <c r="C27" i="81"/>
  <c r="F65" i="81"/>
  <c r="F50" i="81"/>
  <c r="M7" i="81"/>
  <c r="J6" i="81" s="1"/>
  <c r="F68" i="81"/>
  <c r="F71" i="81"/>
  <c r="I54" i="81"/>
  <c r="J57" i="81"/>
  <c r="J55" i="81" s="1"/>
  <c r="J58" i="81" s="1"/>
  <c r="Q50" i="81" s="1"/>
  <c r="J53" i="81"/>
  <c r="L56" i="81"/>
  <c r="F64" i="81"/>
  <c r="F66" i="81"/>
  <c r="F51" i="81"/>
  <c r="N59" i="81"/>
  <c r="L58" i="81"/>
  <c r="L59" i="81"/>
  <c r="M59" i="81"/>
  <c r="Q71" i="80"/>
  <c r="F65" i="80"/>
  <c r="F64" i="80"/>
  <c r="F66" i="80"/>
  <c r="M7" i="80"/>
  <c r="F50" i="80"/>
  <c r="M59" i="80"/>
  <c r="N59" i="80"/>
  <c r="L58" i="80"/>
  <c r="L59" i="80"/>
  <c r="C6" i="80"/>
  <c r="C27" i="80"/>
  <c r="F51" i="80"/>
  <c r="F68" i="80"/>
  <c r="F71" i="80"/>
  <c r="J57" i="80"/>
  <c r="J55" i="80" s="1"/>
  <c r="J58" i="80" s="1"/>
  <c r="Q50" i="80" s="1"/>
  <c r="I54" i="80"/>
  <c r="J53" i="80"/>
  <c r="Q71" i="79"/>
  <c r="F50" i="79"/>
  <c r="M7" i="79"/>
  <c r="C6" i="79"/>
  <c r="F64" i="79"/>
  <c r="F66" i="79"/>
  <c r="F51" i="79"/>
  <c r="L59" i="79"/>
  <c r="N59" i="79"/>
  <c r="L58" i="79"/>
  <c r="M59" i="79"/>
  <c r="C18" i="79"/>
  <c r="C15" i="79"/>
  <c r="C27" i="79"/>
  <c r="F65" i="79"/>
  <c r="F68" i="79"/>
  <c r="F71" i="79"/>
  <c r="J57" i="79"/>
  <c r="J55" i="79" s="1"/>
  <c r="J58" i="79" s="1"/>
  <c r="Q50" i="79" s="1"/>
  <c r="J53" i="79"/>
  <c r="I54" i="79"/>
  <c r="F11" i="81"/>
  <c r="M11" i="81"/>
  <c r="F11" i="80"/>
  <c r="M11" i="80"/>
  <c r="F11" i="79"/>
  <c r="M11" i="79"/>
  <c r="AC7" i="39"/>
  <c r="M103" i="43"/>
  <c r="M102" i="43"/>
  <c r="D103" i="43"/>
  <c r="M106" i="43"/>
  <c r="D107" i="43"/>
  <c r="M109" i="43"/>
  <c r="M107" i="43"/>
  <c r="AC6" i="3"/>
  <c r="E6" i="3" s="1"/>
  <c r="D104" i="43"/>
  <c r="D109" i="43"/>
  <c r="D105" i="43"/>
  <c r="M105" i="43"/>
  <c r="E102" i="43"/>
  <c r="E104" i="43"/>
  <c r="E105" i="43"/>
  <c r="H102" i="43"/>
  <c r="H105" i="43"/>
  <c r="H107" i="43"/>
  <c r="G118" i="43"/>
  <c r="H118" i="43" s="1"/>
  <c r="B117" i="43"/>
  <c r="C117" i="43" s="1"/>
  <c r="D117" i="43"/>
  <c r="E117" i="43" s="1"/>
  <c r="F117" i="43" s="1"/>
  <c r="G117" i="43" s="1"/>
  <c r="H117" i="43" s="1"/>
  <c r="D118" i="43"/>
  <c r="E118" i="43" s="1"/>
  <c r="F118" i="43" s="1"/>
  <c r="B118" i="43"/>
  <c r="C118" i="43" s="1"/>
  <c r="D115" i="43"/>
  <c r="E115" i="43" s="1"/>
  <c r="F115" i="43" s="1"/>
  <c r="G115" i="43" s="1"/>
  <c r="H115" i="43" s="1"/>
  <c r="P7" i="1"/>
  <c r="AB7" i="39"/>
  <c r="C115" i="43"/>
  <c r="F104" i="43"/>
  <c r="F102" i="43"/>
  <c r="F103" i="43"/>
  <c r="F109" i="43"/>
  <c r="F107" i="43"/>
  <c r="F106" i="43"/>
  <c r="F105" i="43"/>
  <c r="E3" i="6"/>
  <c r="D3" i="33" s="1"/>
  <c r="AY6" i="3"/>
  <c r="J10" i="40"/>
  <c r="F27" i="69"/>
  <c r="F27" i="68"/>
  <c r="F27" i="11"/>
  <c r="N102" i="43"/>
  <c r="N103" i="43"/>
  <c r="N106" i="43"/>
  <c r="N107" i="43"/>
  <c r="N105" i="43"/>
  <c r="N104" i="43"/>
  <c r="N109" i="43"/>
  <c r="C106" i="43"/>
  <c r="C105" i="43"/>
  <c r="C102" i="43"/>
  <c r="C109" i="43"/>
  <c r="C104" i="43"/>
  <c r="C107" i="43"/>
  <c r="C103" i="43"/>
  <c r="K103" i="43"/>
  <c r="K107" i="43"/>
  <c r="K104" i="43"/>
  <c r="K106" i="43"/>
  <c r="K102" i="43"/>
  <c r="K105" i="43"/>
  <c r="K109" i="43"/>
  <c r="G103" i="43"/>
  <c r="G109" i="43"/>
  <c r="G105" i="43"/>
  <c r="G102" i="43"/>
  <c r="G104" i="43"/>
  <c r="G107" i="43"/>
  <c r="G106" i="43"/>
  <c r="J103" i="43"/>
  <c r="J106" i="43"/>
  <c r="J104" i="43"/>
  <c r="J102" i="43"/>
  <c r="J105" i="43"/>
  <c r="J107" i="43"/>
  <c r="J109" i="43"/>
  <c r="D3" i="34"/>
  <c r="M18" i="9"/>
  <c r="B118" i="9" s="1"/>
  <c r="B14" i="74" s="1"/>
  <c r="B1" i="74" s="1"/>
  <c r="D3" i="37"/>
  <c r="K24" i="6"/>
  <c r="M24" i="6" s="1"/>
  <c r="I24" i="6" s="1"/>
  <c r="S24" i="6" s="1"/>
  <c r="K14" i="1"/>
  <c r="K26" i="6"/>
  <c r="M26" i="6" s="1"/>
  <c r="I26" i="6" s="1"/>
  <c r="S26" i="6" s="1"/>
  <c r="K19" i="6"/>
  <c r="E30" i="6"/>
  <c r="E31" i="6" s="1"/>
  <c r="K22" i="6"/>
  <c r="M22" i="6" s="1"/>
  <c r="I22" i="6" s="1"/>
  <c r="S22" i="6" s="1"/>
  <c r="K20" i="6"/>
  <c r="K21" i="6"/>
  <c r="M21" i="6" s="1"/>
  <c r="I21" i="6" s="1"/>
  <c r="S21" i="6" s="1"/>
  <c r="K25" i="6"/>
  <c r="M25" i="6" s="1"/>
  <c r="I25" i="6" s="1"/>
  <c r="S25" i="6" s="1"/>
  <c r="K23" i="6"/>
  <c r="M23" i="6" s="1"/>
  <c r="I23" i="6" s="1"/>
  <c r="S23" i="6" s="1"/>
  <c r="E58" i="40"/>
  <c r="E63" i="39"/>
  <c r="E16"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Q6" i="3"/>
  <c r="BM6" i="3"/>
  <c r="AY585" i="3"/>
  <c r="AY56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586" i="3"/>
  <c r="AY498"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BT6" i="3"/>
  <c r="AY567" i="3"/>
  <c r="E66" i="39"/>
  <c r="H10" i="39"/>
  <c r="U10" i="39" s="1"/>
  <c r="F10" i="40"/>
  <c r="S10" i="40" s="1"/>
  <c r="J10" i="39"/>
  <c r="W10" i="39" s="1"/>
  <c r="H10" i="40"/>
  <c r="AB10" i="40" s="1"/>
  <c r="S7" i="39"/>
  <c r="AA7" i="39"/>
  <c r="W10" i="40"/>
  <c r="AC10" i="40"/>
  <c r="AA10" i="40"/>
  <c r="F7" i="33"/>
  <c r="H7" i="35"/>
  <c r="F7" i="35"/>
  <c r="E58" i="21"/>
  <c r="F7" i="36"/>
  <c r="H7" i="36"/>
  <c r="J7" i="37"/>
  <c r="H7" i="37"/>
  <c r="S10" i="39"/>
  <c r="AA10" i="39"/>
  <c r="U7" i="33"/>
  <c r="AB7" i="33"/>
  <c r="T48" i="33" s="1"/>
  <c r="G48" i="33" s="1"/>
  <c r="W7" i="33"/>
  <c r="AC7" i="33"/>
  <c r="V48" i="33" s="1"/>
  <c r="I48" i="33" s="1"/>
  <c r="D65" i="40"/>
  <c r="E63" i="40"/>
  <c r="J7" i="35"/>
  <c r="AC7" i="36"/>
  <c r="V36" i="36" s="1"/>
  <c r="I36" i="36" s="1"/>
  <c r="W7" i="36"/>
  <c r="F7" i="37"/>
  <c r="K59" i="34"/>
  <c r="L59" i="34" s="1"/>
  <c r="M59" i="34" s="1"/>
  <c r="N59" i="34" s="1"/>
  <c r="O59" i="34" s="1"/>
  <c r="H7" i="34"/>
  <c r="F7" i="34"/>
  <c r="P24" i="43"/>
  <c r="B66" i="40" s="1"/>
  <c r="P21" i="43"/>
  <c r="C49" i="67"/>
  <c r="P25" i="43"/>
  <c r="P23" i="43"/>
  <c r="B71" i="39" s="1"/>
  <c r="M20" i="43"/>
  <c r="C49" i="15"/>
  <c r="C15" i="67"/>
  <c r="C18" i="67"/>
  <c r="B40" i="1"/>
  <c r="F24" i="81" s="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M17" i="80"/>
  <c r="C16" i="80"/>
  <c r="AE6" i="1"/>
  <c r="M17" i="79"/>
  <c r="F31" i="79"/>
  <c r="F59" i="79"/>
  <c r="F59" i="81"/>
  <c r="F31" i="81"/>
  <c r="F31" i="80"/>
  <c r="C16" i="81"/>
  <c r="C16" i="79"/>
  <c r="C17" i="79"/>
  <c r="M17" i="81"/>
  <c r="F59" i="80"/>
  <c r="E41" i="43" l="1"/>
  <c r="C41" i="43" s="1"/>
  <c r="C20" i="43"/>
  <c r="J10" i="81"/>
  <c r="J5" i="81" s="1"/>
  <c r="J26" i="81" s="1"/>
  <c r="C19" i="79"/>
  <c r="C20" i="79" s="1"/>
  <c r="C26" i="79" s="1"/>
  <c r="C49" i="79"/>
  <c r="J6" i="79"/>
  <c r="J19" i="79" s="1"/>
  <c r="C49" i="81"/>
  <c r="R47" i="39"/>
  <c r="E47" i="39" s="1"/>
  <c r="Q73" i="79"/>
  <c r="Q60" i="79"/>
  <c r="Q74" i="79"/>
  <c r="Q61" i="79"/>
  <c r="C33" i="79"/>
  <c r="C32" i="79"/>
  <c r="L56" i="80"/>
  <c r="Q52" i="80"/>
  <c r="F1" i="80"/>
  <c r="C49" i="80"/>
  <c r="C33" i="80"/>
  <c r="C32" i="80"/>
  <c r="Q60" i="80"/>
  <c r="Q73" i="80"/>
  <c r="J6" i="80"/>
  <c r="J10" i="80" s="1"/>
  <c r="J5" i="80" s="1"/>
  <c r="Q73" i="81"/>
  <c r="Q60" i="81"/>
  <c r="Q52" i="81"/>
  <c r="F1" i="81"/>
  <c r="C33" i="81"/>
  <c r="C32" i="81"/>
  <c r="L56" i="79"/>
  <c r="F1" i="79"/>
  <c r="Q52" i="79"/>
  <c r="Q74" i="80"/>
  <c r="Q61" i="80"/>
  <c r="Q61" i="81"/>
  <c r="Q74" i="81"/>
  <c r="J19" i="81"/>
  <c r="J18" i="81"/>
  <c r="C24" i="81"/>
  <c r="C53" i="81"/>
  <c r="C10" i="81"/>
  <c r="C5" i="81" s="1"/>
  <c r="F24" i="79"/>
  <c r="C24" i="79" s="1"/>
  <c r="F24" i="80"/>
  <c r="C53" i="80"/>
  <c r="C10" i="80"/>
  <c r="C5" i="80" s="1"/>
  <c r="C53" i="79"/>
  <c r="C10" i="79"/>
  <c r="C5" i="79" s="1"/>
  <c r="D113" i="43"/>
  <c r="C38" i="39"/>
  <c r="S3" i="43"/>
  <c r="T3" i="43" s="1"/>
  <c r="V3" i="43" s="1"/>
  <c r="S4" i="43"/>
  <c r="S2" i="43"/>
  <c r="T2" i="43" s="1"/>
  <c r="V2" i="43" s="1"/>
  <c r="S5" i="43"/>
  <c r="C23" i="43"/>
  <c r="C21" i="43" s="1"/>
  <c r="C29" i="43" s="1"/>
  <c r="S6" i="43"/>
  <c r="S7" i="43"/>
  <c r="T7" i="43" s="1"/>
  <c r="V7" i="43" s="1"/>
  <c r="M20" i="6"/>
  <c r="I20" i="6" s="1"/>
  <c r="S20" i="6" s="1"/>
  <c r="S9" i="1"/>
  <c r="S7" i="1"/>
  <c r="S6" i="1"/>
  <c r="S8" i="1"/>
  <c r="L18" i="9"/>
  <c r="D37" i="11"/>
  <c r="C37" i="11" s="1"/>
  <c r="E6" i="6"/>
  <c r="D6" i="6" s="1"/>
  <c r="D3" i="21"/>
  <c r="D19" i="11"/>
  <c r="C19" i="11" s="1"/>
  <c r="D14" i="12"/>
  <c r="C14" i="12" s="1"/>
  <c r="C17" i="4"/>
  <c r="B4" i="52" s="1"/>
  <c r="B43" i="72" s="1"/>
  <c r="U10" i="40"/>
  <c r="AR6" i="1"/>
  <c r="T6" i="1"/>
  <c r="C29" i="11"/>
  <c r="D27" i="11" s="1"/>
  <c r="C47" i="11"/>
  <c r="D45" i="11" s="1"/>
  <c r="C47" i="69"/>
  <c r="D45" i="69" s="1"/>
  <c r="C29" i="69"/>
  <c r="D27" i="69" s="1"/>
  <c r="C29" i="68"/>
  <c r="D27" i="68" s="1"/>
  <c r="C47" i="68"/>
  <c r="D45" i="68" s="1"/>
  <c r="AB10" i="39"/>
  <c r="T47" i="39" s="1"/>
  <c r="D19" i="6"/>
  <c r="D26" i="6"/>
  <c r="C18" i="4"/>
  <c r="D8" i="6"/>
  <c r="D23" i="6"/>
  <c r="D14" i="6"/>
  <c r="D5" i="6"/>
  <c r="D12" i="6"/>
  <c r="D11" i="6"/>
  <c r="D13" i="6"/>
  <c r="D28" i="6"/>
  <c r="E61" i="40"/>
  <c r="H23" i="6"/>
  <c r="H26" i="6"/>
  <c r="D9" i="6"/>
  <c r="D10" i="6"/>
  <c r="L19" i="9"/>
  <c r="D29" i="6"/>
  <c r="H25" i="6"/>
  <c r="H22" i="6"/>
  <c r="H21" i="6"/>
  <c r="H24" i="6"/>
  <c r="H20" i="6"/>
  <c r="M19" i="9"/>
  <c r="C118" i="9" s="1"/>
  <c r="C14" i="74" s="1"/>
  <c r="B2" i="74" s="1"/>
  <c r="D25" i="6"/>
  <c r="R25" i="6" s="1"/>
  <c r="D15" i="6"/>
  <c r="D22" i="6"/>
  <c r="D21" i="6"/>
  <c r="D24" i="6"/>
  <c r="D20" i="6"/>
  <c r="K27" i="6"/>
  <c r="M19" i="6"/>
  <c r="M14" i="1"/>
  <c r="C34" i="69"/>
  <c r="K16" i="1"/>
  <c r="B29" i="1" s="1"/>
  <c r="C20" i="11"/>
  <c r="C28" i="11" s="1"/>
  <c r="C27" i="11" s="1"/>
  <c r="C8" i="74"/>
  <c r="C7" i="74"/>
  <c r="D10" i="11"/>
  <c r="C10" i="11" s="1"/>
  <c r="D20" i="12"/>
  <c r="C20" i="12" s="1"/>
  <c r="C18" i="12" s="1"/>
  <c r="D10" i="69"/>
  <c r="D10" i="68"/>
  <c r="AC10" i="39"/>
  <c r="V47" i="39" s="1"/>
  <c r="I47" i="39" s="1"/>
  <c r="I51" i="39" s="1"/>
  <c r="J51" i="39" s="1"/>
  <c r="S7" i="34"/>
  <c r="AA7" i="34"/>
  <c r="R49" i="34" s="1"/>
  <c r="AC7" i="35"/>
  <c r="V38" i="35" s="1"/>
  <c r="I38" i="35" s="1"/>
  <c r="W7" i="35"/>
  <c r="AC7" i="37"/>
  <c r="V42" i="37" s="1"/>
  <c r="I42" i="37" s="1"/>
  <c r="W7" i="37"/>
  <c r="S7" i="36"/>
  <c r="AA7" i="36"/>
  <c r="R36" i="36" s="1"/>
  <c r="AA7" i="35"/>
  <c r="R38" i="35" s="1"/>
  <c r="S7" i="35"/>
  <c r="AB7" i="34"/>
  <c r="T49" i="34" s="1"/>
  <c r="G49" i="34" s="1"/>
  <c r="U7" i="34"/>
  <c r="AA7" i="37"/>
  <c r="R42" i="37" s="1"/>
  <c r="S7" i="37"/>
  <c r="I40" i="36"/>
  <c r="J40" i="36" s="1"/>
  <c r="F63" i="40"/>
  <c r="E65" i="40"/>
  <c r="I52" i="33"/>
  <c r="J52" i="33" s="1"/>
  <c r="G52" i="33"/>
  <c r="H52" i="33" s="1"/>
  <c r="G53" i="33"/>
  <c r="H53" i="33" s="1"/>
  <c r="AB7" i="37"/>
  <c r="T42" i="37" s="1"/>
  <c r="G42" i="37" s="1"/>
  <c r="U7" i="37"/>
  <c r="AB7" i="36"/>
  <c r="T36" i="36" s="1"/>
  <c r="G36" i="36" s="1"/>
  <c r="U7" i="36"/>
  <c r="F58" i="21"/>
  <c r="U7" i="35"/>
  <c r="AB7" i="35"/>
  <c r="T38" i="35" s="1"/>
  <c r="G38" i="35" s="1"/>
  <c r="S7" i="33"/>
  <c r="AA7" i="33"/>
  <c r="R48" i="33" s="1"/>
  <c r="J7" i="34"/>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AE7" i="1"/>
  <c r="AE9" i="1"/>
  <c r="F41" i="15"/>
  <c r="AE8" i="1"/>
  <c r="C17" i="81"/>
  <c r="C14" i="15"/>
  <c r="C17" i="80"/>
  <c r="C17" i="15"/>
  <c r="T6" i="43" l="1"/>
  <c r="V6" i="43" s="1"/>
  <c r="T5" i="43"/>
  <c r="V5" i="43" s="1"/>
  <c r="T4" i="43"/>
  <c r="V4" i="43" s="1"/>
  <c r="C34" i="43"/>
  <c r="C33" i="43"/>
  <c r="T14" i="43"/>
  <c r="V14" i="43" s="1"/>
  <c r="T10" i="43"/>
  <c r="V10" i="43" s="1"/>
  <c r="T13" i="43"/>
  <c r="V13" i="43" s="1"/>
  <c r="C35" i="43"/>
  <c r="C36" i="43"/>
  <c r="T9" i="43"/>
  <c r="V9" i="43" s="1"/>
  <c r="T16" i="43"/>
  <c r="V16" i="43" s="1"/>
  <c r="T11" i="43"/>
  <c r="V11" i="43" s="1"/>
  <c r="C37" i="43"/>
  <c r="T8" i="43"/>
  <c r="V8" i="43" s="1"/>
  <c r="T12" i="43"/>
  <c r="V12" i="43" s="1"/>
  <c r="T15" i="43"/>
  <c r="V15" i="43" s="1"/>
  <c r="C38" i="43"/>
  <c r="C39" i="43"/>
  <c r="F69" i="15"/>
  <c r="J29" i="15"/>
  <c r="D17" i="12"/>
  <c r="C17" i="12" s="1"/>
  <c r="J18" i="79"/>
  <c r="C23" i="79"/>
  <c r="C48" i="79"/>
  <c r="C66" i="79" s="1"/>
  <c r="C48" i="81"/>
  <c r="C66" i="81" s="1"/>
  <c r="J24" i="81"/>
  <c r="J10" i="79"/>
  <c r="J5" i="79" s="1"/>
  <c r="J26" i="79" s="1"/>
  <c r="J26" i="80"/>
  <c r="J24" i="80"/>
  <c r="C18" i="15"/>
  <c r="C15" i="15"/>
  <c r="G47" i="39"/>
  <c r="R48" i="39"/>
  <c r="C48" i="39" s="1"/>
  <c r="AQ6" i="1"/>
  <c r="C48" i="80"/>
  <c r="C66" i="80" s="1"/>
  <c r="J19" i="80"/>
  <c r="J18" i="80"/>
  <c r="C38" i="81"/>
  <c r="C38" i="80"/>
  <c r="C24" i="80"/>
  <c r="C29" i="79"/>
  <c r="J59" i="79" s="1"/>
  <c r="J60" i="79" s="1"/>
  <c r="Q48" i="79" s="1"/>
  <c r="C38" i="79"/>
  <c r="S16" i="1"/>
  <c r="H38" i="39"/>
  <c r="J38" i="39"/>
  <c r="F38" i="39"/>
  <c r="E29" i="43"/>
  <c r="C30" i="43"/>
  <c r="E30" i="43" s="1"/>
  <c r="AR9" i="1"/>
  <c r="T9" i="1"/>
  <c r="AQ9" i="1"/>
  <c r="AR8" i="1"/>
  <c r="AQ8" i="1"/>
  <c r="T8" i="1"/>
  <c r="AR7" i="1"/>
  <c r="AQ7" i="1"/>
  <c r="T7" i="1"/>
  <c r="R24" i="6"/>
  <c r="R22" i="6"/>
  <c r="D30" i="6"/>
  <c r="D16" i="6"/>
  <c r="C10" i="69"/>
  <c r="C8" i="69" s="1"/>
  <c r="C5" i="69" s="1"/>
  <c r="C23" i="69" s="1"/>
  <c r="D19" i="69"/>
  <c r="C10" i="68"/>
  <c r="D19" i="68"/>
  <c r="C35" i="69"/>
  <c r="C38" i="69"/>
  <c r="I19" i="6"/>
  <c r="M27" i="6"/>
  <c r="R20" i="6"/>
  <c r="R21" i="6"/>
  <c r="D8" i="74"/>
  <c r="D7" i="74"/>
  <c r="R23" i="6"/>
  <c r="A7" i="51"/>
  <c r="B7" i="72" s="1"/>
  <c r="C4" i="52"/>
  <c r="B45" i="72" s="1"/>
  <c r="A10" i="51"/>
  <c r="B9" i="72" s="1"/>
  <c r="D27" i="6"/>
  <c r="D31" i="6" s="1"/>
  <c r="O14" i="1"/>
  <c r="O16" i="1" s="1"/>
  <c r="M16" i="1"/>
  <c r="R26" i="6"/>
  <c r="G58" i="21"/>
  <c r="H58" i="21" s="1"/>
  <c r="I58" i="21" s="1"/>
  <c r="J58" i="21" s="1"/>
  <c r="K58" i="21" s="1"/>
  <c r="L58" i="21" s="1"/>
  <c r="M58" i="21" s="1"/>
  <c r="N58" i="21" s="1"/>
  <c r="O58" i="21" s="1"/>
  <c r="F7" i="21"/>
  <c r="G47" i="37"/>
  <c r="H47" i="37" s="1"/>
  <c r="G46" i="37"/>
  <c r="H46" i="37" s="1"/>
  <c r="R49" i="33"/>
  <c r="E48" i="33"/>
  <c r="G42" i="35"/>
  <c r="H42" i="35" s="1"/>
  <c r="G43" i="35"/>
  <c r="H43" i="35" s="1"/>
  <c r="H7" i="21"/>
  <c r="R37" i="36"/>
  <c r="E36" i="36"/>
  <c r="E49" i="34"/>
  <c r="R50" i="34"/>
  <c r="J7" i="21"/>
  <c r="W7" i="34"/>
  <c r="AC7" i="34"/>
  <c r="V49" i="34" s="1"/>
  <c r="I49" i="34" s="1"/>
  <c r="E51" i="39"/>
  <c r="F51" i="39" s="1"/>
  <c r="I52" i="39"/>
  <c r="J52" i="39" s="1"/>
  <c r="E52" i="39"/>
  <c r="F52" i="39" s="1"/>
  <c r="G40" i="36"/>
  <c r="H40" i="36" s="1"/>
  <c r="G41" i="36"/>
  <c r="H41" i="36" s="1"/>
  <c r="G63" i="40"/>
  <c r="F65" i="40"/>
  <c r="R43" i="37"/>
  <c r="E42" i="37"/>
  <c r="G54" i="34"/>
  <c r="H54" i="34" s="1"/>
  <c r="G53" i="34"/>
  <c r="H53" i="34" s="1"/>
  <c r="E38" i="35"/>
  <c r="I43" i="35" s="1"/>
  <c r="J43" i="35" s="1"/>
  <c r="R39" i="35"/>
  <c r="I47" i="37"/>
  <c r="J47" i="37" s="1"/>
  <c r="I46" i="37"/>
  <c r="J46" i="37" s="1"/>
  <c r="I42" i="35"/>
  <c r="J42" i="35"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F41" i="79"/>
  <c r="C14" i="81"/>
  <c r="C14" i="80"/>
  <c r="F41" i="81"/>
  <c r="F41" i="80"/>
  <c r="C47" i="39" l="1"/>
  <c r="G39" i="43"/>
  <c r="I39" i="43" s="1"/>
  <c r="E39" i="43"/>
  <c r="E35" i="43"/>
  <c r="G35" i="43"/>
  <c r="I35" i="43" s="1"/>
  <c r="G33" i="43"/>
  <c r="I33" i="43" s="1"/>
  <c r="E33" i="43"/>
  <c r="E38" i="43"/>
  <c r="G38" i="43"/>
  <c r="I38" i="43" s="1"/>
  <c r="E37" i="43"/>
  <c r="G37" i="43"/>
  <c r="I37" i="43" s="1"/>
  <c r="E36" i="43"/>
  <c r="G36" i="43"/>
  <c r="I36" i="43" s="1"/>
  <c r="G34" i="43"/>
  <c r="I34" i="43" s="1"/>
  <c r="E34" i="43"/>
  <c r="F69" i="80"/>
  <c r="J29" i="81"/>
  <c r="F69" i="81"/>
  <c r="F69" i="79"/>
  <c r="J29" i="79"/>
  <c r="J29" i="80"/>
  <c r="C60" i="79"/>
  <c r="C60" i="80"/>
  <c r="C60" i="81"/>
  <c r="C19" i="15"/>
  <c r="J24" i="79"/>
  <c r="C20" i="15"/>
  <c r="C26" i="15" s="1"/>
  <c r="T16" i="1"/>
  <c r="C15" i="80"/>
  <c r="C18" i="80"/>
  <c r="C15" i="81"/>
  <c r="C18" i="81"/>
  <c r="G51" i="39"/>
  <c r="H51" i="39" s="1"/>
  <c r="G52" i="39"/>
  <c r="H52" i="39" s="1"/>
  <c r="C57" i="79"/>
  <c r="C36" i="79"/>
  <c r="J14" i="79"/>
  <c r="C13" i="79"/>
  <c r="Q49" i="79"/>
  <c r="W38" i="39"/>
  <c r="AC38" i="39"/>
  <c r="AA38" i="39"/>
  <c r="S38" i="39"/>
  <c r="AB38" i="39"/>
  <c r="U38" i="39"/>
  <c r="R7" i="1"/>
  <c r="R9" i="1"/>
  <c r="P14" i="1"/>
  <c r="P16" i="1" s="1"/>
  <c r="C11" i="12" s="1"/>
  <c r="I6" i="6"/>
  <c r="I5" i="6"/>
  <c r="S19" i="6"/>
  <c r="S27" i="6" s="1"/>
  <c r="I27" i="6"/>
  <c r="H19" i="6"/>
  <c r="C19" i="68"/>
  <c r="D37" i="68"/>
  <c r="C37" i="68" s="1"/>
  <c r="C19" i="69"/>
  <c r="C24" i="69" s="1"/>
  <c r="D37" i="69"/>
  <c r="C37" i="69" s="1"/>
  <c r="C33" i="69" s="1"/>
  <c r="C34" i="11"/>
  <c r="L16" i="1"/>
  <c r="N16" i="1"/>
  <c r="C34" i="68"/>
  <c r="W7" i="21"/>
  <c r="AC7" i="21"/>
  <c r="V48" i="21" s="1"/>
  <c r="I48" i="21" s="1"/>
  <c r="E54" i="34"/>
  <c r="F54" i="34" s="1"/>
  <c r="E53" i="34"/>
  <c r="F53" i="34" s="1"/>
  <c r="C38" i="35"/>
  <c r="C39" i="35"/>
  <c r="B2" i="35" s="1"/>
  <c r="B3" i="35" s="1"/>
  <c r="E46" i="37"/>
  <c r="F46" i="37" s="1"/>
  <c r="E47" i="37"/>
  <c r="F47" i="37" s="1"/>
  <c r="C49" i="34"/>
  <c r="C50" i="34"/>
  <c r="B2" i="34" s="1"/>
  <c r="B3" i="34" s="1"/>
  <c r="E40" i="36"/>
  <c r="F40" i="36" s="1"/>
  <c r="E41" i="36"/>
  <c r="F41" i="36" s="1"/>
  <c r="I41" i="36"/>
  <c r="J41" i="36" s="1"/>
  <c r="U7" i="21"/>
  <c r="AB7" i="21"/>
  <c r="T48" i="21" s="1"/>
  <c r="G48" i="21" s="1"/>
  <c r="C48" i="33"/>
  <c r="C49" i="33"/>
  <c r="B2" i="33" s="1"/>
  <c r="B3" i="33" s="1"/>
  <c r="E42" i="35"/>
  <c r="F42" i="35" s="1"/>
  <c r="E43" i="35"/>
  <c r="F43" i="35" s="1"/>
  <c r="C43" i="37"/>
  <c r="B2" i="37" s="1"/>
  <c r="B3" i="37" s="1"/>
  <c r="C42" i="37"/>
  <c r="H63" i="40"/>
  <c r="G65" i="40"/>
  <c r="I54" i="34"/>
  <c r="J54" i="34" s="1"/>
  <c r="I53" i="34"/>
  <c r="J53" i="34" s="1"/>
  <c r="C37" i="36"/>
  <c r="B2" i="36" s="1"/>
  <c r="B3" i="36" s="1"/>
  <c r="C36" i="36"/>
  <c r="E53" i="33"/>
  <c r="F53" i="33" s="1"/>
  <c r="E52" i="33"/>
  <c r="F52" i="33" s="1"/>
  <c r="I53" i="33"/>
  <c r="J53" i="33" s="1"/>
  <c r="B56" i="39"/>
  <c r="F56" i="39" s="1"/>
  <c r="B63" i="39"/>
  <c r="F63" i="39" s="1"/>
  <c r="B57" i="39"/>
  <c r="F57" i="39" s="1"/>
  <c r="B61" i="39"/>
  <c r="F61" i="39" s="1"/>
  <c r="B64" i="39"/>
  <c r="F64" i="39" s="1"/>
  <c r="H9" i="70" s="1"/>
  <c r="B59" i="39"/>
  <c r="F59" i="39" s="1"/>
  <c r="B58" i="39"/>
  <c r="F58" i="39" s="1"/>
  <c r="B60" i="39"/>
  <c r="F60" i="39" s="1"/>
  <c r="B65" i="39"/>
  <c r="F65" i="39" s="1"/>
  <c r="B62" i="39"/>
  <c r="F62" i="39" s="1"/>
  <c r="S7" i="21"/>
  <c r="AA7" i="21"/>
  <c r="R48" i="21" s="1"/>
  <c r="C33" i="15"/>
  <c r="J19" i="15"/>
  <c r="C22" i="11"/>
  <c r="C31" i="11" s="1"/>
  <c r="C36" i="67"/>
  <c r="C33" i="67"/>
  <c r="C31" i="67" s="1"/>
  <c r="J14" i="67"/>
  <c r="C13" i="67"/>
  <c r="J19" i="67"/>
  <c r="J17" i="67" s="1"/>
  <c r="C57" i="67"/>
  <c r="Q49" i="67"/>
  <c r="J59" i="67"/>
  <c r="J60" i="67" s="1"/>
  <c r="C26" i="43" l="1"/>
  <c r="B2" i="43" s="1"/>
  <c r="C6" i="68" s="1"/>
  <c r="C27" i="43"/>
  <c r="C19" i="80"/>
  <c r="C20" i="80" s="1"/>
  <c r="C26" i="80" s="1"/>
  <c r="C19" i="81"/>
  <c r="C20" i="81" s="1"/>
  <c r="C26" i="81" s="1"/>
  <c r="C23" i="15"/>
  <c r="C29" i="15" s="1"/>
  <c r="J59" i="15" s="1"/>
  <c r="J60" i="15" s="1"/>
  <c r="Q48" i="15" s="1"/>
  <c r="C75" i="79"/>
  <c r="Q70" i="79"/>
  <c r="C37" i="79"/>
  <c r="C56" i="79"/>
  <c r="C65" i="79" s="1"/>
  <c r="J13" i="79"/>
  <c r="J23" i="79" s="1"/>
  <c r="J22" i="79"/>
  <c r="C64" i="79"/>
  <c r="C61" i="79"/>
  <c r="F66" i="39"/>
  <c r="B2" i="39" s="1"/>
  <c r="C20" i="69"/>
  <c r="C28" i="69" s="1"/>
  <c r="C27" i="69" s="1"/>
  <c r="C38" i="68"/>
  <c r="C35" i="68"/>
  <c r="C39" i="69"/>
  <c r="C43" i="69" s="1"/>
  <c r="C42" i="69"/>
  <c r="H27" i="6"/>
  <c r="R19" i="6"/>
  <c r="R8" i="1" s="1"/>
  <c r="F50" i="11"/>
  <c r="F50" i="68"/>
  <c r="F50" i="69"/>
  <c r="C38" i="11"/>
  <c r="C35" i="11"/>
  <c r="C24" i="68"/>
  <c r="C15" i="12"/>
  <c r="C12" i="12"/>
  <c r="E48" i="21"/>
  <c r="R49" i="21"/>
  <c r="I63" i="40"/>
  <c r="H65" i="40"/>
  <c r="I52" i="21"/>
  <c r="J52" i="21" s="1"/>
  <c r="I53" i="21"/>
  <c r="J53" i="21" s="1"/>
  <c r="G53" i="21"/>
  <c r="H53" i="21" s="1"/>
  <c r="G52" i="21"/>
  <c r="H52" i="21" s="1"/>
  <c r="J13" i="67"/>
  <c r="J23" i="67" s="1"/>
  <c r="J22" i="67"/>
  <c r="C61" i="67"/>
  <c r="C59" i="67" s="1"/>
  <c r="C64" i="67"/>
  <c r="Q48" i="67"/>
  <c r="L46" i="67"/>
  <c r="C56" i="67"/>
  <c r="C65" i="67" s="1"/>
  <c r="C75" i="67"/>
  <c r="Q70" i="67"/>
  <c r="C37" i="67"/>
  <c r="C30" i="67" s="1"/>
  <c r="C39" i="67" s="1"/>
  <c r="E6" i="76"/>
  <c r="B6" i="76"/>
  <c r="L51" i="67"/>
  <c r="B3" i="39" l="1"/>
  <c r="E2" i="76"/>
  <c r="B2" i="76"/>
  <c r="B3" i="43"/>
  <c r="C57" i="15"/>
  <c r="Q49" i="15"/>
  <c r="J14" i="15"/>
  <c r="C36" i="15"/>
  <c r="C13" i="15"/>
  <c r="C23" i="80"/>
  <c r="C29" i="80" s="1"/>
  <c r="J59" i="80" s="1"/>
  <c r="J60" i="80" s="1"/>
  <c r="Q48" i="80" s="1"/>
  <c r="C23" i="81"/>
  <c r="C29" i="81" s="1"/>
  <c r="J59" i="81" s="1"/>
  <c r="J60" i="81" s="1"/>
  <c r="Q48" i="81" s="1"/>
  <c r="C7" i="68"/>
  <c r="C5" i="68" s="1"/>
  <c r="C25" i="69"/>
  <c r="C22" i="69" s="1"/>
  <c r="C31" i="69" s="1"/>
  <c r="C41" i="69"/>
  <c r="C33" i="68"/>
  <c r="C39" i="68" s="1"/>
  <c r="C46" i="69"/>
  <c r="C45" i="69" s="1"/>
  <c r="R27" i="6"/>
  <c r="R6" i="1"/>
  <c r="C16" i="12"/>
  <c r="C21" i="12" s="1"/>
  <c r="C22" i="12" s="1"/>
  <c r="C30" i="12" s="1"/>
  <c r="C28" i="12" s="1"/>
  <c r="C49" i="69"/>
  <c r="C51" i="69" s="1"/>
  <c r="C33" i="11"/>
  <c r="I65" i="40"/>
  <c r="J63" i="40"/>
  <c r="E53" i="21"/>
  <c r="F53" i="21" s="1"/>
  <c r="E52" i="21"/>
  <c r="F52" i="21" s="1"/>
  <c r="C49" i="21"/>
  <c r="B2" i="21" s="1"/>
  <c r="B3" i="21" s="1"/>
  <c r="C48" i="21"/>
  <c r="J16" i="67"/>
  <c r="J25" i="67" s="1"/>
  <c r="C80" i="67"/>
  <c r="C79" i="67" s="1"/>
  <c r="C58" i="67"/>
  <c r="C67" i="67" s="1"/>
  <c r="C68" i="67" s="1"/>
  <c r="Q69" i="67"/>
  <c r="Q68" i="67" s="1"/>
  <c r="C40" i="67"/>
  <c r="M21" i="80"/>
  <c r="F35" i="80"/>
  <c r="M21" i="79"/>
  <c r="F35" i="15"/>
  <c r="M21" i="81"/>
  <c r="M21" i="15"/>
  <c r="F35" i="81"/>
  <c r="F35" i="79"/>
  <c r="B3" i="76" l="1"/>
  <c r="Q70" i="15"/>
  <c r="C75" i="15"/>
  <c r="C56" i="15"/>
  <c r="C65" i="15" s="1"/>
  <c r="C37" i="15"/>
  <c r="J13" i="15"/>
  <c r="J23" i="15" s="1"/>
  <c r="J22" i="15"/>
  <c r="C61" i="15"/>
  <c r="C64" i="15"/>
  <c r="C57" i="80"/>
  <c r="J14" i="80"/>
  <c r="Q49" i="80"/>
  <c r="C36" i="80"/>
  <c r="C13" i="80"/>
  <c r="C36" i="81"/>
  <c r="C57" i="81"/>
  <c r="Q49" i="81"/>
  <c r="C13" i="81"/>
  <c r="J14" i="81"/>
  <c r="J20" i="81"/>
  <c r="J17" i="81" s="1"/>
  <c r="F63" i="81"/>
  <c r="C62" i="81" s="1"/>
  <c r="C34" i="81"/>
  <c r="C31" i="81" s="1"/>
  <c r="J20" i="80"/>
  <c r="J17" i="80" s="1"/>
  <c r="F63" i="80"/>
  <c r="C62" i="80" s="1"/>
  <c r="C34" i="80"/>
  <c r="C31" i="80" s="1"/>
  <c r="J20" i="79"/>
  <c r="J17" i="79" s="1"/>
  <c r="J16" i="79" s="1"/>
  <c r="J25" i="79" s="1"/>
  <c r="F63" i="79"/>
  <c r="C62" i="79" s="1"/>
  <c r="C59" i="79" s="1"/>
  <c r="C58" i="79" s="1"/>
  <c r="C67" i="79" s="1"/>
  <c r="C68" i="79" s="1"/>
  <c r="C34" i="79"/>
  <c r="C31" i="79" s="1"/>
  <c r="C30" i="79" s="1"/>
  <c r="C39" i="79" s="1"/>
  <c r="J20" i="15"/>
  <c r="J17" i="15" s="1"/>
  <c r="F63" i="15"/>
  <c r="C62" i="15" s="1"/>
  <c r="C34" i="15"/>
  <c r="C31" i="15" s="1"/>
  <c r="C30" i="15" s="1"/>
  <c r="C39" i="15" s="1"/>
  <c r="R16" i="1"/>
  <c r="C23" i="68"/>
  <c r="C20" i="68"/>
  <c r="C42" i="68"/>
  <c r="C52" i="69"/>
  <c r="B2" i="69" s="1"/>
  <c r="B3" i="69" s="1"/>
  <c r="C27" i="12"/>
  <c r="C25" i="12" s="1"/>
  <c r="C32" i="12" s="1"/>
  <c r="B2" i="12" s="1"/>
  <c r="B3" i="12" s="1"/>
  <c r="C39" i="11"/>
  <c r="C43" i="11" s="1"/>
  <c r="C42" i="11"/>
  <c r="C46" i="68"/>
  <c r="C45" i="68" s="1"/>
  <c r="C43" i="68"/>
  <c r="K63" i="40"/>
  <c r="J65" i="40"/>
  <c r="Q67" i="67"/>
  <c r="L57" i="67"/>
  <c r="L60" i="67" s="1"/>
  <c r="C45" i="67"/>
  <c r="C46" i="67" s="1"/>
  <c r="C71" i="67"/>
  <c r="C43" i="67"/>
  <c r="D2" i="67"/>
  <c r="Q47" i="67"/>
  <c r="Q53" i="67" s="1"/>
  <c r="Q56" i="67"/>
  <c r="Q65" i="67"/>
  <c r="C83" i="67"/>
  <c r="C82" i="67" s="1"/>
  <c r="L51" i="15"/>
  <c r="C59" i="15" l="1"/>
  <c r="C58" i="15" s="1"/>
  <c r="C67" i="15" s="1"/>
  <c r="C68" i="15" s="1"/>
  <c r="C71" i="15" s="1"/>
  <c r="J16" i="15"/>
  <c r="J25" i="15" s="1"/>
  <c r="J22" i="81"/>
  <c r="J13" i="81"/>
  <c r="J23" i="81" s="1"/>
  <c r="J22" i="80"/>
  <c r="J13" i="80"/>
  <c r="J23" i="80" s="1"/>
  <c r="C75" i="81"/>
  <c r="Q70" i="81"/>
  <c r="C56" i="81"/>
  <c r="C65" i="81" s="1"/>
  <c r="C37" i="81"/>
  <c r="C30" i="81" s="1"/>
  <c r="C39" i="81" s="1"/>
  <c r="C64" i="81"/>
  <c r="C61" i="81"/>
  <c r="C59" i="81" s="1"/>
  <c r="Q70" i="80"/>
  <c r="C56" i="80"/>
  <c r="C65" i="80" s="1"/>
  <c r="C75" i="80"/>
  <c r="C37" i="80"/>
  <c r="C30" i="80" s="1"/>
  <c r="C39" i="80" s="1"/>
  <c r="C61" i="80"/>
  <c r="C59" i="80" s="1"/>
  <c r="C64" i="80"/>
  <c r="C71" i="79"/>
  <c r="Q69" i="79"/>
  <c r="Q68" i="79" s="1"/>
  <c r="C40" i="79"/>
  <c r="C80" i="79"/>
  <c r="C79" i="79" s="1"/>
  <c r="Q67" i="15"/>
  <c r="L57" i="15"/>
  <c r="L60" i="15" s="1"/>
  <c r="L46" i="15" s="1"/>
  <c r="C80" i="15"/>
  <c r="C79" i="15" s="1"/>
  <c r="C40" i="15"/>
  <c r="Q69" i="15"/>
  <c r="Q68" i="15" s="1"/>
  <c r="C28" i="68"/>
  <c r="C27" i="68" s="1"/>
  <c r="C25" i="68"/>
  <c r="C22" i="68" s="1"/>
  <c r="C41" i="11"/>
  <c r="C41" i="68"/>
  <c r="C49" i="68" s="1"/>
  <c r="C51" i="68" s="1"/>
  <c r="C57" i="69"/>
  <c r="C56" i="69" s="1"/>
  <c r="C46" i="11"/>
  <c r="C45" i="11" s="1"/>
  <c r="L63" i="40"/>
  <c r="K65" i="40"/>
  <c r="Q66" i="67"/>
  <c r="Q75" i="67" s="1"/>
  <c r="Q57" i="67"/>
  <c r="Q62" i="67" s="1"/>
  <c r="B2" i="67"/>
  <c r="B3" i="67"/>
  <c r="L51" i="79"/>
  <c r="L51" i="80"/>
  <c r="L51" i="81"/>
  <c r="J16" i="81" l="1"/>
  <c r="J25" i="81" s="1"/>
  <c r="C58" i="81"/>
  <c r="C67" i="81" s="1"/>
  <c r="C68" i="81" s="1"/>
  <c r="C71" i="81" s="1"/>
  <c r="J16" i="80"/>
  <c r="J25" i="80" s="1"/>
  <c r="C80" i="80"/>
  <c r="C79" i="80" s="1"/>
  <c r="Q69" i="80"/>
  <c r="Q68" i="80" s="1"/>
  <c r="C40" i="80"/>
  <c r="Q47" i="80" s="1"/>
  <c r="Q53" i="80" s="1"/>
  <c r="Q69" i="81"/>
  <c r="Q68" i="81" s="1"/>
  <c r="C80" i="81"/>
  <c r="C79" i="81" s="1"/>
  <c r="C40" i="81"/>
  <c r="Q47" i="81" s="1"/>
  <c r="Q53" i="81" s="1"/>
  <c r="C58" i="80"/>
  <c r="C67" i="80" s="1"/>
  <c r="C68" i="80" s="1"/>
  <c r="C71" i="80" s="1"/>
  <c r="Q57" i="15"/>
  <c r="Q67" i="81"/>
  <c r="L57" i="81"/>
  <c r="L60" i="81" s="1"/>
  <c r="Q67" i="80"/>
  <c r="L57" i="80"/>
  <c r="L60" i="80" s="1"/>
  <c r="Q66" i="15"/>
  <c r="Q67" i="79"/>
  <c r="L57" i="79"/>
  <c r="L60" i="79" s="1"/>
  <c r="Q47" i="79"/>
  <c r="Q53" i="79" s="1"/>
  <c r="Q65" i="79"/>
  <c r="Q56" i="79"/>
  <c r="C43" i="79"/>
  <c r="C83" i="79"/>
  <c r="C82" i="79" s="1"/>
  <c r="C46" i="79"/>
  <c r="B2" i="15"/>
  <c r="Q65" i="15"/>
  <c r="Q47" i="15"/>
  <c r="Q53" i="15" s="1"/>
  <c r="Q56" i="15"/>
  <c r="C43" i="15"/>
  <c r="C83" i="15"/>
  <c r="C82" i="15" s="1"/>
  <c r="C46" i="15"/>
  <c r="C31" i="68"/>
  <c r="C52" i="68" s="1"/>
  <c r="B2" i="68" s="1"/>
  <c r="C49" i="11"/>
  <c r="C51" i="11" s="1"/>
  <c r="C52" i="11" s="1"/>
  <c r="B2" i="11" s="1"/>
  <c r="B3" i="11" s="1"/>
  <c r="M63" i="40"/>
  <c r="L65" i="40"/>
  <c r="AO6" i="1"/>
  <c r="C19" i="9"/>
  <c r="C102" i="9" l="1"/>
  <c r="C21" i="9"/>
  <c r="B3" i="68"/>
  <c r="B6" i="70"/>
  <c r="B3" i="15"/>
  <c r="C43" i="81"/>
  <c r="Q65" i="81"/>
  <c r="C83" i="81"/>
  <c r="C82" i="81" s="1"/>
  <c r="Q56" i="81"/>
  <c r="C46" i="81"/>
  <c r="C43" i="80"/>
  <c r="Q65" i="80"/>
  <c r="C46" i="80"/>
  <c r="C83" i="80"/>
  <c r="C82" i="80" s="1"/>
  <c r="Q56" i="80"/>
  <c r="Q62" i="15"/>
  <c r="Q66" i="81"/>
  <c r="Q57" i="81"/>
  <c r="L46" i="81"/>
  <c r="B2" i="81" s="1"/>
  <c r="Q75" i="15"/>
  <c r="Q66" i="80"/>
  <c r="Q57" i="80"/>
  <c r="L46" i="80"/>
  <c r="B2" i="80" s="1"/>
  <c r="Q66" i="79"/>
  <c r="Q75" i="79" s="1"/>
  <c r="Q57" i="79"/>
  <c r="Q62" i="79" s="1"/>
  <c r="L46" i="79"/>
  <c r="B2" i="79" s="1"/>
  <c r="C57" i="68"/>
  <c r="C56" i="68" s="1"/>
  <c r="C56" i="11"/>
  <c r="C57" i="11" s="1"/>
  <c r="N63" i="40"/>
  <c r="M65" i="40"/>
  <c r="AO8" i="1"/>
  <c r="AO7" i="1"/>
  <c r="AO9" i="1"/>
  <c r="C20" i="9"/>
  <c r="C103" i="9" l="1"/>
  <c r="B9" i="70"/>
  <c r="B3" i="81"/>
  <c r="B8" i="70"/>
  <c r="B3" i="80"/>
  <c r="B7" i="70"/>
  <c r="B2" i="70" s="1"/>
  <c r="B3" i="79"/>
  <c r="Q75" i="81"/>
  <c r="Q62" i="81"/>
  <c r="Q75" i="80"/>
  <c r="Q62" i="80"/>
  <c r="O63" i="40"/>
  <c r="O65" i="40" s="1"/>
  <c r="N65" i="40"/>
  <c r="D19" i="9"/>
  <c r="D102" i="9" l="1"/>
  <c r="D21" i="9"/>
  <c r="G19" i="9"/>
  <c r="H2" i="70" s="1"/>
  <c r="D22" i="9"/>
  <c r="B3" i="70"/>
  <c r="H7" i="40"/>
  <c r="F7" i="40"/>
  <c r="J7" i="40"/>
  <c r="D20" i="9"/>
  <c r="D103" i="9" l="1"/>
  <c r="G20" i="9"/>
  <c r="C32" i="9"/>
  <c r="G21" i="9"/>
  <c r="AC7" i="40"/>
  <c r="V42" i="40" s="1"/>
  <c r="I42" i="40" s="1"/>
  <c r="W7" i="40"/>
  <c r="AA7" i="40"/>
  <c r="R42" i="40" s="1"/>
  <c r="S7" i="40"/>
  <c r="U7" i="40"/>
  <c r="AB7" i="40"/>
  <c r="T42" i="40" s="1"/>
  <c r="G42" i="40" s="1"/>
  <c r="H5" i="70" l="1"/>
  <c r="I9" i="70"/>
  <c r="C35" i="9"/>
  <c r="H118" i="9"/>
  <c r="E42" i="40"/>
  <c r="R43" i="40"/>
  <c r="I46" i="40"/>
  <c r="J46" i="40" s="1"/>
  <c r="G47" i="40"/>
  <c r="H47" i="40" s="1"/>
  <c r="G46" i="40"/>
  <c r="H46" i="40" s="1"/>
  <c r="I5" i="70" l="1"/>
  <c r="I6" i="70"/>
  <c r="H6" i="70" s="1"/>
  <c r="I118" i="9"/>
  <c r="H4" i="52"/>
  <c r="C104" i="9"/>
  <c r="H119" i="9"/>
  <c r="H5" i="52" s="1"/>
  <c r="D14" i="74"/>
  <c r="H101" i="9"/>
  <c r="F118" i="9"/>
  <c r="C34" i="9"/>
  <c r="D118" i="9" s="1"/>
  <c r="E47" i="40"/>
  <c r="F47" i="40" s="1"/>
  <c r="E46" i="40"/>
  <c r="F46" i="40" s="1"/>
  <c r="I47" i="40"/>
  <c r="J47" i="40" s="1"/>
  <c r="C42" i="40"/>
  <c r="C43" i="40"/>
  <c r="I7" i="70" l="1"/>
  <c r="H7" i="70" s="1"/>
  <c r="I8" i="70"/>
  <c r="H8" i="70" s="1"/>
  <c r="D4" i="52"/>
  <c r="B47" i="72" s="1"/>
  <c r="D119" i="9"/>
  <c r="D5" i="52" s="1"/>
  <c r="B49" i="72" s="1"/>
  <c r="H107" i="9"/>
  <c r="D5" i="53"/>
  <c r="D45" i="9"/>
  <c r="M48" i="9"/>
  <c r="F119" i="9"/>
  <c r="F5" i="52" s="1"/>
  <c r="B53" i="72" s="1"/>
  <c r="F4" i="52"/>
  <c r="B51" i="72" s="1"/>
  <c r="G118" i="9"/>
  <c r="G4" i="52" s="1"/>
  <c r="B52" i="72" s="1"/>
  <c r="E14" i="74"/>
  <c r="F14" i="74"/>
  <c r="I4" i="52"/>
  <c r="C105" i="9"/>
  <c r="H102" i="9"/>
  <c r="D7" i="53" s="1"/>
  <c r="B21"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18" i="9" l="1"/>
  <c r="E4" i="52" s="1"/>
  <c r="B48" i="72" s="1"/>
  <c r="D6" i="53"/>
  <c r="B22" i="72" s="1"/>
  <c r="B20" i="72"/>
  <c r="C78" i="9"/>
  <c r="C73" i="9" s="1"/>
  <c r="D52" i="9"/>
  <c r="D53" i="9"/>
  <c r="D55" i="9"/>
  <c r="M53" i="9" s="1"/>
  <c r="C64" i="9"/>
  <c r="C63" i="9" s="1"/>
  <c r="C67" i="9" s="1"/>
  <c r="C68" i="9" s="1"/>
  <c r="D54" i="9" s="1"/>
  <c r="C72" i="9"/>
  <c r="C85" i="9"/>
  <c r="C93" i="9"/>
  <c r="C86" i="9" s="1"/>
  <c r="D13" i="53"/>
  <c r="H108" i="9"/>
  <c r="D15" i="53" s="1"/>
  <c r="B31" i="72" s="1"/>
  <c r="D122" i="9"/>
  <c r="C95" i="9" l="1"/>
  <c r="C96" i="9" s="1"/>
  <c r="E96" i="9" s="1"/>
  <c r="E97" i="9" s="1"/>
  <c r="G14" i="74"/>
  <c r="D8" i="52"/>
  <c r="D123" i="9"/>
  <c r="D9" i="52" s="1"/>
  <c r="C79" i="9"/>
  <c r="B30" i="72"/>
  <c r="D14" i="53"/>
  <c r="B32" i="72" s="1"/>
  <c r="C97" i="9" l="1"/>
  <c r="D58" i="9" s="1"/>
  <c r="D56" i="9" s="1"/>
  <c r="M54" i="9" s="1"/>
  <c r="N57" i="9" s="1"/>
  <c r="C80" i="9"/>
  <c r="E80" i="9" s="1"/>
  <c r="E81" i="9" s="1"/>
  <c r="P57" i="9" l="1"/>
  <c r="N59" i="9"/>
  <c r="N58" i="9"/>
  <c r="C81" i="9"/>
  <c r="N61" i="9" l="1"/>
  <c r="N60" i="9"/>
  <c r="E15" i="74" l="1"/>
  <c r="F15" i="74"/>
  <c r="D16" i="74" l="1"/>
  <c r="F16" i="74" s="1"/>
  <c r="G16" i="74"/>
  <c r="B6" i="74" s="1"/>
  <c r="E16"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<sst xmlns="http://schemas.openxmlformats.org/spreadsheetml/2006/main" count="10042" uniqueCount="4235">
  <si>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</si>
  <si>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</si>
  <si>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</si>
  <si>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</si>
  <si>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</si>
  <si>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</si>
  <si>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</si>
  <si>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</si>
  <si>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</si>
  <si>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</si>
  <si>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</si>
  <si>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</si>
  <si>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</si>
  <si>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</si>
  <si>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</si>
  <si>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</si>
  <si>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</si>
  <si>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</si>
  <si>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</si>
  <si>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</si>
  <si>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</si>
  <si>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</si>
  <si>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</si>
  <si>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</si>
  <si>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</si>
  <si>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</si>
  <si>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</si>
  <si>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</si>
  <si>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</si>
  <si>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</si>
  <si>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</si>
  <si>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</si>
  <si>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</si>
  <si>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</si>
  <si>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</si>
  <si>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</si>
  <si>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</si>
  <si>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</si>
  <si>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</si>
  <si>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</si>
  <si>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</si>
  <si>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</si>
  <si>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</si>
  <si>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</si>
  <si>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</si>
  <si>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</si>
  <si>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</si>
  <si>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</si>
  <si>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</si>
  <si>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</si>
  <si>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</si>
  <si>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</si>
  <si>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</si>
  <si>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</si>
  <si>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</si>
  <si>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</si>
  <si>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</si>
  <si>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</si>
  <si>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</si>
  <si>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</si>
  <si>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</si>
  <si>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</si>
  <si>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</si>
  <si>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</si>
  <si>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</si>
  <si>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</si>
  <si>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</si>
  <si>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</si>
  <si>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</si>
  <si>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</si>
  <si>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</si>
  <si>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</si>
  <si>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</si>
  <si>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</si>
  <si>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</si>
  <si>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</si>
  <si>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</si>
  <si>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</si>
  <si>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</si>
  <si>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</si>
  <si>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</si>
  <si>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</si>
  <si>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</si>
  <si>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</si>
  <si>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</si>
  <si>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</si>
  <si>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</si>
  <si>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</si>
  <si>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</si>
  <si>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</si>
  <si>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</si>
  <si>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</si>
  <si>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</si>
  <si>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</si>
  <si>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</si>
  <si>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</si>
  <si>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</si>
  <si>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</si>
  <si>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</si>
  <si>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</si>
  <si>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</si>
  <si>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</si>
  <si>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</si>
  <si>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</si>
  <si>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</si>
  <si>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</si>
  <si>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</si>
  <si>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</si>
  <si>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</si>
  <si>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</si>
  <si>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</si>
  <si>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</si>
  <si>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</si>
  <si>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</si>
  <si>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</si>
  <si>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</si>
  <si>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</si>
  <si>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</si>
  <si>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</si>
  <si>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</si>
  <si>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</si>
  <si>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</si>
  <si>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</si>
  <si>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</si>
  <si>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</si>
  <si>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</si>
  <si>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</si>
  <si>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</si>
  <si>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</si>
  <si>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</si>
  <si>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</si>
  <si>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</si>
  <si>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</si>
  <si>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</si>
  <si>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</si>
  <si>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</si>
  <si>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</si>
  <si>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</si>
  <si>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</si>
  <si>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</si>
  <si>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</si>
  <si>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</si>
  <si>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</si>
  <si>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</si>
  <si>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</si>
  <si>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</si>
  <si>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</si>
  <si>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</si>
  <si>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</si>
  <si>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</si>
  <si>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</si>
  <si>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</si>
  <si>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</si>
  <si>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</si>
  <si>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</si>
  <si>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</si>
  <si>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</si>
  <si>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</si>
  <si>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</si>
  <si>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</si>
  <si>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</si>
  <si>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</si>
  <si>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</si>
  <si>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</si>
  <si>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</si>
  <si>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</si>
  <si>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</si>
  <si>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</si>
  <si>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</si>
  <si>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</si>
  <si>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</si>
  <si>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</si>
  <si>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</si>
  <si>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</si>
  <si>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</si>
  <si>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</si>
  <si>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</si>
  <si>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</si>
  <si>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</si>
  <si>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</si>
  <si>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</si>
  <si>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</si>
  <si>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</si>
  <si>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</si>
  <si>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</si>
  <si>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</si>
  <si>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</si>
  <si>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</si>
  <si>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</si>
  <si>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</si>
  <si>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</si>
  <si>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</si>
  <si>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</si>
  <si>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</si>
  <si>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</si>
  <si>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</si>
  <si>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</si>
  <si>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</si>
  <si>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</si>
  <si>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</si>
  <si>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</si>
  <si>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</si>
  <si>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</si>
  <si>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</si>
  <si>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</si>
  <si>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</si>
  <si>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</si>
  <si>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</si>
  <si>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</si>
  <si>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</si>
  <si>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</si>
  <si>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</si>
  <si>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</si>
  <si>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</si>
  <si>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</si>
  <si>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</si>
  <si>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</si>
  <si>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</si>
  <si>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</si>
  <si>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</si>
  <si>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</si>
  <si>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</si>
  <si>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</si>
  <si>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</si>
  <si>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</si>
  <si>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</si>
  <si>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</si>
  <si>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</si>
  <si>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</si>
  <si>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</si>
  <si>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</si>
  <si>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</si>
  <si>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</si>
  <si>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</si>
  <si>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</si>
  <si>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</si>
  <si>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</si>
  <si>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</si>
  <si>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</si>
  <si>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</si>
  <si>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</si>
  <si>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</si>
  <si>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</si>
  <si>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</si>
  <si>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</si>
  <si>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</si>
  <si>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</si>
  <si>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</si>
  <si>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</si>
  <si>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</si>
  <si>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</si>
  <si>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</si>
  <si>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</si>
  <si>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</si>
  <si>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</si>
  <si>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</si>
  <si>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</si>
  <si>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</si>
  <si>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</si>
  <si>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</si>
  <si>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</si>
  <si>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</si>
  <si>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</si>
  <si>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</si>
  <si>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</si>
  <si>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</si>
  <si>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</si>
  <si>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</si>
  <si>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</si>
  <si>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</si>
  <si>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</si>
  <si>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</si>
  <si>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</si>
  <si>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</si>
  <si>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</si>
  <si>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</si>
  <si>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</si>
  <si>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</si>
  <si>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</si>
  <si>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</si>
  <si>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</si>
  <si>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</si>
  <si>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</si>
  <si>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</si>
  <si>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</si>
  <si>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</si>
  <si>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</si>
  <si>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</si>
  <si>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</si>
  <si>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</si>
  <si>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</si>
  <si>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</si>
  <si>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</si>
  <si>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</si>
  <si>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</si>
  <si>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</si>
  <si>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</si>
  <si>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</si>
  <si>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</si>
  <si>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</si>
  <si>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</si>
  <si>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</si>
  <si>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</si>
  <si>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</si>
  <si>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</si>
  <si>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</si>
  <si>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</si>
  <si>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</si>
  <si>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</si>
  <si>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</si>
  <si>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</si>
  <si>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</si>
  <si>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</si>
  <si>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</si>
  <si>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</si>
  <si>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</si>
  <si>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</si>
  <si>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</si>
  <si>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</si>
  <si>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</si>
  <si>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</si>
  <si>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</si>
  <si>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</si>
  <si>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</si>
  <si>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</si>
  <si>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</si>
  <si>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</si>
  <si>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</si>
  <si>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</si>
  <si>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</si>
  <si>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</si>
  <si>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</si>
  <si>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</si>
  <si>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</si>
  <si>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</si>
  <si>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</si>
  <si>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</si>
  <si>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</si>
  <si>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</si>
  <si>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</si>
  <si>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</si>
  <si>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</si>
  <si>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</si>
  <si>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</si>
  <si>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</si>
  <si>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</si>
  <si>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</si>
  <si>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</si>
  <si>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</si>
  <si>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</si>
  <si>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</si>
  <si>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</si>
  <si>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</si>
  <si>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</si>
  <si>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</si>
  <si>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</si>
  <si>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</si>
  <si>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</si>
  <si>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</si>
  <si>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</si>
  <si>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</si>
  <si>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</si>
  <si>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</si>
  <si>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</si>
  <si>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</si>
  <si>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</si>
  <si>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</si>
  <si>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</si>
  <si>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</si>
  <si>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</si>
  <si>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</si>
  <si>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</si>
  <si>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</si>
  <si>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</si>
  <si>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</si>
  <si>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</si>
  <si>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</si>
  <si>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</si>
  <si>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</si>
  <si>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</si>
  <si>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</si>
  <si>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</si>
  <si>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</si>
  <si>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</si>
  <si>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</si>
  <si>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</si>
  <si>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</si>
  <si>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</si>
  <si>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</si>
  <si>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</si>
  <si>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</si>
  <si>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</si>
  <si>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</si>
  <si>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</si>
  <si>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</si>
  <si>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</si>
  <si>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</si>
  <si>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</si>
  <si>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</si>
  <si>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</si>
  <si>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</si>
  <si>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</si>
  <si>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</si>
  <si>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</si>
  <si>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</si>
  <si>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</si>
  <si>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</si>
  <si>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</si>
  <si>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</si>
  <si>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</si>
  <si>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</si>
  <si>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</si>
  <si>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</si>
  <si>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</si>
  <si>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</si>
  <si>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</si>
  <si>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</si>
  <si>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</si>
  <si>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</si>
  <si>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</si>
  <si>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</si>
  <si>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</si>
  <si>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</si>
  <si>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</si>
  <si>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</si>
  <si>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</si>
  <si>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</si>
  <si>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</si>
  <si>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</si>
  <si>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</si>
  <si>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</si>
  <si>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</si>
  <si>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</si>
  <si>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</si>
  <si>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</si>
  <si>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</si>
  <si>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</si>
  <si>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</si>
  <si>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</si>
  <si>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</si>
  <si>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</si>
  <si>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</si>
  <si>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</si>
  <si>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</si>
  <si>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</si>
  <si>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</si>
  <si>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</si>
  <si>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</si>
  <si>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</si>
  <si>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</si>
  <si>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</si>
  <si>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</si>
  <si>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</si>
  <si>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</si>
  <si>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</si>
  <si>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</si>
  <si>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</si>
  <si>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</si>
  <si>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</si>
  <si>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</si>
  <si>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</si>
  <si>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</si>
  <si>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</si>
  <si>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</si>
  <si>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</si>
  <si>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</si>
  <si>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</si>
  <si>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</si>
  <si>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</si>
  <si>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</si>
  <si>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</si>
  <si>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</si>
  <si>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</si>
  <si>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</si>
  <si>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</si>
  <si>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</si>
  <si>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</si>
  <si>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</si>
  <si>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</si>
  <si>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</si>
  <si>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</si>
  <si>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</si>
  <si>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</si>
  <si>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</si>
  <si>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</si>
  <si>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</si>
  <si>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</si>
  <si>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</si>
  <si>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</si>
  <si>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</si>
  <si>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</si>
  <si>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</si>
  <si>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</si>
  <si>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</si>
  <si>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</si>
  <si>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</si>
  <si>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</si>
  <si>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</si>
  <si>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</si>
  <si>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</si>
  <si>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</si>
  <si>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</si>
  <si>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</si>
  <si>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</si>
  <si>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</si>
  <si>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</si>
  <si>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</si>
  <si>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</si>
  <si>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</si>
  <si>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</si>
  <si>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</si>
  <si>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</si>
  <si>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</si>
  <si>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</si>
  <si>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</si>
  <si>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</si>
  <si>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</si>
  <si>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</si>
  <si>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</si>
  <si>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</si>
  <si>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</si>
  <si>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</si>
  <si>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</si>
  <si>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</si>
  <si>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</si>
  <si>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</si>
  <si>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</si>
  <si>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</si>
  <si>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</si>
  <si>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</si>
  <si>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</si>
  <si>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</si>
  <si>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</si>
  <si>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</si>
  <si>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</si>
  <si>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</si>
  <si>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</si>
  <si>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</si>
  <si>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</si>
  <si>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</si>
  <si>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</si>
  <si>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</si>
  <si>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</si>
  <si>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</si>
  <si>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</si>
  <si>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</si>
  <si>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</si>
  <si>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</si>
  <si>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</si>
  <si>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</si>
  <si>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</si>
  <si>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</si>
  <si>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</si>
  <si>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</si>
  <si>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</si>
  <si>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</si>
  <si>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</si>
  <si>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</si>
  <si>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</si>
  <si>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</si>
  <si>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</si>
  <si>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</si>
  <si>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</si>
  <si>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</si>
  <si>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</si>
  <si>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</si>
  <si>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</si>
  <si>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</si>
  <si>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</si>
  <si>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</si>
  <si>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</si>
  <si>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</si>
  <si>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</si>
  <si>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</si>
  <si>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</si>
  <si>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</si>
  <si>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</si>
  <si>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</si>
  <si>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</si>
  <si>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</si>
  <si>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</si>
  <si>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</si>
  <si>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</si>
  <si>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</si>
  <si>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</si>
  <si>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</si>
  <si>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</si>
  <si>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</si>
  <si>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</si>
  <si>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</si>
  <si>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</si>
  <si>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</si>
  <si>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</si>
  <si>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</si>
  <si>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</si>
  <si>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</si>
  <si>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</si>
  <si>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</si>
  <si>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</si>
  <si>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</si>
  <si>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</si>
  <si>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</si>
  <si>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</si>
  <si>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</si>
  <si>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</si>
  <si>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</si>
  <si>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</si>
  <si>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</si>
  <si>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</si>
  <si>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</si>
  <si>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</si>
  <si>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</si>
  <si>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</si>
  <si>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</si>
  <si>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</si>
  <si>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</si>
  <si>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</si>
  <si>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</si>
  <si>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</si>
  <si>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</si>
  <si>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</si>
  <si>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</si>
  <si>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</si>
  <si>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</si>
  <si>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</si>
  <si>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</si>
  <si>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</si>
  <si>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</si>
  <si>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</si>
  <si>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</si>
  <si>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</si>
  <si>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</si>
  <si>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</si>
  <si>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</si>
  <si>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</si>
  <si>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</si>
  <si>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</si>
  <si>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</si>
  <si>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</si>
  <si>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</si>
  <si>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</si>
  <si>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</si>
  <si>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</si>
  <si>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</si>
  <si>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</si>
  <si>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</si>
  <si>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</si>
  <si>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</si>
  <si>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</si>
  <si>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</si>
  <si>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</si>
  <si>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</si>
  <si>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</si>
  <si>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</si>
  <si>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</si>
  <si>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</si>
  <si>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</si>
  <si>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</si>
  <si>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</si>
  <si>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</si>
  <si>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</si>
  <si>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</si>
  <si>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</si>
  <si>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</si>
  <si>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</si>
  <si>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</si>
  <si>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</si>
  <si>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</si>
  <si>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</si>
  <si>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</si>
  <si>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</si>
  <si>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</si>
  <si>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</si>
  <si>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</si>
  <si>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</si>
  <si>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</si>
  <si>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</si>
  <si>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</si>
  <si>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</si>
  <si>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</si>
  <si>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</si>
  <si>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</si>
  <si>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</si>
  <si>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</si>
  <si>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</si>
  <si>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</si>
  <si>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</si>
  <si>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</si>
  <si>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</si>
  <si>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</si>
  <si>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</si>
  <si>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</si>
  <si>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</si>
  <si>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</si>
  <si>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</si>
  <si>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</si>
  <si>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</si>
  <si>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</si>
  <si>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</si>
  <si>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</si>
  <si>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</si>
  <si>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</si>
  <si>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</si>
  <si>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</si>
  <si>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</si>
  <si>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</si>
  <si>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</si>
  <si>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</si>
  <si>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</si>
  <si>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</si>
  <si>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</si>
  <si>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</si>
  <si>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</si>
  <si>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</si>
  <si>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</si>
  <si>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</si>
  <si>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</si>
  <si>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</si>
  <si>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</si>
  <si>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</si>
  <si>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</si>
  <si>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</si>
  <si>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</si>
  <si>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</si>
  <si>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</si>
  <si>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</si>
  <si>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</si>
  <si>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</si>
  <si>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</si>
  <si>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</si>
  <si>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</si>
  <si>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</si>
  <si>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</si>
  <si>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</si>
  <si>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</si>
  <si>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</si>
  <si>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</si>
  <si>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</si>
  <si>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</si>
  <si>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</si>
  <si>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</si>
  <si>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</si>
  <si>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</si>
  <si>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</si>
  <si>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</si>
  <si>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</si>
  <si>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</si>
  <si>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</si>
  <si>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</si>
  <si>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</si>
  <si>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</si>
  <si>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</si>
  <si>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</si>
  <si>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</si>
  <si>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</si>
  <si>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</si>
  <si>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</si>
  <si>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</si>
  <si>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</si>
  <si>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</si>
  <si>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</si>
  <si>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</si>
  <si>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</si>
  <si>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</si>
  <si>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</si>
  <si>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</si>
  <si>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</si>
  <si>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</si>
  <si>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</si>
  <si>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</si>
  <si>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</si>
  <si>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</si>
  <si>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</si>
  <si>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</si>
  <si>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</si>
  <si>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</si>
  <si>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</si>
  <si>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</si>
  <si>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</si>
  <si>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</si>
  <si>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</si>
  <si>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</si>
  <si>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</si>
  <si>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</si>
  <si>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</si>
  <si>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</si>
  <si>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</si>
  <si>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</si>
  <si>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</si>
  <si>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</si>
  <si>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</si>
  <si>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</si>
  <si>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</si>
  <si>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</si>
  <si>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</si>
  <si>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</si>
  <si>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</si>
  <si>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</si>
  <si>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</si>
  <si>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</si>
  <si>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</si>
  <si>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</si>
  <si>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</si>
  <si>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</si>
  <si>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</si>
  <si>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</si>
  <si>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</si>
  <si>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</si>
  <si>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</si>
  <si>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</si>
  <si>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</si>
  <si>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</si>
  <si>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</si>
  <si>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</si>
  <si>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</si>
  <si>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</si>
  <si>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</si>
  <si>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</si>
  <si>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</si>
  <si>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</si>
  <si>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</si>
  <si>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</si>
  <si>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</si>
  <si>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</si>
  <si>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</si>
  <si>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</si>
  <si>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</si>
  <si>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</si>
  <si>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</si>
  <si>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</si>
  <si>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</si>
  <si>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</si>
  <si>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</si>
  <si>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</si>
  <si>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</si>
  <si>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</si>
  <si>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</si>
  <si>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</si>
  <si>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</si>
  <si>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</si>
  <si>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</si>
  <si>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</si>
  <si>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</si>
  <si>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</si>
  <si>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</si>
  <si>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</si>
  <si>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</si>
  <si>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</si>
  <si>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</si>
  <si>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</si>
  <si>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</si>
  <si>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</si>
  <si>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</si>
  <si>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</si>
  <si>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</si>
  <si>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</si>
  <si>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</si>
  <si>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</si>
  <si>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</si>
  <si>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</si>
  <si>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</si>
  <si>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</si>
  <si>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</si>
  <si>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</si>
  <si>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</si>
  <si>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</si>
  <si>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</si>
  <si>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</si>
  <si>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</si>
  <si>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</si>
  <si>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</si>
  <si>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</si>
  <si>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</si>
  <si>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</si>
  <si>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</si>
  <si>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</si>
  <si>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</si>
  <si>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</si>
  <si>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</si>
  <si>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</si>
  <si>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</si>
  <si>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</si>
  <si>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</si>
  <si>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</si>
  <si>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</si>
  <si>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</si>
  <si>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</si>
  <si>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</si>
  <si>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</si>
  <si>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</si>
  <si>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</si>
  <si>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</si>
  <si>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</si>
  <si>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</si>
  <si>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</si>
  <si>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</si>
  <si>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</si>
  <si>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</si>
  <si>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</si>
  <si>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</si>
  <si>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</si>
  <si>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</si>
  <si>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</si>
  <si>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</si>
  <si>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</si>
  <si>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</si>
  <si>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</si>
  <si>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</si>
  <si>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</si>
  <si>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</si>
  <si>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</si>
  <si>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</si>
  <si>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</si>
  <si>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</si>
  <si>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</si>
  <si>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</si>
  <si>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</si>
  <si>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</si>
  <si>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</si>
  <si>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</si>
  <si>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</si>
  <si>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</si>
  <si>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</si>
  <si>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</si>
  <si>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</si>
  <si>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</si>
  <si>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</si>
  <si>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</si>
  <si>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</si>
  <si>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</si>
  <si>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</si>
  <si>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</si>
  <si>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</si>
  <si>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</si>
  <si>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</si>
  <si>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</si>
  <si>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</si>
  <si>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</si>
  <si>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</si>
  <si>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</si>
  <si>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</si>
  <si>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</si>
  <si>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</si>
  <si>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</si>
  <si>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</si>
  <si>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</si>
  <si>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</si>
  <si>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</si>
  <si>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</si>
  <si>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</si>
  <si>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</si>
  <si>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</si>
  <si>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</si>
  <si>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</si>
  <si>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</si>
  <si>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</si>
  <si>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</si>
  <si>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</si>
  <si>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</si>
  <si>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</si>
  <si>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</si>
  <si>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</si>
  <si>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</si>
  <si>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</si>
  <si>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</si>
  <si>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</si>
  <si>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</si>
  <si>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</si>
  <si>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</si>
  <si>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</si>
  <si>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</si>
  <si>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</si>
  <si>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</si>
  <si>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</si>
  <si>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</si>
  <si>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</si>
  <si>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</si>
  <si>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</si>
  <si>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</si>
  <si>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</si>
  <si>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</si>
  <si>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</si>
  <si>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</si>
  <si>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</si>
  <si>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</si>
  <si>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</si>
  <si>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</si>
  <si>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</si>
  <si>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</si>
  <si>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</si>
  <si>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</si>
  <si>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</si>
  <si>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</si>
  <si>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</si>
  <si>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</si>
  <si>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</si>
  <si>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</si>
  <si>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</si>
  <si>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</si>
  <si>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</si>
  <si>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</si>
  <si>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</si>
  <si>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</si>
  <si>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</si>
  <si>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</si>
  <si>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</si>
  <si>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</si>
  <si>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</si>
  <si>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</si>
  <si>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</si>
  <si>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</si>
  <si>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</si>
  <si>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</si>
  <si>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</si>
  <si>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</si>
  <si>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</si>
  <si>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</si>
  <si>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</si>
  <si>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</si>
  <si>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</si>
  <si>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</si>
  <si>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</si>
  <si>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</si>
  <si>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</si>
  <si>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</si>
  <si>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</si>
  <si>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</si>
  <si>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</si>
  <si>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</si>
  <si>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</si>
  <si>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</si>
  <si>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</si>
  <si>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</si>
  <si>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</si>
  <si>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</si>
  <si>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</si>
  <si>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</si>
  <si>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</si>
  <si>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</si>
  <si>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</si>
  <si>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</si>
  <si>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</si>
  <si>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</si>
  <si>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</si>
  <si>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</si>
  <si>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</si>
  <si>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</si>
  <si>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</si>
  <si>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</si>
  <si>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</si>
  <si>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</si>
  <si>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</si>
  <si>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</si>
  <si>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</si>
  <si>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</si>
  <si>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</si>
  <si>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</si>
  <si>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</si>
  <si>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</si>
  <si>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</si>
  <si>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</si>
  <si>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</si>
  <si>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</si>
  <si>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</si>
  <si>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</si>
  <si>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</si>
  <si>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</si>
  <si>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</si>
  <si>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</si>
  <si>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</si>
  <si>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</si>
  <si>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</si>
  <si>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</si>
  <si>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</si>
  <si>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</si>
  <si>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</si>
  <si>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</si>
  <si>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</si>
  <si>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</si>
  <si>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</si>
  <si>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</si>
  <si>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</si>
  <si>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</si>
  <si>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</si>
  <si>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</si>
  <si>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</si>
  <si>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</si>
  <si>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</si>
  <si>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</si>
  <si>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</si>
  <si>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</si>
  <si>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</si>
  <si>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</si>
  <si>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</si>
  <si>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</si>
  <si>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</si>
  <si>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</si>
  <si>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</si>
  <si>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</si>
  <si>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</si>
  <si>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</si>
  <si>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</si>
  <si>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</si>
  <si>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</si>
  <si>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</si>
  <si>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</si>
  <si>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</si>
  <si>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</si>
  <si>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</si>
  <si>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</si>
  <si>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</si>
  <si>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</si>
  <si>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</si>
  <si>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</si>
  <si>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</si>
  <si>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</si>
  <si>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</si>
  <si>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</si>
  <si>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</si>
  <si>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</si>
  <si>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</si>
  <si>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</si>
  <si>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</si>
  <si>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</si>
  <si>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</si>
  <si>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</si>
  <si>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</si>
  <si>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</si>
  <si>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</si>
  <si>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</si>
  <si>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</si>
  <si>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</si>
  <si>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</si>
  <si>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</si>
  <si>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</si>
  <si>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</si>
  <si>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</si>
  <si>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</si>
  <si>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</si>
  <si>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</si>
  <si>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</si>
  <si>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</si>
  <si>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</si>
  <si>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</si>
  <si>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</si>
  <si>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</si>
  <si>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</si>
  <si>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</si>
  <si>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</si>
  <si>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</si>
  <si>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</si>
  <si>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</si>
  <si>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</si>
  <si>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</si>
  <si>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</si>
  <si>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</si>
  <si>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</si>
  <si>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</si>
  <si>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</si>
  <si>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</si>
  <si>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</si>
  <si>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</si>
  <si>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</si>
  <si>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</si>
  <si>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</si>
  <si>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</si>
  <si>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</si>
  <si>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</si>
  <si>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</si>
  <si>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</si>
  <si>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</si>
  <si>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</si>
  <si>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</si>
  <si>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</si>
  <si>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</si>
  <si>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</si>
  <si>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</si>
  <si>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</si>
  <si>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</si>
  <si>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</si>
  <si>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</si>
  <si>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</si>
  <si>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</si>
  <si>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</si>
  <si>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</si>
  <si>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</si>
  <si>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</si>
  <si>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</si>
  <si>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</si>
  <si>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</si>
  <si>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</si>
  <si>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</si>
  <si>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</si>
  <si>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</si>
  <si>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</si>
  <si>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</si>
  <si>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</si>
  <si>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</si>
  <si>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</si>
  <si>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</si>
  <si>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</si>
  <si>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</si>
  <si>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</si>
  <si>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</si>
  <si>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</si>
  <si>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</si>
  <si>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</si>
  <si>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</si>
  <si>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</si>
  <si>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</si>
  <si>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</si>
  <si>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</si>
  <si>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</si>
  <si>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</si>
  <si>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</si>
  <si>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</si>
  <si>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</si>
  <si>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</si>
  <si>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</si>
  <si>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</si>
  <si>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</si>
  <si>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</si>
  <si>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</si>
  <si>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</si>
  <si>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</si>
  <si>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</si>
  <si>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</si>
  <si>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</si>
  <si>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</si>
  <si>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</si>
  <si>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</si>
  <si>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</si>
  <si>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</si>
  <si>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</si>
  <si>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</si>
  <si>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</si>
  <si>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</si>
  <si>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</si>
  <si>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</si>
  <si>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</si>
  <si>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</si>
  <si>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</si>
  <si>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</si>
  <si>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</si>
  <si>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</si>
  <si>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</si>
  <si>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</si>
  <si>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</si>
  <si>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</si>
  <si>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</si>
  <si>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</si>
  <si>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</si>
  <si>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</si>
  <si>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</si>
  <si>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</si>
  <si>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</si>
  <si>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</si>
  <si>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</si>
  <si>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</si>
  <si>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</si>
  <si>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</si>
  <si>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</si>
  <si>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</si>
  <si>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</si>
  <si>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</si>
  <si>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</si>
  <si>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</si>
  <si>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</si>
  <si>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</si>
  <si>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</si>
  <si>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</si>
  <si>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</si>
  <si>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</si>
  <si>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</si>
  <si>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</si>
  <si>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</si>
  <si>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</si>
  <si>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</si>
  <si>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</si>
  <si>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</si>
  <si>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</si>
  <si>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</si>
  <si>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</si>
  <si>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</si>
  <si>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</si>
  <si>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</si>
  <si>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</si>
  <si>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</si>
  <si>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</si>
  <si>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</si>
  <si>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</si>
  <si>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</si>
  <si>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</si>
  <si>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</si>
  <si>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</si>
  <si>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</si>
  <si>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</si>
  <si>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</si>
  <si>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</si>
  <si>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</si>
  <si>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</si>
  <si>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</si>
  <si>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</si>
  <si>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</si>
  <si>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</si>
  <si>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</si>
  <si>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</si>
  <si>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</si>
  <si>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</si>
  <si>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</si>
  <si>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</si>
  <si>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</si>
  <si>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</si>
  <si>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</si>
  <si>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</si>
  <si>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</si>
  <si>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</si>
  <si>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</si>
  <si>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</si>
  <si>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</si>
  <si>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</si>
  <si>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</si>
  <si>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</si>
  <si>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</si>
  <si>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</si>
  <si>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</si>
  <si>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</si>
  <si>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</si>
  <si>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</si>
  <si>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</si>
  <si>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</si>
  <si>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</si>
  <si>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</si>
  <si>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</si>
  <si>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</si>
  <si>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</si>
  <si>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</si>
  <si>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</si>
  <si>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</si>
  <si>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</si>
  <si>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</si>
  <si>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</si>
  <si>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</si>
  <si>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</si>
  <si>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</si>
  <si>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</si>
  <si>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</si>
  <si>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</si>
  <si>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</si>
  <si>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</si>
  <si>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</si>
  <si>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</si>
  <si>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</si>
  <si>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</si>
  <si>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</si>
  <si>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</si>
  <si>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</si>
  <si>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</si>
  <si>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</si>
  <si>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</si>
  <si>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</si>
  <si>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</si>
  <si>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</si>
  <si>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</si>
  <si>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</si>
  <si>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</si>
  <si>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</si>
  <si>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</si>
  <si>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</si>
  <si>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</si>
  <si>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</si>
  <si>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</si>
  <si>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</si>
  <si>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</si>
  <si>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</si>
  <si>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</si>
  <si>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</si>
  <si>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</si>
  <si>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</si>
  <si>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</si>
  <si>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</si>
  <si>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</si>
  <si>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</si>
  <si>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</si>
  <si>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</si>
  <si>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</si>
  <si>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</si>
  <si>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</si>
  <si>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</si>
  <si>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</si>
  <si>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</si>
  <si>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</si>
  <si>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</si>
  <si>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</si>
  <si>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</si>
  <si>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</si>
  <si>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</si>
  <si>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</si>
  <si>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</si>
  <si>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</si>
  <si>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</si>
  <si>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</si>
  <si>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</si>
  <si>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</si>
  <si>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</si>
  <si>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</si>
  <si>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</si>
  <si>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</si>
  <si>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</si>
  <si>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</si>
  <si>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</si>
  <si>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</si>
  <si>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</si>
  <si>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</si>
  <si>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</si>
  <si>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</si>
  <si>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</si>
  <si>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</si>
  <si>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</si>
  <si>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</si>
  <si>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</si>
  <si>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</si>
  <si>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</si>
  <si>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</si>
  <si>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</si>
  <si>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</si>
  <si>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</si>
  <si>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</si>
  <si>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</si>
  <si>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</si>
  <si>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</si>
  <si>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</si>
  <si>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</si>
  <si>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</si>
  <si>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</si>
  <si>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</si>
  <si>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</si>
  <si>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</si>
  <si>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</si>
  <si>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</si>
  <si>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</si>
  <si>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</si>
  <si>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</si>
  <si>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</si>
  <si>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</si>
  <si>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</si>
  <si>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</si>
  <si>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</si>
  <si>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</si>
  <si>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</si>
  <si>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</si>
  <si>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</si>
  <si>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</si>
  <si>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</si>
  <si>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</si>
  <si>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</si>
  <si>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</si>
  <si>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</si>
  <si>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</si>
  <si>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</si>
  <si>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</si>
  <si>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</si>
  <si>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</si>
  <si>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</si>
  <si>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</si>
  <si>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</si>
  <si>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</si>
  <si>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</si>
  <si>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</si>
  <si>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</si>
  <si>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</si>
  <si>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</si>
  <si>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</si>
  <si>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</si>
  <si>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</si>
  <si>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</si>
  <si>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</si>
  <si>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</si>
  <si>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</si>
  <si>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</si>
  <si>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</si>
  <si>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</si>
  <si>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</si>
  <si>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</si>
  <si>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</si>
  <si>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</si>
  <si>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</si>
  <si>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</si>
  <si>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</si>
  <si>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</si>
  <si>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</si>
  <si>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</si>
  <si>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</si>
  <si>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</si>
  <si>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</si>
  <si>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</si>
  <si>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</si>
  <si>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</si>
  <si>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</si>
  <si>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</si>
  <si>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</si>
  <si>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</si>
  <si>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</si>
  <si>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</si>
  <si>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</si>
  <si>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</si>
  <si>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</si>
  <si>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</si>
  <si>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</si>
  <si>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</si>
  <si>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</si>
  <si>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</si>
  <si>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</si>
  <si>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</si>
  <si>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</si>
  <si>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</si>
  <si>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</si>
  <si>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</si>
  <si>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</si>
  <si>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</si>
  <si>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</si>
  <si>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</si>
  <si>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</si>
  <si>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</si>
  <si>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</si>
  <si>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</si>
  <si>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</si>
  <si>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</si>
  <si>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</si>
  <si>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</si>
  <si>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</si>
  <si>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</si>
  <si>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</si>
  <si>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</si>
  <si>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</si>
  <si>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</si>
  <si>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</si>
  <si>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</si>
  <si>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</si>
  <si>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</si>
  <si>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</si>
  <si>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</si>
  <si>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</si>
  <si>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</si>
  <si>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</si>
  <si>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</si>
  <si>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</si>
  <si>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</si>
  <si>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</si>
  <si>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</si>
  <si>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</si>
  <si>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</si>
  <si>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</si>
  <si>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</si>
  <si>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</si>
  <si>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</si>
  <si>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</si>
  <si>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</si>
  <si>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</si>
  <si>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</si>
  <si>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</si>
  <si>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</si>
  <si>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</si>
  <si>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</si>
  <si>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</si>
  <si>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</si>
  <si>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</si>
  <si>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</si>
  <si>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</si>
  <si>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</si>
  <si>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</si>
  <si>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</si>
  <si>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</si>
  <si>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</si>
  <si>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</si>
  <si>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</si>
  <si>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</si>
  <si>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</si>
  <si>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</si>
  <si>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</si>
  <si>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</si>
  <si>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</si>
  <si>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</si>
  <si>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</si>
  <si>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</si>
  <si>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</si>
  <si>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</si>
  <si>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</si>
  <si>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</si>
  <si>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</si>
  <si>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</si>
  <si>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</si>
  <si>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</si>
  <si>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</si>
  <si>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</si>
  <si>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</si>
  <si>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</si>
  <si>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</si>
  <si>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</si>
  <si>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</si>
  <si>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</si>
  <si>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</si>
  <si>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</si>
  <si>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</si>
  <si>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</si>
  <si>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</si>
  <si>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</si>
  <si>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</si>
  <si>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</si>
  <si>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</si>
  <si>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</si>
  <si>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</si>
  <si>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</si>
  <si>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</si>
  <si>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</si>
  <si>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</si>
  <si>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</si>
  <si>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</si>
  <si>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</si>
  <si>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</si>
  <si>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</si>
  <si>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</si>
  <si>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</si>
  <si>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</si>
  <si>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</si>
  <si>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</si>
  <si>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</si>
  <si>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</si>
  <si>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</si>
  <si>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</si>
  <si>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</si>
  <si>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</si>
  <si>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</si>
  <si>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</si>
  <si>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</si>
  <si>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</si>
  <si>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</si>
  <si>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</si>
  <si>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</si>
  <si>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</si>
  <si>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</si>
  <si>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</si>
  <si>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</si>
  <si>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</si>
  <si>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</si>
  <si>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</si>
  <si>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</si>
  <si>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</si>
  <si>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</si>
  <si>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</si>
  <si>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</si>
  <si>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</si>
  <si>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</si>
  <si>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</si>
  <si>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</si>
  <si>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</si>
  <si>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</si>
  <si>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</si>
  <si>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</si>
  <si>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</si>
  <si>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</si>
  <si>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</si>
  <si>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</si>
  <si>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</si>
  <si>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</si>
  <si>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</si>
  <si>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</si>
  <si>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</si>
  <si>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</si>
  <si>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</si>
  <si>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</si>
  <si>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</si>
  <si>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</si>
  <si>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</si>
  <si>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</si>
  <si>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</si>
  <si>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</si>
  <si>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</si>
  <si>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</si>
  <si>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</si>
  <si>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</si>
  <si>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</si>
  <si>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</si>
  <si>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</si>
  <si>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</si>
  <si>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</si>
  <si>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</si>
  <si>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</si>
  <si>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</si>
  <si>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</si>
  <si>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</si>
  <si>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</si>
  <si>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</si>
  <si>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</si>
  <si>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</si>
  <si>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</si>
  <si>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</si>
  <si>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</si>
  <si>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</si>
  <si>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</si>
  <si>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</si>
  <si>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</si>
  <si>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</si>
  <si>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</si>
  <si>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</si>
  <si>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</si>
  <si>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</si>
  <si>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</si>
  <si>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</si>
  <si>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</si>
  <si>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</si>
  <si>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</si>
  <si>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</si>
  <si>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</si>
  <si>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</si>
  <si>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</si>
  <si>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</si>
  <si>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</si>
  <si>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</si>
  <si>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</si>
  <si>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</si>
  <si>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</si>
  <si>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</si>
  <si>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</si>
  <si>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</si>
  <si>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</si>
  <si>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</si>
  <si>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</si>
  <si>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</si>
  <si>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</si>
  <si>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</si>
  <si>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</si>
  <si>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</si>
  <si>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</si>
  <si>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</si>
  <si>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</si>
  <si>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</si>
  <si>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</si>
  <si>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</si>
  <si>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</si>
  <si>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</si>
  <si>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</si>
  <si>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</si>
  <si>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</si>
  <si>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</si>
  <si>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</si>
  <si>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</si>
  <si>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</si>
  <si>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</si>
  <si>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</si>
  <si>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</si>
  <si>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</si>
  <si>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</si>
  <si>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</si>
  <si>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</si>
  <si>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</si>
  <si>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</si>
  <si>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</si>
  <si>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</si>
  <si>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</si>
  <si>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</si>
  <si>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</si>
  <si>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</si>
  <si>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</si>
  <si>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</si>
  <si>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</si>
  <si>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</si>
  <si>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</si>
  <si>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</si>
  <si>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</si>
  <si>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</si>
  <si>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</si>
  <si>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</si>
  <si>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</si>
  <si>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</si>
  <si>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</si>
  <si>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</si>
  <si>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</si>
  <si>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</si>
  <si>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</si>
  <si>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</si>
  <si>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</si>
  <si>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</si>
  <si>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</si>
  <si>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</si>
  <si>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</si>
  <si>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</si>
  <si>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</si>
  <si>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</si>
  <si>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</si>
  <si>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</si>
  <si>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</si>
  <si>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</si>
  <si>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</si>
  <si>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</si>
  <si>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</si>
  <si>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</si>
  <si>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</si>
  <si>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</si>
  <si>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</si>
  <si>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</si>
  <si>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</si>
  <si>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</si>
  <si>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</si>
  <si>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</si>
  <si>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</si>
  <si>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</si>
  <si>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</si>
  <si>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</si>
  <si>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</si>
  <si>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</si>
  <si>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</si>
  <si>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</si>
  <si>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</si>
  <si>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</si>
  <si>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</si>
  <si>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</si>
  <si>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</si>
  <si>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</si>
  <si>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</si>
  <si>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</si>
  <si>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</si>
  <si>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</si>
  <si>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</si>
  <si>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</si>
  <si>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</si>
  <si>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</si>
  <si>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</si>
  <si>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</si>
  <si>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</si>
  <si>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</si>
  <si>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</si>
  <si>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</si>
  <si>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</si>
  <si>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</si>
  <si>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</si>
  <si>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</si>
  <si>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</si>
  <si>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</si>
  <si>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</si>
  <si>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</si>
  <si>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</si>
  <si>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</si>
  <si>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</si>
  <si>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</si>
  <si>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</si>
  <si>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</si>
  <si>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</si>
  <si>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</si>
  <si>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</si>
  <si>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</si>
  <si>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</si>
  <si>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</si>
  <si>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</si>
  <si>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</si>
  <si>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</si>
  <si>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</si>
  <si>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</si>
  <si>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</si>
  <si>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</si>
  <si>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</si>
  <si>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</si>
  <si>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</si>
  <si>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</si>
  <si>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</si>
  <si>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</si>
  <si>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</si>
  <si>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</si>
  <si>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</si>
  <si>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</si>
  <si>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</si>
  <si>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</si>
  <si>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</si>
  <si>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</si>
  <si>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</si>
  <si>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</si>
  <si>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</si>
  <si>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</si>
  <si>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</si>
  <si>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</si>
  <si>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</si>
  <si>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</si>
  <si>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</si>
  <si>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</si>
  <si>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</si>
  <si>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</si>
  <si>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</si>
  <si>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</si>
  <si>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</si>
  <si>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</si>
  <si>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</si>
  <si>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</si>
  <si>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</si>
  <si>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</si>
  <si>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</si>
  <si>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</si>
  <si>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</si>
  <si>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</si>
  <si>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</si>
  <si>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</si>
  <si>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</si>
  <si>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</si>
  <si>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</si>
  <si>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</si>
  <si>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</si>
  <si>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</si>
  <si>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</si>
  <si>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</si>
  <si>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</si>
  <si>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</si>
  <si>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</si>
  <si>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</si>
  <si>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</si>
  <si>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</si>
  <si>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</si>
  <si>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</si>
  <si>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</si>
  <si>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</si>
  <si>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</si>
  <si>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</si>
  <si>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</si>
  <si>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</si>
  <si>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</si>
  <si>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</si>
  <si>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</si>
  <si>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</si>
  <si>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</si>
  <si>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</si>
  <si>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</si>
  <si>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</si>
  <si>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</si>
  <si>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</si>
  <si>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</si>
  <si>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</si>
  <si>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</si>
  <si>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</si>
  <si>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</si>
  <si>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</si>
  <si>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</si>
  <si>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</si>
  <si>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</si>
  <si>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</si>
  <si>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</si>
  <si>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</si>
  <si>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</si>
  <si>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</si>
  <si>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</si>
  <si>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</si>
  <si>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</si>
  <si>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</si>
  <si>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</si>
  <si>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</si>
  <si>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</si>
  <si>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</si>
  <si>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</si>
  <si>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</si>
  <si>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</si>
  <si>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</si>
  <si>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</si>
  <si>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</si>
  <si>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</si>
  <si>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</si>
  <si>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</si>
  <si>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</si>
  <si>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</si>
  <si>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</si>
  <si>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</si>
  <si>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</si>
  <si>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</si>
  <si>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</si>
  <si>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</si>
  <si>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</si>
  <si>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</si>
  <si>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</si>
  <si>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</si>
  <si>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</si>
  <si>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</si>
  <si>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</si>
  <si>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</si>
  <si>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</si>
  <si>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</si>
  <si>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</si>
  <si>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</si>
  <si>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</si>
  <si>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</si>
  <si>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</si>
  <si>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</si>
  <si>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</si>
  <si>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</si>
  <si>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</si>
  <si>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</si>
  <si>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</si>
  <si>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</si>
  <si>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</si>
  <si>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</si>
  <si>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</si>
  <si>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</si>
  <si>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</si>
  <si>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</si>
  <si>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</si>
  <si>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</si>
  <si>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</si>
  <si>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</si>
  <si>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</si>
  <si>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</si>
  <si>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</si>
  <si>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</si>
  <si>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</si>
  <si>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</si>
  <si>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</si>
  <si>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</si>
  <si>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</si>
  <si>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</si>
  <si>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</si>
  <si>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</si>
  <si>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</si>
  <si>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</si>
  <si>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</si>
  <si>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</si>
  <si>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</si>
  <si>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</si>
  <si>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</si>
  <si>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</si>
  <si>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</si>
  <si>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</si>
  <si>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</si>
  <si>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</si>
  <si>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</si>
  <si>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</si>
  <si>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</si>
  <si>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</si>
  <si>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</si>
  <si>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</si>
  <si>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</si>
  <si>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</si>
  <si>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</si>
  <si>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</si>
  <si>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</si>
  <si>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</si>
  <si>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</si>
  <si>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</si>
  <si>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</si>
  <si>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</si>
  <si>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</si>
  <si>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</si>
  <si>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</si>
  <si>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</si>
  <si>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</si>
  <si>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</si>
  <si>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</si>
  <si>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</si>
  <si>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</si>
  <si>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</si>
  <si>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</si>
  <si>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</si>
  <si>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</si>
  <si>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</si>
  <si>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</si>
  <si>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</si>
  <si>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</si>
  <si>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</si>
  <si>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</si>
  <si>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</si>
  <si>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</si>
  <si>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</si>
  <si>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</si>
  <si>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</si>
  <si>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</si>
  <si>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</si>
  <si>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</si>
  <si>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</si>
  <si>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</si>
  <si>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</si>
  <si>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</si>
  <si>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</si>
  <si>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</si>
  <si>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</si>
  <si>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</si>
  <si>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</si>
  <si>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</si>
  <si>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</si>
  <si>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</si>
  <si>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</si>
  <si>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</si>
  <si>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</si>
  <si>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</si>
  <si>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</si>
  <si>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</si>
  <si>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</si>
  <si>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</si>
  <si>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</si>
  <si>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环境状况</t>
    </r>
    <phoneticPr fontId="31"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</si>
  <si>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</si>
  <si>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</si>
  <si>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</si>
  <si>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</si>
  <si>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</si>
  <si>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</si>
  <si>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</si>
  <si>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</si>
  <si>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</si>
  <si>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</si>
  <si>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</si>
  <si>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</si>
  <si>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</si>
  <si>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</si>
  <si>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</si>
  <si>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</si>
  <si>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</si>
  <si>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</si>
  <si>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</si>
  <si>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</si>
  <si>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</si>
  <si>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</si>
  <si>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</si>
  <si>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</si>
  <si>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</si>
  <si>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</si>
  <si>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</si>
  <si>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</si>
  <si>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</si>
  <si>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</si>
  <si>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</si>
  <si>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</si>
  <si>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</si>
  <si>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</si>
  <si>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</si>
  <si>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</si>
  <si>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</si>
  <si>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</si>
  <si>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</si>
  <si>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</si>
  <si>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</si>
  <si>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</si>
  <si>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</si>
  <si>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</si>
  <si>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</si>
  <si>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</si>
  <si>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</si>
  <si>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</si>
  <si>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</si>
  <si>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</si>
  <si>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</si>
  <si>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</si>
  <si>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</si>
  <si>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</si>
  <si>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</si>
  <si>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</si>
  <si>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</si>
  <si>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</si>
  <si>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</si>
  <si>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</si>
  <si>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</si>
  <si>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</si>
  <si>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</si>
  <si>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</si>
  <si>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</si>
  <si>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</si>
  <si>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</si>
  <si>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</si>
  <si>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</si>
  <si>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</si>
  <si>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</si>
  <si>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</si>
  <si>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</si>
  <si>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</si>
  <si>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</si>
  <si>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</si>
  <si>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</si>
  <si>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</si>
  <si>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</si>
  <si>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</si>
  <si>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</si>
  <si>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</si>
  <si>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</si>
  <si>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</si>
  <si>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</si>
  <si>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</si>
  <si>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</si>
  <si>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</si>
  <si>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</si>
  <si>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</si>
  <si>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</si>
  <si>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</si>
  <si>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</si>
  <si>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</si>
  <si>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</si>
  <si>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</si>
  <si>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</si>
  <si>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</si>
  <si>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</si>
  <si>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</si>
  <si>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</si>
  <si>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</si>
  <si>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</si>
  <si>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</si>
  <si>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</si>
  <si>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</si>
  <si>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</si>
  <si>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</si>
  <si>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</si>
  <si>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</si>
  <si>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</si>
  <si>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</si>
  <si>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</si>
  <si>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</si>
  <si>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</si>
  <si>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</si>
  <si>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</si>
  <si>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</si>
  <si>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</si>
  <si>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</si>
  <si>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</si>
  <si>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</si>
  <si>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</si>
  <si>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</si>
  <si>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</si>
  <si>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</si>
  <si>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</si>
  <si>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</si>
  <si>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</si>
  <si>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</si>
  <si>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</si>
  <si>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</si>
  <si>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</si>
  <si>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</si>
  <si>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</si>
  <si>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</si>
  <si>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</si>
  <si>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</si>
  <si>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</si>
  <si>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</si>
  <si>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</si>
  <si>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</si>
  <si>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</si>
  <si>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</si>
  <si>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</si>
  <si>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</si>
  <si>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</si>
  <si>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</si>
  <si>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</si>
  <si>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</si>
  <si>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</si>
  <si>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</si>
  <si>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</si>
  <si>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</si>
  <si>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</si>
  <si>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</si>
  <si>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</si>
  <si>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</si>
  <si>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</si>
  <si>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</si>
  <si>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</si>
  <si>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</si>
  <si>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</si>
  <si>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</si>
  <si>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</si>
  <si>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</si>
  <si>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</si>
  <si>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</si>
  <si>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</si>
  <si>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</si>
  <si>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</si>
  <si>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</si>
  <si>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</si>
  <si>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</si>
  <si>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</si>
  <si>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</si>
  <si>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</si>
  <si>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</si>
  <si>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</si>
  <si>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</si>
  <si>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</si>
  <si>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</si>
  <si>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</si>
  <si>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</si>
  <si>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</si>
  <si>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</si>
  <si>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</si>
  <si>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</si>
  <si>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</si>
  <si>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</si>
  <si>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</si>
  <si>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</si>
  <si>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</si>
  <si>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</si>
  <si>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</si>
  <si>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</si>
  <si>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</si>
  <si>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</si>
  <si>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</si>
  <si>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</si>
  <si>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</si>
  <si>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</si>
  <si>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</si>
  <si>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</si>
  <si>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</si>
  <si>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</si>
  <si>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</si>
  <si>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</si>
  <si>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</si>
  <si>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</si>
  <si>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</si>
  <si>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</si>
  <si>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</si>
  <si>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</si>
  <si>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</si>
  <si>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</si>
  <si>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</si>
  <si>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</si>
  <si>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</si>
  <si>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</si>
  <si>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</si>
  <si>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</si>
  <si>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</si>
  <si>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</si>
  <si>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</si>
  <si>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</si>
  <si>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</si>
  <si>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</si>
  <si>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</si>
  <si>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</si>
  <si>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</si>
  <si>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</si>
  <si>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</si>
  <si>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</si>
  <si>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</si>
  <si>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</si>
  <si>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</si>
  <si>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</si>
  <si>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</si>
  <si>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</si>
  <si>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</si>
  <si>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</si>
  <si>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</si>
  <si>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</si>
  <si>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</si>
  <si>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</si>
  <si>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</si>
  <si>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</si>
  <si>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</si>
  <si>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</si>
  <si>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</si>
  <si>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</si>
  <si>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</si>
  <si>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</si>
  <si>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</si>
  <si>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</si>
  <si>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</si>
  <si>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</si>
  <si>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</si>
  <si>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</si>
  <si>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</si>
  <si>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</si>
  <si>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</si>
  <si>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</si>
  <si>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</si>
  <si>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</si>
  <si>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</si>
  <si>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</si>
  <si>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</si>
  <si>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</si>
  <si>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</si>
  <si>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</si>
  <si>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</si>
  <si>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</si>
  <si>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</si>
  <si>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</si>
  <si>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</si>
  <si>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</si>
  <si>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</si>
  <si>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</si>
  <si>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</si>
  <si>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</si>
  <si>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</si>
  <si>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</si>
  <si>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</si>
  <si>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</si>
  <si>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</si>
  <si>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</si>
  <si>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</si>
  <si>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</si>
  <si>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</si>
  <si>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</si>
  <si>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</si>
  <si>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</si>
  <si>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</si>
  <si>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</si>
  <si>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</si>
  <si>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</si>
  <si>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</si>
  <si>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</si>
  <si>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</si>
  <si>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</si>
  <si>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</si>
  <si>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</si>
  <si>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</si>
  <si>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</si>
  <si>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</si>
  <si>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</si>
  <si>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</si>
  <si>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</si>
  <si>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</si>
  <si>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</si>
  <si>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</si>
  <si>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</si>
  <si>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</si>
  <si>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</si>
  <si>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</si>
  <si>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</si>
  <si>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</si>
  <si>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</si>
  <si>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</si>
  <si>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</si>
  <si>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</si>
  <si>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</si>
  <si>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</si>
  <si>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</si>
  <si>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</si>
  <si>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</si>
  <si>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</si>
  <si>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</si>
  <si>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</si>
  <si>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</si>
  <si>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</si>
  <si>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</si>
  <si>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</si>
  <si>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</si>
  <si>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</si>
  <si>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</si>
  <si>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</si>
  <si>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</si>
  <si>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</si>
  <si>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</si>
  <si>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</si>
  <si>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</si>
  <si>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</si>
  <si>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</si>
  <si>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</si>
  <si>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</si>
  <si>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</si>
  <si>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</si>
  <si>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</si>
  <si>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</si>
  <si>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</si>
  <si>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</si>
  <si>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</si>
  <si>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</si>
  <si>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</si>
  <si>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</si>
  <si>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</si>
  <si>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</si>
  <si>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</si>
  <si>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</si>
  <si>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</si>
  <si>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</si>
  <si>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</si>
  <si>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</si>
  <si>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</si>
  <si>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</si>
  <si>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</si>
  <si>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</si>
  <si>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</si>
  <si>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</si>
  <si>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</si>
  <si>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</si>
  <si>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</si>
  <si>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</si>
  <si>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</si>
  <si>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</si>
  <si>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</si>
  <si>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</si>
  <si>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</si>
  <si>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</si>
  <si>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</si>
  <si>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</si>
  <si>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</si>
  <si>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</si>
  <si>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</si>
  <si>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</si>
  <si>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</si>
  <si>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</si>
  <si>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</si>
  <si>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</si>
  <si>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</si>
  <si>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</si>
  <si>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</si>
  <si>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</si>
  <si>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</si>
  <si>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</si>
  <si>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</si>
  <si>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</si>
  <si>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</si>
  <si>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</si>
  <si>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</si>
  <si>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</si>
  <si>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</si>
  <si>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</si>
  <si>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</si>
  <si>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</si>
  <si>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</si>
  <si>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</si>
  <si>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</si>
  <si>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</si>
  <si>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</si>
  <si>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</si>
  <si>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</si>
  <si>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</si>
  <si>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</si>
  <si>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</si>
  <si>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</si>
  <si>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</si>
  <si>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</si>
  <si>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</si>
  <si>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</si>
  <si>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</si>
  <si>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</si>
  <si>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</si>
  <si>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</si>
  <si>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</si>
  <si>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</si>
  <si>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</si>
  <si>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</si>
  <si>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</si>
  <si>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</si>
  <si>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</si>
  <si>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</si>
  <si>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</si>
  <si>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</si>
  <si>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</si>
  <si>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</si>
  <si>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</si>
  <si>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</si>
  <si>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</si>
  <si>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</si>
  <si>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</si>
  <si>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</si>
  <si>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</si>
  <si>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</si>
  <si>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</si>
  <si>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</si>
  <si>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</si>
  <si>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</si>
  <si>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</si>
  <si>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</si>
  <si>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</si>
  <si>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</si>
  <si>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</si>
  <si>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</si>
  <si>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</si>
  <si>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</si>
  <si>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</si>
  <si>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</si>
  <si>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</si>
  <si>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</si>
  <si>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</si>
  <si>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</si>
  <si>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</si>
  <si>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</si>
  <si>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</si>
  <si>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</si>
  <si>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</si>
  <si>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</si>
  <si>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</si>
  <si>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</si>
  <si>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</si>
  <si>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</si>
  <si>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</si>
  <si>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</si>
  <si>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</si>
  <si>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</si>
  <si>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</si>
  <si>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</si>
  <si>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</si>
  <si>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</si>
  <si>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</si>
  <si>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</si>
  <si>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</si>
  <si>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</si>
  <si>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</si>
  <si>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</si>
  <si>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</si>
  <si>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</si>
  <si>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</si>
  <si>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</si>
  <si>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</si>
  <si>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</si>
  <si>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</si>
  <si>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</si>
  <si>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</si>
  <si>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</si>
  <si>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</si>
  <si>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</si>
  <si>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</si>
  <si>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</si>
  <si>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</si>
  <si>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</si>
  <si>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</si>
  <si>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</si>
  <si>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</si>
  <si>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</si>
  <si>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</si>
  <si>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</si>
  <si>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</si>
  <si>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</si>
  <si>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</si>
  <si>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</si>
  <si>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</si>
  <si>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</si>
  <si>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</si>
  <si>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</si>
  <si>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</si>
  <si>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</si>
  <si>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</si>
  <si>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</si>
  <si>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</si>
  <si>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</si>
  <si>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</si>
  <si>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</si>
  <si>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</si>
  <si>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</si>
  <si>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</si>
  <si>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</si>
  <si>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</si>
  <si>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</si>
  <si>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</si>
  <si>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</si>
  <si>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</si>
  <si>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</si>
  <si>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</si>
  <si>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</si>
  <si>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</si>
  <si>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</si>
  <si>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</si>
  <si>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</si>
  <si>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</si>
  <si>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</si>
  <si>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</si>
  <si>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</si>
  <si>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</si>
  <si>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</si>
  <si>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</si>
  <si>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</si>
  <si>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</si>
  <si>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</si>
  <si>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</si>
  <si>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</si>
  <si>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</si>
  <si>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</si>
  <si>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</si>
  <si>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</si>
  <si>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</si>
  <si>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</si>
  <si>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</si>
  <si>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</si>
  <si>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</si>
  <si>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</si>
  <si>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</si>
  <si>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</si>
  <si>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</si>
  <si>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</si>
  <si>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</si>
  <si>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</si>
  <si>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</si>
  <si>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</si>
  <si>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</si>
  <si>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</si>
  <si>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</si>
  <si>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</si>
  <si>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</si>
  <si>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</si>
  <si>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</si>
  <si>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</si>
  <si>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</si>
  <si>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</si>
  <si>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</si>
  <si>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</si>
  <si>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</si>
  <si>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</si>
  <si>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</si>
  <si>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</si>
  <si>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</si>
  <si>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</si>
  <si>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</si>
  <si>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</si>
  <si>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</si>
  <si>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</si>
  <si>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</si>
  <si>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</si>
  <si>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</si>
  <si>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</si>
  <si>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</si>
  <si>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</si>
  <si>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</si>
  <si>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</si>
  <si>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</si>
  <si>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</si>
  <si>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</si>
  <si>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</si>
  <si>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</si>
  <si>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</si>
  <si>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</si>
  <si>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</si>
  <si>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</si>
  <si>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</si>
  <si>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</si>
  <si>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</si>
  <si>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</si>
  <si>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</si>
  <si>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</si>
  <si>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</si>
  <si>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</si>
  <si>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</si>
  <si>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</si>
  <si>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</si>
  <si>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</si>
  <si>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</si>
  <si>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</si>
  <si>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</si>
  <si>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</si>
  <si>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</si>
  <si>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</si>
  <si>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</si>
  <si>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</si>
  <si>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</si>
  <si>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</si>
  <si>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</si>
  <si>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</si>
  <si>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</si>
  <si>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</si>
  <si>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</si>
  <si>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</si>
  <si>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</si>
  <si>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</si>
  <si>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</si>
  <si>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</si>
  <si>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</si>
  <si>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</si>
  <si>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</si>
  <si>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</si>
  <si>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</si>
  <si>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</si>
  <si>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</si>
  <si>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</si>
  <si>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</si>
  <si>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</si>
  <si>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</si>
  <si>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</si>
  <si>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</si>
  <si>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</si>
  <si>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</si>
  <si>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</si>
  <si>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</si>
  <si>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</si>
  <si>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</si>
  <si>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</si>
  <si>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</si>
  <si>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</si>
  <si>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</si>
  <si>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</si>
  <si>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</si>
  <si>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</si>
  <si>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</si>
  <si>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</si>
  <si>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</si>
  <si>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</si>
  <si>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</si>
  <si>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</si>
  <si>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</si>
  <si>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</si>
  <si>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</si>
  <si>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</si>
  <si>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</si>
  <si>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</si>
  <si>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</si>
  <si>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</si>
  <si>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</si>
  <si>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</si>
  <si>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</si>
  <si>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</si>
  <si>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</si>
  <si>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</si>
  <si>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</si>
  <si>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</si>
  <si>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</si>
  <si>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</si>
  <si>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</si>
  <si>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</si>
  <si>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</si>
  <si>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</si>
  <si>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</si>
  <si>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</si>
  <si>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</si>
  <si>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</si>
  <si>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</si>
  <si>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</si>
  <si>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</si>
  <si>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</si>
  <si>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</si>
  <si>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</si>
  <si>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</si>
  <si>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</si>
  <si>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</si>
  <si>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</si>
  <si>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</si>
  <si>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</si>
  <si>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</si>
  <si>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</si>
  <si>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</si>
  <si>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</si>
  <si>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</si>
  <si>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</si>
  <si>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</si>
  <si>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</si>
  <si>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</si>
  <si>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</si>
  <si>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</si>
  <si>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</si>
  <si>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</si>
  <si>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</si>
  <si>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</si>
  <si>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</si>
  <si>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</si>
  <si>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</si>
  <si>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</si>
  <si>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</si>
  <si>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</si>
  <si>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</si>
  <si>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</si>
  <si>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</si>
  <si>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</si>
  <si>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</si>
  <si>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</si>
  <si>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</si>
  <si>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</si>
  <si>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</si>
  <si>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</si>
  <si>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</si>
  <si>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</si>
  <si>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</si>
  <si>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</si>
  <si>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</si>
  <si>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</si>
  <si>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</si>
  <si>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</si>
  <si>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</si>
  <si>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</si>
  <si>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</si>
  <si>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</si>
  <si>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</si>
  <si>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</si>
  <si>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</si>
  <si>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</si>
  <si>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</si>
  <si>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</si>
  <si>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</si>
  <si>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</si>
  <si>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</si>
  <si>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</si>
  <si>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</si>
  <si>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</si>
  <si>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</si>
  <si>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</si>
  <si>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</si>
  <si>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</si>
  <si>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</si>
  <si>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</si>
  <si>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</si>
  <si>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</si>
  <si>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</si>
  <si>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</si>
  <si>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</si>
  <si>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</si>
  <si>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</si>
  <si>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</si>
  <si>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</si>
  <si>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</si>
  <si>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</si>
  <si>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</si>
  <si>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</si>
  <si>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</si>
  <si>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</si>
  <si>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</si>
  <si>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</si>
  <si>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</si>
  <si>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</si>
  <si>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</si>
  <si>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</si>
  <si>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</si>
  <si>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</si>
  <si>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</si>
  <si>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</si>
  <si>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</si>
  <si>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</si>
  <si>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</si>
  <si>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</si>
  <si>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</si>
  <si>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</si>
  <si>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</si>
  <si>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</si>
  <si>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</si>
  <si>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</si>
  <si>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</si>
  <si>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</si>
  <si>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</si>
  <si>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</si>
  <si>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</si>
  <si>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</si>
  <si>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</si>
  <si>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</si>
  <si>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</si>
  <si>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</si>
  <si>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</si>
  <si>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</si>
  <si>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</si>
  <si>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</si>
  <si>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</si>
  <si>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</si>
  <si>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</si>
  <si>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</si>
  <si>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</si>
  <si>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</si>
  <si>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</si>
  <si>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</si>
  <si>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</si>
  <si>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</si>
  <si>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</si>
  <si>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</si>
  <si>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</si>
  <si>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</si>
  <si>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</si>
  <si>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</si>
  <si>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</si>
  <si>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</si>
  <si>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</si>
  <si>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</si>
  <si>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</si>
  <si>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</si>
  <si>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</si>
  <si>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</si>
  <si>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</si>
  <si>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</si>
  <si>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</si>
  <si>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</si>
  <si>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</si>
  <si>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</si>
  <si>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</si>
  <si>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</si>
  <si>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</si>
  <si>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</si>
  <si>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</si>
  <si>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</si>
  <si>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</si>
  <si>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</si>
  <si>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</si>
  <si>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</si>
  <si>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</si>
  <si>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</si>
  <si>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</si>
  <si>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</si>
  <si>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</si>
  <si>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</si>
  <si>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</si>
  <si>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</si>
  <si>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</si>
  <si>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</si>
  <si>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</si>
  <si>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</si>
  <si>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</si>
  <si>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</si>
  <si>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</si>
  <si>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</si>
  <si>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</si>
  <si>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</si>
  <si>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</si>
  <si>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</si>
  <si>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</si>
  <si>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</si>
  <si>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</si>
  <si>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</si>
  <si>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</si>
  <si>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</si>
  <si>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</si>
  <si>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</si>
  <si>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</si>
  <si>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</si>
  <si>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</si>
  <si>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</si>
  <si>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</si>
  <si>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</si>
  <si>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</si>
  <si>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</si>
  <si>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</si>
  <si>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</si>
  <si>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</si>
  <si>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</si>
  <si>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</si>
  <si>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</si>
  <si>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</si>
  <si>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</si>
  <si>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</si>
  <si>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</si>
  <si>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</si>
  <si>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</si>
  <si>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</si>
  <si>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</si>
  <si>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</si>
  <si>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</si>
  <si>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</si>
  <si>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</si>
  <si>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</si>
  <si>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</si>
  <si>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</si>
  <si>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</si>
  <si>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</si>
  <si>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</si>
  <si>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</si>
  <si>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</si>
  <si>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</si>
  <si>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</si>
  <si>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</si>
  <si>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</si>
  <si>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</si>
  <si>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</si>
  <si>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</si>
  <si>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</si>
  <si>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</si>
  <si>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</si>
  <si>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</si>
  <si>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</si>
  <si>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</si>
  <si>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</si>
  <si>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</si>
  <si>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</si>
  <si>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</si>
  <si>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</si>
  <si>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</si>
  <si>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</si>
  <si>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</si>
  <si>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</si>
  <si>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</si>
  <si>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</si>
  <si>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</si>
  <si>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赵璠</t>
    <phoneticPr fontId="5" type="noConversion"/>
  </si>
  <si>
    <t>2019A-027</t>
    <phoneticPr fontId="138" type="noConversion"/>
  </si>
  <si>
    <t>刘俊财</t>
    <phoneticPr fontId="88" type="noConversion"/>
  </si>
  <si>
    <t>2019-4</t>
    <phoneticPr fontId="5" type="noConversion"/>
  </si>
  <si>
    <t>2020-1</t>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</si>
  <si>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</si>
  <si>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</si>
  <si>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t>土地征用及拆迁补偿费</t>
    <phoneticPr fontId="10" type="noConversion"/>
  </si>
  <si>
    <t>2020-2</t>
    <phoneticPr fontId="5" type="noConversion"/>
  </si>
  <si>
    <t>2020-3</t>
    <phoneticPr fontId="145" type="noConversion"/>
  </si>
  <si>
    <t>品牌名称</t>
    <phoneticPr fontId="257" type="noConversion"/>
  </si>
  <si>
    <t>签约方</t>
    <phoneticPr fontId="257" type="noConversion"/>
  </si>
  <si>
    <t>变更丙方</t>
    <phoneticPr fontId="257" type="noConversion"/>
  </si>
  <si>
    <t>付款方</t>
    <phoneticPr fontId="257" type="noConversion"/>
  </si>
  <si>
    <t>餐饮</t>
    <phoneticPr fontId="257" type="noConversion"/>
  </si>
  <si>
    <t>零售</t>
    <phoneticPr fontId="257" type="noConversion"/>
  </si>
  <si>
    <t>铺位号</t>
    <phoneticPr fontId="257" type="noConversion"/>
  </si>
  <si>
    <t>建筑面积</t>
    <phoneticPr fontId="257" type="noConversion"/>
  </si>
  <si>
    <t>使用面积</t>
    <phoneticPr fontId="257" type="noConversion"/>
  </si>
  <si>
    <t>起始期限</t>
    <phoneticPr fontId="257" type="noConversion"/>
  </si>
  <si>
    <t>计租日期</t>
    <phoneticPr fontId="257" type="noConversion"/>
  </si>
  <si>
    <t>租期</t>
    <phoneticPr fontId="257" type="noConversion"/>
  </si>
  <si>
    <t>保底租金</t>
    <phoneticPr fontId="257" type="noConversion"/>
  </si>
  <si>
    <t>营业额抽成</t>
    <phoneticPr fontId="257" type="noConversion"/>
  </si>
  <si>
    <t>月物业费</t>
    <phoneticPr fontId="257" type="noConversion"/>
  </si>
  <si>
    <t>月推广费</t>
    <phoneticPr fontId="257" type="noConversion"/>
  </si>
  <si>
    <t>印花税</t>
    <phoneticPr fontId="257" type="noConversion"/>
  </si>
  <si>
    <t>备注</t>
    <phoneticPr fontId="257" type="noConversion"/>
  </si>
  <si>
    <t>物业服务协议</t>
    <phoneticPr fontId="257" type="noConversion"/>
  </si>
  <si>
    <t>第一年542358/年</t>
    <phoneticPr fontId="257" type="noConversion"/>
  </si>
  <si>
    <t>第一年年营业额10%</t>
    <phoneticPr fontId="257" type="noConversion"/>
  </si>
  <si>
    <t>30303元/季度</t>
    <phoneticPr fontId="257" type="noConversion"/>
  </si>
  <si>
    <t>不变更主体</t>
    <phoneticPr fontId="257" type="noConversion"/>
  </si>
  <si>
    <t>第四年90元/月/㎡</t>
    <phoneticPr fontId="257" type="noConversion"/>
  </si>
  <si>
    <t>第五年90/月/㎡</t>
    <phoneticPr fontId="257" type="noConversion"/>
  </si>
  <si>
    <t>第六年90元/月/㎡</t>
    <phoneticPr fontId="257" type="noConversion"/>
  </si>
  <si>
    <t>第一年780元/月/㎡</t>
    <phoneticPr fontId="257" type="noConversion"/>
  </si>
  <si>
    <t>L1-33-36 灵活</t>
  </si>
  <si>
    <t>出让</t>
  </si>
  <si>
    <t>是</t>
  </si>
  <si>
    <t>地上</t>
  </si>
  <si>
    <t>地下</t>
  </si>
  <si>
    <r>
      <rPr>
        <sz val="10"/>
        <color indexed="8"/>
        <rFont val="宋体"/>
        <family val="3"/>
        <charset val="134"/>
      </rPr>
      <t>地上</t>
    </r>
    <r>
      <rPr>
        <sz val="10"/>
        <color indexed="8"/>
        <rFont val="Arial"/>
        <family val="2"/>
      </rPr>
      <t>1</t>
    </r>
    <r>
      <rPr>
        <sz val="10"/>
        <color indexed="8"/>
        <rFont val="宋体"/>
        <family val="3"/>
        <charset val="134"/>
      </rPr>
      <t>层</t>
    </r>
    <phoneticPr fontId="5" type="noConversion"/>
  </si>
  <si>
    <t>车库</t>
  </si>
  <si>
    <t>地块名称</t>
  </si>
  <si>
    <t>城市</t>
  </si>
  <si>
    <t>用地性质</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</si>
  <si>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</si>
  <si>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</si>
  <si>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</si>
  <si>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</si>
  <si>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</si>
  <si>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</si>
  <si>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</si>
  <si>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</si>
  <si>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</si>
  <si>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</si>
  <si>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</si>
  <si>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</si>
  <si>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北京市朝阳区望京花家地西里三组团配套综合楼1006-605地块B4商业金融用地</t>
  </si>
  <si>
    <t>北京市</t>
  </si>
  <si>
    <t>商业/办公用地</t>
  </si>
  <si>
    <t>挂牌</t>
  </si>
  <si>
    <t>B4商业金融用地</t>
  </si>
  <si>
    <t>≤3</t>
  </si>
  <si>
    <t>2020-04-02</t>
  </si>
  <si>
    <t>北京金隅嘉业房地产开发有限公司</t>
  </si>
  <si>
    <t>北京市通州区潞城镇FZX-0901-0162地块F3其他类多功能用地</t>
  </si>
  <si>
    <t>F3其他类多功能用地</t>
  </si>
  <si>
    <t>≤2.5</t>
  </si>
  <si>
    <t>2019-10-17</t>
  </si>
  <si>
    <t>北京润置商业运营管理有限公司和北京首都开发股份有限公司联合体</t>
  </si>
  <si>
    <t>北京市朝阳区奥林匹克公园中心区B23等地块B4综合性商业金融服务业用地、F3其他类多功能用地</t>
  </si>
  <si>
    <t>B4综合性商业金融服务业用地、F3其他类多功能用地</t>
  </si>
  <si>
    <t>2018-11-05</t>
  </si>
  <si>
    <t>北京北辰实业集团有限责任公司</t>
  </si>
  <si>
    <t>通州区马驹桥镇YZ00-0606-0014地块</t>
  </si>
  <si>
    <t>2017-05-12</t>
  </si>
  <si>
    <t>北京北建通成国际物流有限公司</t>
  </si>
  <si>
    <t>朝阳区金盏乡楼梓庄村1113-602地块</t>
  </si>
  <si>
    <t>B1商业用地</t>
  </si>
  <si>
    <t>2017-04-14</t>
  </si>
  <si>
    <t>天津金地华府置业有限公司</t>
  </si>
  <si>
    <t>朝阳区孙河乡西甸村2902-71地块</t>
  </si>
  <si>
    <t>招标</t>
  </si>
  <si>
    <t>B4综合性商业金融服务业用地</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</si>
  <si>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</si>
  <si>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</si>
  <si>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</si>
  <si>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</si>
  <si>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</si>
  <si>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</si>
  <si>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</si>
  <si>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</si>
  <si>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3" type="noConversion"/>
  </si>
  <si>
    <t>较规则</t>
  </si>
  <si>
    <t>较规则</t>
    <phoneticPr fontId="33" type="noConversion"/>
  </si>
  <si>
    <t>较适宜</t>
  </si>
  <si>
    <t>较适宜</t>
    <phoneticPr fontId="33" type="noConversion"/>
  </si>
  <si>
    <t>六通</t>
  </si>
  <si>
    <t>六通</t>
    <phoneticPr fontId="33" type="noConversion"/>
  </si>
  <si>
    <t>较好</t>
  </si>
  <si>
    <t>较好</t>
    <phoneticPr fontId="33" type="noConversion"/>
  </si>
  <si>
    <t>无</t>
    <phoneticPr fontId="33" type="noConversion"/>
  </si>
  <si>
    <t>有</t>
    <phoneticPr fontId="33" type="noConversion"/>
  </si>
  <si>
    <t>地上1层</t>
  </si>
  <si>
    <t>成新度</t>
  </si>
  <si>
    <t>部分缴纳</t>
  </si>
  <si>
    <t>其余</t>
    <phoneticPr fontId="5" type="noConversion"/>
  </si>
  <si>
    <t>否</t>
  </si>
  <si>
    <t>押一</t>
  </si>
  <si>
    <t>按租金收入计税</t>
  </si>
  <si>
    <t>地下1层</t>
  </si>
  <si>
    <t>地下1层</t>
    <phoneticPr fontId="5" type="noConversion"/>
  </si>
  <si>
    <t>地下2层</t>
  </si>
  <si>
    <t>地下2层</t>
    <phoneticPr fontId="5" type="noConversion"/>
  </si>
  <si>
    <t>地下3层</t>
  </si>
  <si>
    <t>地下3层</t>
    <phoneticPr fontId="5" type="noConversion"/>
  </si>
  <si>
    <t>月平米租金</t>
    <phoneticPr fontId="257" type="noConversion"/>
  </si>
  <si>
    <t>日平米租金</t>
    <phoneticPr fontId="145" type="noConversion"/>
  </si>
  <si>
    <t xml:space="preserve">Coffii&amp;Joy </t>
    <phoneticPr fontId="257" type="noConversion"/>
  </si>
  <si>
    <t>上海乐悦咖啡有限公司</t>
    <phoneticPr fontId="257" type="noConversion"/>
  </si>
  <si>
    <t>上海乐悦咖啡有限公司北苑路店</t>
    <phoneticPr fontId="257" type="noConversion"/>
  </si>
  <si>
    <t>√</t>
    <phoneticPr fontId="257" type="noConversion"/>
  </si>
  <si>
    <t>2019.4.12</t>
    <phoneticPr fontId="257" type="noConversion"/>
  </si>
  <si>
    <t>2019.6.1-2024.7.15</t>
    <phoneticPr fontId="257" type="noConversion"/>
  </si>
  <si>
    <t>5年</t>
    <phoneticPr fontId="257" type="noConversion"/>
  </si>
  <si>
    <t>2019.6.1-2019.7.15</t>
    <phoneticPr fontId="257" type="noConversion"/>
  </si>
  <si>
    <t>第二年542358</t>
    <phoneticPr fontId="257" type="noConversion"/>
  </si>
  <si>
    <t>第二年年营业额10%</t>
    <phoneticPr fontId="257" type="noConversion"/>
  </si>
  <si>
    <t>补充变更为： 2019.8.9-2024.9.30</t>
    <phoneticPr fontId="257" type="noConversion"/>
  </si>
  <si>
    <t>第三年582172</t>
    <phoneticPr fontId="257" type="noConversion"/>
  </si>
  <si>
    <t>第三年年营业额11%</t>
    <phoneticPr fontId="257" type="noConversion"/>
  </si>
  <si>
    <t>补充： 2019.8.9-2019.9.30 物业费10557.17</t>
    <phoneticPr fontId="257" type="noConversion"/>
  </si>
  <si>
    <t>第四年 582172</t>
    <phoneticPr fontId="257" type="noConversion"/>
  </si>
  <si>
    <t>第四年年营业额11%</t>
    <phoneticPr fontId="257" type="noConversion"/>
  </si>
  <si>
    <t>第五年624375</t>
    <phoneticPr fontId="257" type="noConversion"/>
  </si>
  <si>
    <t>第五年年营业额12%</t>
    <phoneticPr fontId="257" type="noConversion"/>
  </si>
  <si>
    <t>迟俊梅</t>
    <phoneticPr fontId="257" type="noConversion"/>
  </si>
  <si>
    <t>北京那点梅香餐饮管理有限公司</t>
    <phoneticPr fontId="257" type="noConversion"/>
  </si>
  <si>
    <t>L1-114</t>
    <phoneticPr fontId="257" type="noConversion"/>
  </si>
  <si>
    <t>2019.4.13</t>
    <phoneticPr fontId="257" type="noConversion"/>
  </si>
  <si>
    <t>2019.11.30-2025.11.29</t>
    <phoneticPr fontId="257" type="noConversion"/>
  </si>
  <si>
    <t>第一年 420元/月/㎡</t>
    <phoneticPr fontId="257" type="noConversion"/>
  </si>
  <si>
    <t>第一年47864/月</t>
    <phoneticPr fontId="257" type="noConversion"/>
  </si>
  <si>
    <t>第一年15%</t>
    <phoneticPr fontId="257" type="noConversion"/>
  </si>
  <si>
    <t>11242/月</t>
    <phoneticPr fontId="257" type="noConversion"/>
  </si>
  <si>
    <t>1606/月</t>
    <phoneticPr fontId="257" type="noConversion"/>
  </si>
  <si>
    <t>第二年 450元/月/㎡</t>
    <phoneticPr fontId="257" type="noConversion"/>
  </si>
  <si>
    <t>第二年51283/月</t>
    <phoneticPr fontId="257" type="noConversion"/>
  </si>
  <si>
    <t>第二年15%</t>
    <phoneticPr fontId="257" type="noConversion"/>
  </si>
  <si>
    <t>第三年480元/月/㎡</t>
    <phoneticPr fontId="257" type="noConversion"/>
  </si>
  <si>
    <t>第三年54701/月</t>
    <phoneticPr fontId="257" type="noConversion"/>
  </si>
  <si>
    <t>第三年16%</t>
    <phoneticPr fontId="257" type="noConversion"/>
  </si>
  <si>
    <t>第四年480元/月/㎡</t>
    <phoneticPr fontId="257" type="noConversion"/>
  </si>
  <si>
    <t>第四年54701/月</t>
    <phoneticPr fontId="257" type="noConversion"/>
  </si>
  <si>
    <t>第四年16%</t>
    <phoneticPr fontId="257" type="noConversion"/>
  </si>
  <si>
    <t>第五年 510元/月/㎡</t>
    <phoneticPr fontId="257" type="noConversion"/>
  </si>
  <si>
    <t>第五年58120/月</t>
    <phoneticPr fontId="257" type="noConversion"/>
  </si>
  <si>
    <t>第五年17&amp;</t>
    <phoneticPr fontId="257" type="noConversion"/>
  </si>
  <si>
    <t>汉堡王</t>
    <phoneticPr fontId="257" type="noConversion"/>
  </si>
  <si>
    <t>汉堡王（北京）餐饮管理有限公司</t>
    <phoneticPr fontId="257" type="noConversion"/>
  </si>
  <si>
    <t>汉堡王（北京）餐饮管理有限公司朝阳第十五分公司</t>
    <phoneticPr fontId="257" type="noConversion"/>
  </si>
  <si>
    <t>L1-01/L1-20</t>
    <phoneticPr fontId="257" type="noConversion"/>
  </si>
  <si>
    <t>2019.11.18</t>
    <phoneticPr fontId="257" type="noConversion"/>
  </si>
  <si>
    <t>10年</t>
    <phoneticPr fontId="257" type="noConversion"/>
  </si>
  <si>
    <t>第一年13/天/平方米</t>
    <phoneticPr fontId="257" type="noConversion"/>
  </si>
  <si>
    <t>第一年98063/月</t>
    <phoneticPr fontId="257" type="noConversion"/>
  </si>
  <si>
    <t>第一年8%</t>
    <phoneticPr fontId="257" type="noConversion"/>
  </si>
  <si>
    <t>24780/月</t>
    <phoneticPr fontId="257" type="noConversion"/>
  </si>
  <si>
    <t>3540/月</t>
    <phoneticPr fontId="257" type="noConversion"/>
  </si>
  <si>
    <t>第二年13.65/天/平方米</t>
    <phoneticPr fontId="257" type="noConversion"/>
  </si>
  <si>
    <t>第二年102967/月</t>
    <phoneticPr fontId="257" type="noConversion"/>
  </si>
  <si>
    <t>第二年8%</t>
    <phoneticPr fontId="257" type="noConversion"/>
  </si>
  <si>
    <t>第三年14.33/天/平方米</t>
    <phoneticPr fontId="257" type="noConversion"/>
  </si>
  <si>
    <t>第三年108115/月</t>
    <phoneticPr fontId="257" type="noConversion"/>
  </si>
  <si>
    <t>第三年8%</t>
    <phoneticPr fontId="257" type="noConversion"/>
  </si>
  <si>
    <t>第四年15.05/天/平方米</t>
    <phoneticPr fontId="257" type="noConversion"/>
  </si>
  <si>
    <t>第四年113521/月</t>
    <phoneticPr fontId="257" type="noConversion"/>
  </si>
  <si>
    <t>第四年9%</t>
    <phoneticPr fontId="257" type="noConversion"/>
  </si>
  <si>
    <t>第五年15.8/天/平方米</t>
    <phoneticPr fontId="257" type="noConversion"/>
  </si>
  <si>
    <t>第五年119197/月</t>
    <phoneticPr fontId="257" type="noConversion"/>
  </si>
  <si>
    <t>第五年9%</t>
    <phoneticPr fontId="257" type="noConversion"/>
  </si>
  <si>
    <t>第六年16.59/天/平方米</t>
    <phoneticPr fontId="257" type="noConversion"/>
  </si>
  <si>
    <t>第六年125156/月</t>
    <phoneticPr fontId="257" type="noConversion"/>
  </si>
  <si>
    <t>第六年9%</t>
    <phoneticPr fontId="257" type="noConversion"/>
  </si>
  <si>
    <t>第七年17.42/天/平方米</t>
    <phoneticPr fontId="257" type="noConversion"/>
  </si>
  <si>
    <t>第七年131414/月</t>
    <phoneticPr fontId="257" type="noConversion"/>
  </si>
  <si>
    <t>第七年10%</t>
    <phoneticPr fontId="257" type="noConversion"/>
  </si>
  <si>
    <t>第八年18.29/天/平方米</t>
    <phoneticPr fontId="257" type="noConversion"/>
  </si>
  <si>
    <t>第八年137985/月</t>
    <phoneticPr fontId="257" type="noConversion"/>
  </si>
  <si>
    <t>第八年10%</t>
    <phoneticPr fontId="257" type="noConversion"/>
  </si>
  <si>
    <t>第九年19.21/天/平方米</t>
    <phoneticPr fontId="257" type="noConversion"/>
  </si>
  <si>
    <t>第九年144884/月</t>
    <phoneticPr fontId="257" type="noConversion"/>
  </si>
  <si>
    <t>第九年10%</t>
    <phoneticPr fontId="257" type="noConversion"/>
  </si>
  <si>
    <t>第十年20.17/天/平米</t>
    <phoneticPr fontId="257" type="noConversion"/>
  </si>
  <si>
    <t>第十年152128/月</t>
    <phoneticPr fontId="257" type="noConversion"/>
  </si>
  <si>
    <t>第十年11%</t>
    <phoneticPr fontId="257" type="noConversion"/>
  </si>
  <si>
    <t>白兔糖</t>
    <phoneticPr fontId="257" type="noConversion"/>
  </si>
  <si>
    <t>李珺</t>
    <phoneticPr fontId="257" type="noConversion"/>
  </si>
  <si>
    <t>凡音悦品餐饮文化（北京）有限公司</t>
    <phoneticPr fontId="257" type="noConversion"/>
  </si>
  <si>
    <t>√</t>
    <phoneticPr fontId="257" type="noConversion"/>
  </si>
  <si>
    <t>L1-15-2</t>
    <phoneticPr fontId="257" type="noConversion"/>
  </si>
  <si>
    <t>2019.4.12</t>
    <phoneticPr fontId="257" type="noConversion"/>
  </si>
  <si>
    <t>2019.12.1</t>
    <phoneticPr fontId="257" type="noConversion"/>
  </si>
  <si>
    <t>第一年 425.8元/月/㎡</t>
    <phoneticPr fontId="257" type="noConversion"/>
  </si>
  <si>
    <t>第一年89247.7/月</t>
    <phoneticPr fontId="257" type="noConversion"/>
  </si>
  <si>
    <t>第一年13%</t>
    <phoneticPr fontId="257" type="noConversion"/>
  </si>
  <si>
    <t>20958/月</t>
    <phoneticPr fontId="257" type="noConversion"/>
  </si>
  <si>
    <t>2096/月</t>
    <phoneticPr fontId="257" type="noConversion"/>
  </si>
  <si>
    <t>第二年425.8/月/㎡</t>
    <phoneticPr fontId="257" type="noConversion"/>
  </si>
  <si>
    <t>第二年89247.7/月</t>
    <phoneticPr fontId="257" type="noConversion"/>
  </si>
  <si>
    <t>第二年13%</t>
    <phoneticPr fontId="257" type="noConversion"/>
  </si>
  <si>
    <t>第三年456.3元/月/㎡</t>
    <phoneticPr fontId="257" type="noConversion"/>
  </si>
  <si>
    <t>第三年95640.5/月</t>
    <phoneticPr fontId="257" type="noConversion"/>
  </si>
  <si>
    <t>第三年 14%</t>
    <phoneticPr fontId="257" type="noConversion"/>
  </si>
  <si>
    <t>第四年456.3元/月/㎡</t>
    <phoneticPr fontId="257" type="noConversion"/>
  </si>
  <si>
    <t>第四年95640.5/月</t>
    <phoneticPr fontId="257" type="noConversion"/>
  </si>
  <si>
    <t>第四年14%</t>
    <phoneticPr fontId="257" type="noConversion"/>
  </si>
  <si>
    <t>第五年486.7元/月/㎡</t>
    <phoneticPr fontId="257" type="noConversion"/>
  </si>
  <si>
    <t>第五年102012.3/月</t>
    <phoneticPr fontId="257" type="noConversion"/>
  </si>
  <si>
    <t>第五年15&amp;</t>
    <phoneticPr fontId="257" type="noConversion"/>
  </si>
  <si>
    <t>九亩花田</t>
    <phoneticPr fontId="257" type="noConversion"/>
  </si>
  <si>
    <t>唐威</t>
    <phoneticPr fontId="257" type="noConversion"/>
  </si>
  <si>
    <t>北京熠林餐饮管理有限公司</t>
    <phoneticPr fontId="257" type="noConversion"/>
  </si>
  <si>
    <t>L1-10</t>
    <phoneticPr fontId="257" type="noConversion"/>
  </si>
  <si>
    <t>2019.11.30</t>
    <phoneticPr fontId="257" type="noConversion"/>
  </si>
  <si>
    <t>第一年 590元/月/㎡</t>
    <phoneticPr fontId="257" type="noConversion"/>
  </si>
  <si>
    <t>第一年38497.5/月</t>
    <phoneticPr fontId="257" type="noConversion"/>
  </si>
  <si>
    <t>营业额达60万第一年13%</t>
    <phoneticPr fontId="257" type="noConversion"/>
  </si>
  <si>
    <t>6525/月</t>
    <phoneticPr fontId="257" type="noConversion"/>
  </si>
  <si>
    <t>932/月</t>
    <phoneticPr fontId="257" type="noConversion"/>
  </si>
  <si>
    <t>第二年 620/月/㎡</t>
    <phoneticPr fontId="257" type="noConversion"/>
  </si>
  <si>
    <t>第二年40455.0/月</t>
    <phoneticPr fontId="257" type="noConversion"/>
  </si>
  <si>
    <t>营业额达60万第二年14%</t>
    <phoneticPr fontId="257" type="noConversion"/>
  </si>
  <si>
    <t>第三年650元/月/㎡</t>
    <phoneticPr fontId="257" type="noConversion"/>
  </si>
  <si>
    <t>第三年42412.5/月</t>
    <phoneticPr fontId="257" type="noConversion"/>
  </si>
  <si>
    <t>营业额达60万第三年15%</t>
    <phoneticPr fontId="257" type="noConversion"/>
  </si>
  <si>
    <t>华为</t>
    <phoneticPr fontId="257" type="noConversion"/>
  </si>
  <si>
    <t>北京星球通科技发展有限公司</t>
    <phoneticPr fontId="257" type="noConversion"/>
  </si>
  <si>
    <t>北京星球通科技发展有限公司朝阳区手机零售分公司</t>
    <phoneticPr fontId="257" type="noConversion"/>
  </si>
  <si>
    <t>L1-03</t>
    <phoneticPr fontId="257" type="noConversion"/>
  </si>
  <si>
    <t>第一年 494元/月/㎡</t>
    <phoneticPr fontId="257" type="noConversion"/>
  </si>
  <si>
    <t>第一年49998/月</t>
    <phoneticPr fontId="257" type="noConversion"/>
  </si>
  <si>
    <t>10120.6/月</t>
    <phoneticPr fontId="257" type="noConversion"/>
  </si>
  <si>
    <t>1445.8/月</t>
    <phoneticPr fontId="257" type="noConversion"/>
  </si>
  <si>
    <t>第二年 494元/月/㎡</t>
    <phoneticPr fontId="257" type="noConversion"/>
  </si>
  <si>
    <t>第二年49998/月</t>
    <phoneticPr fontId="257" type="noConversion"/>
  </si>
  <si>
    <t>第三年 524元/月/㎡</t>
    <phoneticPr fontId="257" type="noConversion"/>
  </si>
  <si>
    <t>第三年53081/月</t>
    <phoneticPr fontId="257" type="noConversion"/>
  </si>
  <si>
    <t>WAGAS</t>
    <phoneticPr fontId="257" type="noConversion"/>
  </si>
  <si>
    <t>沃歌斯（天津）餐饮管理有限公司</t>
    <phoneticPr fontId="257" type="noConversion"/>
  </si>
  <si>
    <t>沃歌斯（天津）餐饮管理有限公司北京第三十二分公司</t>
    <phoneticPr fontId="257" type="noConversion"/>
  </si>
  <si>
    <t>L1--2-01/</t>
    <phoneticPr fontId="257" type="noConversion"/>
  </si>
  <si>
    <t>2019.6.19</t>
    <phoneticPr fontId="257" type="noConversion"/>
  </si>
  <si>
    <t>第一年180/月/㎡</t>
    <phoneticPr fontId="257" type="noConversion"/>
  </si>
  <si>
    <t>第一年26766元/月</t>
    <phoneticPr fontId="257" type="noConversion"/>
  </si>
  <si>
    <t>第一年12%</t>
    <phoneticPr fontId="257" type="noConversion"/>
  </si>
  <si>
    <t>L1-02-02</t>
    <phoneticPr fontId="257" type="noConversion"/>
  </si>
  <si>
    <t>第二180/月/㎡</t>
    <phoneticPr fontId="257" type="noConversion"/>
  </si>
  <si>
    <t xml:space="preserve">第二年26766元/月 </t>
    <phoneticPr fontId="257" type="noConversion"/>
  </si>
  <si>
    <t>第二年12%</t>
    <phoneticPr fontId="257" type="noConversion"/>
  </si>
  <si>
    <t>第三年190/月/㎡</t>
    <phoneticPr fontId="257" type="noConversion"/>
  </si>
  <si>
    <t>第三年28253元/月</t>
    <phoneticPr fontId="257" type="noConversion"/>
  </si>
  <si>
    <t>第三年12%</t>
    <phoneticPr fontId="257" type="noConversion"/>
  </si>
  <si>
    <t>第四年190/月/㎡</t>
    <phoneticPr fontId="257" type="noConversion"/>
  </si>
  <si>
    <t>第四年28253元/月</t>
    <phoneticPr fontId="257" type="noConversion"/>
  </si>
  <si>
    <t>第四年12%</t>
    <phoneticPr fontId="257" type="noConversion"/>
  </si>
  <si>
    <t>第五年200/月/㎡</t>
    <phoneticPr fontId="257" type="noConversion"/>
  </si>
  <si>
    <t>第五年29740元/月</t>
    <phoneticPr fontId="257" type="noConversion"/>
  </si>
  <si>
    <t>第五年12%</t>
    <phoneticPr fontId="257" type="noConversion"/>
  </si>
  <si>
    <t>第六年200/月/㎡</t>
    <phoneticPr fontId="257" type="noConversion"/>
  </si>
  <si>
    <t>第六年29740元/月</t>
    <phoneticPr fontId="257" type="noConversion"/>
  </si>
  <si>
    <t>第六年12%</t>
    <phoneticPr fontId="257" type="noConversion"/>
  </si>
  <si>
    <t>卓妍悦上</t>
    <phoneticPr fontId="257" type="noConversion"/>
  </si>
  <si>
    <t>朱杉杉</t>
    <phoneticPr fontId="257" type="noConversion"/>
  </si>
  <si>
    <t>北京卓妍悦上商贸有限公司</t>
    <phoneticPr fontId="257" type="noConversion"/>
  </si>
  <si>
    <t>L1-27/L1-30</t>
    <phoneticPr fontId="257" type="noConversion"/>
  </si>
  <si>
    <t>2019.11.15</t>
    <phoneticPr fontId="257" type="noConversion"/>
  </si>
  <si>
    <t>第一年280/月/㎡</t>
    <phoneticPr fontId="257" type="noConversion"/>
  </si>
  <si>
    <t>第一年10441.2/月</t>
    <phoneticPr fontId="257" type="noConversion"/>
  </si>
  <si>
    <t>第一年10%</t>
    <phoneticPr fontId="257" type="noConversion"/>
  </si>
  <si>
    <t>第二年310/月/㎡</t>
    <phoneticPr fontId="257" type="noConversion"/>
  </si>
  <si>
    <t>第二年11559.9/月</t>
    <phoneticPr fontId="257" type="noConversion"/>
  </si>
  <si>
    <t>第二年11%</t>
    <phoneticPr fontId="257" type="noConversion"/>
  </si>
  <si>
    <t>哥弟</t>
    <phoneticPr fontId="257" type="noConversion"/>
  </si>
  <si>
    <t>薛金玲</t>
    <phoneticPr fontId="257" type="noConversion"/>
  </si>
  <si>
    <t>北京金玲兴达服装店</t>
    <phoneticPr fontId="257" type="noConversion"/>
  </si>
  <si>
    <t>L1-06, L1-07</t>
    <phoneticPr fontId="257" type="noConversion"/>
  </si>
  <si>
    <t>2019.8.13</t>
    <phoneticPr fontId="257" type="noConversion"/>
  </si>
  <si>
    <t>第一年330元/月/㎡</t>
    <phoneticPr fontId="257" type="noConversion"/>
  </si>
  <si>
    <t>第一年87238.8元/月</t>
    <phoneticPr fontId="257" type="noConversion"/>
  </si>
  <si>
    <t>阿玛施</t>
    <phoneticPr fontId="257" type="noConversion"/>
  </si>
  <si>
    <t>第二年330元/月/㎡</t>
    <phoneticPr fontId="257" type="noConversion"/>
  </si>
  <si>
    <t>第二年87238.8元/月</t>
    <phoneticPr fontId="257" type="noConversion"/>
  </si>
  <si>
    <t>第三年360元/月/㎡</t>
    <phoneticPr fontId="257" type="noConversion"/>
  </si>
  <si>
    <t>第三年95169.6元/月</t>
    <phoneticPr fontId="257" type="noConversion"/>
  </si>
  <si>
    <t>第四年360元/月㎡</t>
    <phoneticPr fontId="257" type="noConversion"/>
  </si>
  <si>
    <t>第四年95169.6元/月</t>
    <phoneticPr fontId="257" type="noConversion"/>
  </si>
  <si>
    <t>第四年8%</t>
    <phoneticPr fontId="257" type="noConversion"/>
  </si>
  <si>
    <t>第五年390元/月/㎡</t>
    <phoneticPr fontId="257" type="noConversion"/>
  </si>
  <si>
    <t>第五年103100.4元/月</t>
    <phoneticPr fontId="257" type="noConversion"/>
  </si>
  <si>
    <t>音米眼镜</t>
    <phoneticPr fontId="257" type="noConversion"/>
  </si>
  <si>
    <t>北京新视美商贸有限公司</t>
    <phoneticPr fontId="257" type="noConversion"/>
  </si>
  <si>
    <t>L1-28,L1-29</t>
    <phoneticPr fontId="257" type="noConversion"/>
  </si>
  <si>
    <t>2019.9.29</t>
    <phoneticPr fontId="257" type="noConversion"/>
  </si>
  <si>
    <t>第一年 前半年10%</t>
    <phoneticPr fontId="257" type="noConversion"/>
  </si>
  <si>
    <t>第一年后半年220元/月/㎡</t>
    <phoneticPr fontId="257" type="noConversion"/>
  </si>
  <si>
    <t>第一年后半年10%</t>
    <phoneticPr fontId="257" type="noConversion"/>
  </si>
  <si>
    <t>第二年250元/月/㎡</t>
    <phoneticPr fontId="257" type="noConversion"/>
  </si>
  <si>
    <t>第二年11077.5元/月</t>
    <phoneticPr fontId="257" type="noConversion"/>
  </si>
  <si>
    <t>第二年10%</t>
    <phoneticPr fontId="257" type="noConversion"/>
  </si>
  <si>
    <t>朵兰鲜花</t>
    <phoneticPr fontId="257" type="noConversion"/>
  </si>
  <si>
    <t>杨晓瑞</t>
    <phoneticPr fontId="257" type="noConversion"/>
  </si>
  <si>
    <t>北京永利圣源装饰材料有限公司</t>
    <phoneticPr fontId="257" type="noConversion"/>
  </si>
  <si>
    <t>L1-05</t>
    <phoneticPr fontId="257" type="noConversion"/>
  </si>
  <si>
    <t>第一年597元/月/㎡</t>
    <phoneticPr fontId="257" type="noConversion"/>
  </si>
  <si>
    <t>第一年13432.5元/月</t>
    <phoneticPr fontId="257" type="noConversion"/>
  </si>
  <si>
    <t>第二年668元/月/㎡</t>
    <phoneticPr fontId="257" type="noConversion"/>
  </si>
  <si>
    <t>第二年15030元/月</t>
    <phoneticPr fontId="257" type="noConversion"/>
  </si>
  <si>
    <t>第二年16%</t>
    <phoneticPr fontId="257" type="noConversion"/>
  </si>
  <si>
    <t>第三年668元/月/㎡</t>
    <phoneticPr fontId="257" type="noConversion"/>
  </si>
  <si>
    <t>第三年15030元/月</t>
    <phoneticPr fontId="257" type="noConversion"/>
  </si>
  <si>
    <t>第三年17%</t>
    <phoneticPr fontId="257" type="noConversion"/>
  </si>
  <si>
    <t>跨品猫</t>
    <phoneticPr fontId="257" type="noConversion"/>
  </si>
  <si>
    <t>安信国贸（广州）物流有限公司</t>
    <phoneticPr fontId="257" type="noConversion"/>
  </si>
  <si>
    <t>安信国贸（广州）物流有限公司北京第一分公司</t>
    <phoneticPr fontId="257" type="noConversion"/>
  </si>
  <si>
    <t>L1-24</t>
    <phoneticPr fontId="257" type="noConversion"/>
  </si>
  <si>
    <t>2019.8.5</t>
    <phoneticPr fontId="257" type="noConversion"/>
  </si>
  <si>
    <t>2019.12.1</t>
    <phoneticPr fontId="257" type="noConversion"/>
  </si>
  <si>
    <t>第一年290元/月/㎡</t>
    <phoneticPr fontId="257" type="noConversion"/>
  </si>
  <si>
    <t>第一年27958.9元/月</t>
    <phoneticPr fontId="257" type="noConversion"/>
  </si>
  <si>
    <t xml:space="preserve"> </t>
    <phoneticPr fontId="257" type="noConversion"/>
  </si>
  <si>
    <t>第二年310元/月/㎡</t>
    <phoneticPr fontId="257" type="noConversion"/>
  </si>
  <si>
    <t>第二年29887.1元/月</t>
    <phoneticPr fontId="257" type="noConversion"/>
  </si>
  <si>
    <t>第三年330元/月/㎡</t>
    <phoneticPr fontId="257" type="noConversion"/>
  </si>
  <si>
    <t>第三年31815.3元/月</t>
    <phoneticPr fontId="257" type="noConversion"/>
  </si>
  <si>
    <t>鸟巢</t>
    <phoneticPr fontId="257" type="noConversion"/>
  </si>
  <si>
    <t>北京鸟巢商业管理有限责任公司</t>
    <phoneticPr fontId="257" type="noConversion"/>
  </si>
  <si>
    <t>北京鸟巢商业管理有限责任公司北京市一分公司</t>
    <phoneticPr fontId="5" type="noConversion"/>
  </si>
  <si>
    <t>L108/109</t>
    <phoneticPr fontId="257" type="noConversion"/>
  </si>
  <si>
    <t>2019.2.13</t>
    <phoneticPr fontId="257" type="noConversion"/>
  </si>
  <si>
    <t>第一年345元/月/㎡</t>
    <phoneticPr fontId="257" type="noConversion"/>
  </si>
  <si>
    <t>第一年39710元/月</t>
    <phoneticPr fontId="257" type="noConversion"/>
  </si>
  <si>
    <t>第一年11%</t>
    <phoneticPr fontId="257" type="noConversion"/>
  </si>
  <si>
    <t>第二年345元/月/㎡</t>
    <phoneticPr fontId="257" type="noConversion"/>
  </si>
  <si>
    <t>第二年39710元/月</t>
    <phoneticPr fontId="257" type="noConversion"/>
  </si>
  <si>
    <t>第二年23%</t>
    <phoneticPr fontId="257" type="noConversion"/>
  </si>
  <si>
    <t>第三年435元/月/㎡</t>
    <phoneticPr fontId="257" type="noConversion"/>
  </si>
  <si>
    <t>第三年50069元/月</t>
    <phoneticPr fontId="257" type="noConversion"/>
  </si>
  <si>
    <t>第三年13%</t>
    <phoneticPr fontId="257" type="noConversion"/>
  </si>
  <si>
    <t>手机玩家</t>
    <phoneticPr fontId="257" type="noConversion"/>
  </si>
  <si>
    <t>北京聚租网络科技有限公司分公司</t>
    <phoneticPr fontId="257" type="noConversion"/>
  </si>
  <si>
    <t>北京聚租网络科技有限公司</t>
    <phoneticPr fontId="257" type="noConversion"/>
  </si>
  <si>
    <t>L1-16</t>
    <phoneticPr fontId="257" type="noConversion"/>
  </si>
  <si>
    <t>2019.10.9</t>
    <phoneticPr fontId="257" type="noConversion"/>
  </si>
  <si>
    <t>第一年190元/月/㎡</t>
    <phoneticPr fontId="257" type="noConversion"/>
  </si>
  <si>
    <t>第一年6165.5元/月</t>
    <phoneticPr fontId="257" type="noConversion"/>
  </si>
  <si>
    <t>第二年220元/月/㎡</t>
    <phoneticPr fontId="257" type="noConversion"/>
  </si>
  <si>
    <t>第二年7139元/月</t>
    <phoneticPr fontId="257" type="noConversion"/>
  </si>
  <si>
    <t>第三年250元/月/㎡</t>
    <phoneticPr fontId="257" type="noConversion"/>
  </si>
  <si>
    <t>第三年8112.5元/月</t>
    <phoneticPr fontId="257" type="noConversion"/>
  </si>
  <si>
    <t>金本首饰</t>
    <phoneticPr fontId="257" type="noConversion"/>
  </si>
  <si>
    <t>北京驿道东祺文化传播有限公司</t>
    <phoneticPr fontId="257" type="noConversion"/>
  </si>
  <si>
    <t>金本（北京）商贸有限公司</t>
    <phoneticPr fontId="257" type="noConversion"/>
  </si>
  <si>
    <t>L1-23</t>
    <phoneticPr fontId="257" type="noConversion"/>
  </si>
  <si>
    <t>2019.10.12</t>
    <phoneticPr fontId="257" type="noConversion"/>
  </si>
  <si>
    <t>第一年70元/月/㎡</t>
    <phoneticPr fontId="257" type="noConversion"/>
  </si>
  <si>
    <t>第一年6748.7元/月</t>
    <phoneticPr fontId="257" type="noConversion"/>
  </si>
  <si>
    <t>第二年100元/月/㎡</t>
    <phoneticPr fontId="257" type="noConversion"/>
  </si>
  <si>
    <t>第二年9641元/月</t>
    <phoneticPr fontId="257" type="noConversion"/>
  </si>
  <si>
    <t>第三年130元/月/㎡</t>
    <phoneticPr fontId="257" type="noConversion"/>
  </si>
  <si>
    <t>第三年12533.3元/月</t>
    <phoneticPr fontId="257" type="noConversion"/>
  </si>
  <si>
    <t>饭绅士11</t>
    <phoneticPr fontId="257" type="noConversion"/>
  </si>
  <si>
    <t>北京饭前饭后餐饮文化发展有限公司</t>
    <phoneticPr fontId="257" type="noConversion"/>
  </si>
  <si>
    <t>L1-11</t>
    <phoneticPr fontId="257" type="noConversion"/>
  </si>
  <si>
    <t>2019.6.1</t>
    <phoneticPr fontId="257" type="noConversion"/>
  </si>
  <si>
    <t>第一年365/月/㎡</t>
    <phoneticPr fontId="257" type="noConversion"/>
  </si>
  <si>
    <t>第一年103313</t>
    <phoneticPr fontId="257" type="noConversion"/>
  </si>
  <si>
    <t>第二年365/月/㎡</t>
    <phoneticPr fontId="257" type="noConversion"/>
  </si>
  <si>
    <t>第二年103313</t>
    <phoneticPr fontId="257" type="noConversion"/>
  </si>
  <si>
    <t>第三年395/月/㎡</t>
    <phoneticPr fontId="257" type="noConversion"/>
  </si>
  <si>
    <t>第三年111805</t>
    <phoneticPr fontId="257" type="noConversion"/>
  </si>
  <si>
    <t>第四年395/月/㎡</t>
    <phoneticPr fontId="257" type="noConversion"/>
  </si>
  <si>
    <t>第四年111805</t>
    <phoneticPr fontId="257" type="noConversion"/>
  </si>
  <si>
    <t>第五年425/月/㎡</t>
    <phoneticPr fontId="257" type="noConversion"/>
  </si>
  <si>
    <t>第五年120296</t>
    <phoneticPr fontId="257" type="noConversion"/>
  </si>
  <si>
    <t>第六年425/月㎡</t>
    <phoneticPr fontId="257" type="noConversion"/>
  </si>
  <si>
    <t>第六年120296</t>
    <phoneticPr fontId="257" type="noConversion"/>
  </si>
  <si>
    <t>饭绅士12</t>
    <phoneticPr fontId="257" type="noConversion"/>
  </si>
  <si>
    <t>L1-12</t>
    <phoneticPr fontId="257" type="noConversion"/>
  </si>
  <si>
    <t>第一年426/月/㎡</t>
    <phoneticPr fontId="257" type="noConversion"/>
  </si>
  <si>
    <t>第一年59410</t>
    <phoneticPr fontId="257" type="noConversion"/>
  </si>
  <si>
    <t>第二年426/月/㎡</t>
    <phoneticPr fontId="257" type="noConversion"/>
  </si>
  <si>
    <t xml:space="preserve">第二年59410   </t>
    <phoneticPr fontId="257" type="noConversion"/>
  </si>
  <si>
    <t>第三年456/月/㎡</t>
    <phoneticPr fontId="257" type="noConversion"/>
  </si>
  <si>
    <t>第三年63594</t>
    <phoneticPr fontId="257" type="noConversion"/>
  </si>
  <si>
    <t>第四年456/月/㎡</t>
    <phoneticPr fontId="257" type="noConversion"/>
  </si>
  <si>
    <t>第四年63594</t>
    <phoneticPr fontId="257" type="noConversion"/>
  </si>
  <si>
    <t>第五年486/月/㎡</t>
    <phoneticPr fontId="257" type="noConversion"/>
  </si>
  <si>
    <t>第五年67778</t>
    <phoneticPr fontId="257" type="noConversion"/>
  </si>
  <si>
    <t>第六年486/月㎡</t>
    <phoneticPr fontId="257" type="noConversion"/>
  </si>
  <si>
    <t>第六年67778</t>
    <phoneticPr fontId="257" type="noConversion"/>
  </si>
  <si>
    <t>呈仙皇后</t>
    <phoneticPr fontId="257" type="noConversion"/>
  </si>
  <si>
    <t>欧阳永亮</t>
    <phoneticPr fontId="257" type="noConversion"/>
  </si>
  <si>
    <t>L1-26</t>
    <phoneticPr fontId="257" type="noConversion"/>
  </si>
  <si>
    <t>2019.12.15</t>
    <phoneticPr fontId="257" type="noConversion"/>
  </si>
  <si>
    <t>第一年310/月/㎡</t>
    <phoneticPr fontId="257" type="noConversion"/>
  </si>
  <si>
    <t>第一年21213</t>
    <phoneticPr fontId="257" type="noConversion"/>
  </si>
  <si>
    <t>服装</t>
    <phoneticPr fontId="257" type="noConversion"/>
  </si>
  <si>
    <t>第二年330/月/㎡</t>
    <phoneticPr fontId="257" type="noConversion"/>
  </si>
  <si>
    <t>第二年22581.9</t>
    <phoneticPr fontId="257" type="noConversion"/>
  </si>
  <si>
    <t>第三年360/月/㎡</t>
    <phoneticPr fontId="257" type="noConversion"/>
  </si>
  <si>
    <t>第三年24634.8</t>
    <phoneticPr fontId="257" type="noConversion"/>
  </si>
  <si>
    <t>千金一碗</t>
    <phoneticPr fontId="257" type="noConversion"/>
  </si>
  <si>
    <t>刘静恒</t>
    <phoneticPr fontId="257" type="noConversion"/>
  </si>
  <si>
    <t>L1-15-1</t>
    <phoneticPr fontId="257" type="noConversion"/>
  </si>
  <si>
    <t>2019.10.25</t>
    <phoneticPr fontId="257" type="noConversion"/>
  </si>
  <si>
    <t>第一年430元/月/㎡</t>
    <phoneticPr fontId="257" type="noConversion"/>
  </si>
  <si>
    <t>第一年34000.1元</t>
    <phoneticPr fontId="257" type="noConversion"/>
  </si>
  <si>
    <t>第二年460元/月/㎡</t>
    <phoneticPr fontId="257" type="noConversion"/>
  </si>
  <si>
    <t>第二年36372.2元</t>
    <phoneticPr fontId="257" type="noConversion"/>
  </si>
  <si>
    <t>第三年490元/月/㎡</t>
    <phoneticPr fontId="257" type="noConversion"/>
  </si>
  <si>
    <t>第三年38744.3元</t>
    <phoneticPr fontId="257" type="noConversion"/>
  </si>
  <si>
    <t>地上1层第一年平均租金</t>
    <phoneticPr fontId="145" type="noConversion"/>
  </si>
  <si>
    <t>番茄匠</t>
    <phoneticPr fontId="257" type="noConversion"/>
  </si>
  <si>
    <t>周强</t>
    <phoneticPr fontId="257" type="noConversion"/>
  </si>
  <si>
    <t>北京愉味天呈餐饮管理有限公司</t>
    <phoneticPr fontId="257" type="noConversion"/>
  </si>
  <si>
    <t>B1-15-1</t>
    <phoneticPr fontId="257" type="noConversion"/>
  </si>
  <si>
    <t>2019.4.16</t>
    <phoneticPr fontId="257" type="noConversion"/>
  </si>
  <si>
    <t>2019.12.1-2023.4.30</t>
    <phoneticPr fontId="257" type="noConversion"/>
  </si>
  <si>
    <t>4年</t>
    <phoneticPr fontId="257" type="noConversion"/>
  </si>
  <si>
    <t>第一年456元/月/平方米</t>
    <phoneticPr fontId="257" type="noConversion"/>
  </si>
  <si>
    <t>第一年35080/月</t>
    <phoneticPr fontId="257" type="noConversion"/>
  </si>
  <si>
    <t>第一年 11%</t>
    <phoneticPr fontId="257" type="noConversion"/>
  </si>
  <si>
    <t>1199元/月</t>
    <phoneticPr fontId="257" type="noConversion"/>
  </si>
  <si>
    <t>面积补差</t>
    <phoneticPr fontId="257" type="noConversion"/>
  </si>
  <si>
    <t>第二年487元/月/平方米</t>
    <phoneticPr fontId="257" type="noConversion"/>
  </si>
  <si>
    <t>第二年37465</t>
    <phoneticPr fontId="257" type="noConversion"/>
  </si>
  <si>
    <t>第三年487元/月/平方米</t>
    <phoneticPr fontId="257" type="noConversion"/>
  </si>
  <si>
    <t>第三年37465</t>
    <phoneticPr fontId="257" type="noConversion"/>
  </si>
  <si>
    <t>第三年 12%</t>
    <phoneticPr fontId="257" type="noConversion"/>
  </si>
  <si>
    <t>第四年517元/月/平方米</t>
    <phoneticPr fontId="257" type="noConversion"/>
  </si>
  <si>
    <t>第四年 39773</t>
    <phoneticPr fontId="257" type="noConversion"/>
  </si>
  <si>
    <t>第四年 13%</t>
    <phoneticPr fontId="257" type="noConversion"/>
  </si>
  <si>
    <t>京天红</t>
    <phoneticPr fontId="257" type="noConversion"/>
  </si>
  <si>
    <t>张岑语</t>
    <phoneticPr fontId="257" type="noConversion"/>
  </si>
  <si>
    <t>北京知味颐餐饮管理有限公司</t>
    <phoneticPr fontId="257" type="noConversion"/>
  </si>
  <si>
    <t>B1-18-1</t>
    <phoneticPr fontId="257" type="noConversion"/>
  </si>
  <si>
    <t>2019.12.1-2022.11.30</t>
    <phoneticPr fontId="257" type="noConversion"/>
  </si>
  <si>
    <t>3年</t>
    <phoneticPr fontId="257" type="noConversion"/>
  </si>
  <si>
    <t>第一年630元/月/平方米</t>
    <phoneticPr fontId="257" type="noConversion"/>
  </si>
  <si>
    <t>第一年17784.9/月</t>
    <phoneticPr fontId="257" type="noConversion"/>
  </si>
  <si>
    <t>第一年 12%</t>
    <phoneticPr fontId="257" type="noConversion"/>
  </si>
  <si>
    <t>2822.4/月</t>
    <phoneticPr fontId="257" type="noConversion"/>
  </si>
  <si>
    <t>403.2/月</t>
    <phoneticPr fontId="257" type="noConversion"/>
  </si>
  <si>
    <t>第二年660元/月/平方米</t>
    <phoneticPr fontId="257" type="noConversion"/>
  </si>
  <si>
    <t>第二年18631.8</t>
    <phoneticPr fontId="257" type="noConversion"/>
  </si>
  <si>
    <t>毛佗佗</t>
    <phoneticPr fontId="257" type="noConversion"/>
  </si>
  <si>
    <t>王珺珺</t>
    <phoneticPr fontId="257" type="noConversion"/>
  </si>
  <si>
    <t>北京波娅餐饮管理有限公司</t>
    <phoneticPr fontId="257" type="noConversion"/>
  </si>
  <si>
    <t>B1-20-4</t>
    <phoneticPr fontId="257" type="noConversion"/>
  </si>
  <si>
    <t>第二年630元/月/平米</t>
    <phoneticPr fontId="257" type="noConversion"/>
  </si>
  <si>
    <t>第一年27072.3/月</t>
    <phoneticPr fontId="257" type="noConversion"/>
  </si>
  <si>
    <t>4402/月</t>
    <phoneticPr fontId="257" type="noConversion"/>
  </si>
  <si>
    <t>629/月</t>
    <phoneticPr fontId="257" type="noConversion"/>
  </si>
  <si>
    <t>第二616元/月/平米</t>
    <phoneticPr fontId="257" type="noConversion"/>
  </si>
  <si>
    <t>第二年27732.6</t>
    <phoneticPr fontId="257" type="noConversion"/>
  </si>
  <si>
    <t>第三年660元/月/平米</t>
    <phoneticPr fontId="257" type="noConversion"/>
  </si>
  <si>
    <t>第三年29053.2</t>
    <phoneticPr fontId="257" type="noConversion"/>
  </si>
  <si>
    <t>第三年 13%</t>
    <phoneticPr fontId="257" type="noConversion"/>
  </si>
  <si>
    <t>小淮娘</t>
    <phoneticPr fontId="257" type="noConversion"/>
  </si>
  <si>
    <t>邵佳佳</t>
    <phoneticPr fontId="257" type="noConversion"/>
  </si>
  <si>
    <t>北京玲玥餐饮服务店</t>
    <phoneticPr fontId="257" type="noConversion"/>
  </si>
  <si>
    <t>B1-20-3</t>
    <phoneticPr fontId="257" type="noConversion"/>
  </si>
  <si>
    <t>2019.12.1-2021.11.30</t>
    <phoneticPr fontId="257" type="noConversion"/>
  </si>
  <si>
    <t>2年</t>
    <phoneticPr fontId="257" type="noConversion"/>
  </si>
  <si>
    <t>第一年760元/月/平方米</t>
    <phoneticPr fontId="257" type="noConversion"/>
  </si>
  <si>
    <t>第一年 30587/月</t>
    <phoneticPr fontId="257" type="noConversion"/>
  </si>
  <si>
    <t>第一年 14%</t>
    <phoneticPr fontId="257" type="noConversion"/>
  </si>
  <si>
    <t>4190/月</t>
    <phoneticPr fontId="257" type="noConversion"/>
  </si>
  <si>
    <t>419/月</t>
    <phoneticPr fontId="257" type="noConversion"/>
  </si>
  <si>
    <t>第二年760元/月/平方米</t>
    <phoneticPr fontId="257" type="noConversion"/>
  </si>
  <si>
    <t>第二年 31844</t>
    <phoneticPr fontId="257" type="noConversion"/>
  </si>
  <si>
    <t>第二年 15%</t>
    <phoneticPr fontId="257" type="noConversion"/>
  </si>
  <si>
    <t>哚哚米线</t>
    <phoneticPr fontId="257" type="noConversion"/>
  </si>
  <si>
    <t>刘震</t>
    <phoneticPr fontId="257" type="noConversion"/>
  </si>
  <si>
    <t>北京千宁餐饮管理有限公司</t>
    <phoneticPr fontId="257" type="noConversion"/>
  </si>
  <si>
    <t>B1-11-1</t>
    <phoneticPr fontId="257" type="noConversion"/>
  </si>
  <si>
    <t>2019.4.16</t>
    <phoneticPr fontId="257" type="noConversion"/>
  </si>
  <si>
    <t>2019.12.1-2024.11.30</t>
    <phoneticPr fontId="257" type="noConversion"/>
  </si>
  <si>
    <t>4年</t>
    <phoneticPr fontId="257" type="noConversion"/>
  </si>
  <si>
    <t>第一年410元/月/平方米</t>
    <phoneticPr fontId="257" type="noConversion"/>
  </si>
  <si>
    <t>第一年37215.7</t>
    <phoneticPr fontId="257" type="noConversion"/>
  </si>
  <si>
    <t>9079/月</t>
    <phoneticPr fontId="257" type="noConversion"/>
  </si>
  <si>
    <t>1297/月</t>
    <phoneticPr fontId="257" type="noConversion"/>
  </si>
  <si>
    <t>第二年410元/月/平方米</t>
    <phoneticPr fontId="257" type="noConversion"/>
  </si>
  <si>
    <t>第二年37215.7</t>
    <phoneticPr fontId="257" type="noConversion"/>
  </si>
  <si>
    <t>第三年430元/月/平方米</t>
    <phoneticPr fontId="257" type="noConversion"/>
  </si>
  <si>
    <t>第三年39031.1</t>
    <phoneticPr fontId="257" type="noConversion"/>
  </si>
  <si>
    <t>第三年11%</t>
    <phoneticPr fontId="257" type="noConversion"/>
  </si>
  <si>
    <t>第四年460元/月/平方米</t>
    <phoneticPr fontId="257" type="noConversion"/>
  </si>
  <si>
    <t>第四年41754.2</t>
    <phoneticPr fontId="257" type="noConversion"/>
  </si>
  <si>
    <t>渝调调</t>
    <phoneticPr fontId="257" type="noConversion"/>
  </si>
  <si>
    <t>悉志安</t>
    <phoneticPr fontId="257" type="noConversion"/>
  </si>
  <si>
    <t>北京渝香味道餐饮管理有限公司</t>
    <phoneticPr fontId="257" type="noConversion"/>
  </si>
  <si>
    <t>B1-19-3</t>
    <phoneticPr fontId="257" type="noConversion"/>
  </si>
  <si>
    <t>2019.4.15</t>
    <phoneticPr fontId="257" type="noConversion"/>
  </si>
  <si>
    <t>第一年27877.5/月</t>
    <phoneticPr fontId="257" type="noConversion"/>
  </si>
  <si>
    <t>4425/月</t>
    <phoneticPr fontId="257" type="noConversion"/>
  </si>
  <si>
    <t>632/月</t>
    <phoneticPr fontId="257" type="noConversion"/>
  </si>
  <si>
    <t>第二年690元/月/平方米</t>
    <phoneticPr fontId="257" type="noConversion"/>
  </si>
  <si>
    <t>第二年29205/月</t>
    <phoneticPr fontId="257" type="noConversion"/>
  </si>
  <si>
    <t>第二年14%</t>
    <phoneticPr fontId="257" type="noConversion"/>
  </si>
  <si>
    <t>第三年690元/月/平方米</t>
    <phoneticPr fontId="257" type="noConversion"/>
  </si>
  <si>
    <t>第三年30532.5/月</t>
    <phoneticPr fontId="257" type="noConversion"/>
  </si>
  <si>
    <t>第三年15%</t>
    <phoneticPr fontId="257" type="noConversion"/>
  </si>
  <si>
    <t>闫氏烤肠</t>
    <phoneticPr fontId="257" type="noConversion"/>
  </si>
  <si>
    <t>闫晓雨</t>
    <phoneticPr fontId="257" type="noConversion"/>
  </si>
  <si>
    <t>北京味滋滋餐饮管理有限公司</t>
    <phoneticPr fontId="257" type="noConversion"/>
  </si>
  <si>
    <t>B1-18-2</t>
    <phoneticPr fontId="257" type="noConversion"/>
  </si>
  <si>
    <t>第一年 800元/月/㎡</t>
    <phoneticPr fontId="257" type="noConversion"/>
  </si>
  <si>
    <t>第一年12560/月</t>
    <phoneticPr fontId="257" type="noConversion"/>
  </si>
  <si>
    <t>1568/月</t>
    <phoneticPr fontId="257" type="noConversion"/>
  </si>
  <si>
    <t>224/月</t>
    <phoneticPr fontId="257" type="noConversion"/>
  </si>
  <si>
    <t>第二年 830元/月/㎡</t>
    <phoneticPr fontId="257" type="noConversion"/>
  </si>
  <si>
    <t>第二年13031/月</t>
    <phoneticPr fontId="257" type="noConversion"/>
  </si>
  <si>
    <t>鱼籽饭</t>
    <phoneticPr fontId="257" type="noConversion"/>
  </si>
  <si>
    <t>李军</t>
    <phoneticPr fontId="257" type="noConversion"/>
  </si>
  <si>
    <t>北京禾木子餐饮管理有限公司</t>
    <phoneticPr fontId="257" type="noConversion"/>
  </si>
  <si>
    <t>B110</t>
    <phoneticPr fontId="257" type="noConversion"/>
  </si>
  <si>
    <t>2019.5.20</t>
    <phoneticPr fontId="257" type="noConversion"/>
  </si>
  <si>
    <t>第一年660元/月/平方米</t>
    <phoneticPr fontId="257" type="noConversion"/>
  </si>
  <si>
    <t>第一年29443/月</t>
    <phoneticPr fontId="257" type="noConversion"/>
  </si>
  <si>
    <t>4410/月</t>
    <phoneticPr fontId="257" type="noConversion"/>
  </si>
  <si>
    <t>630/月</t>
    <phoneticPr fontId="257" type="noConversion"/>
  </si>
  <si>
    <t>第二年30782/月</t>
    <phoneticPr fontId="257" type="noConversion"/>
  </si>
  <si>
    <t>第三年720元/月/平方米</t>
    <phoneticPr fontId="257" type="noConversion"/>
  </si>
  <si>
    <t>第三年32120/月</t>
    <phoneticPr fontId="257" type="noConversion"/>
  </si>
  <si>
    <t>第三年14%</t>
    <phoneticPr fontId="257" type="noConversion"/>
  </si>
  <si>
    <t>丸龟制面</t>
    <phoneticPr fontId="257" type="noConversion"/>
  </si>
  <si>
    <t>北京东利多餐饮管理有限公司</t>
    <phoneticPr fontId="257" type="noConversion"/>
  </si>
  <si>
    <t>北京东利多餐饮管理有限公司朝阳红军营南路分公司</t>
    <phoneticPr fontId="257" type="noConversion"/>
  </si>
  <si>
    <t>B1-08</t>
    <phoneticPr fontId="257" type="noConversion"/>
  </si>
  <si>
    <t>2019.5.30</t>
    <phoneticPr fontId="257" type="noConversion"/>
  </si>
  <si>
    <t>第一年 380元/月/㎡</t>
    <phoneticPr fontId="257" type="noConversion"/>
  </si>
  <si>
    <t>第一年51429.2/月</t>
    <phoneticPr fontId="257" type="noConversion"/>
  </si>
  <si>
    <t>第一年9%</t>
    <phoneticPr fontId="257" type="noConversion"/>
  </si>
  <si>
    <t>13533.8/月</t>
    <phoneticPr fontId="257" type="noConversion"/>
  </si>
  <si>
    <t>第二年 380元/月/㎡</t>
    <phoneticPr fontId="257" type="noConversion"/>
  </si>
  <si>
    <t>第二年51429.2/月</t>
    <phoneticPr fontId="257" type="noConversion"/>
  </si>
  <si>
    <t>第二年9%</t>
    <phoneticPr fontId="257" type="noConversion"/>
  </si>
  <si>
    <t>第三年395元/月/㎡</t>
    <phoneticPr fontId="257" type="noConversion"/>
  </si>
  <si>
    <t>第三年53459.3/月</t>
    <phoneticPr fontId="257" type="noConversion"/>
  </si>
  <si>
    <t>第三年10%</t>
    <phoneticPr fontId="257" type="noConversion"/>
  </si>
  <si>
    <t>第四年395元/月/㎡</t>
    <phoneticPr fontId="257" type="noConversion"/>
  </si>
  <si>
    <t>第四年53459.3/月</t>
    <phoneticPr fontId="257" type="noConversion"/>
  </si>
  <si>
    <t>第四年10%</t>
    <phoneticPr fontId="257" type="noConversion"/>
  </si>
  <si>
    <t>元宝甄糕</t>
    <phoneticPr fontId="257" type="noConversion"/>
  </si>
  <si>
    <t>北京云泉轩餐饮有限公司</t>
    <phoneticPr fontId="257" type="noConversion"/>
  </si>
  <si>
    <t>北京云泉轩餐饮有限公司北苑分公司</t>
    <phoneticPr fontId="257" type="noConversion"/>
  </si>
  <si>
    <t>B1-22-2</t>
    <phoneticPr fontId="257" type="noConversion"/>
  </si>
  <si>
    <t>2019.3.21</t>
    <phoneticPr fontId="257" type="noConversion"/>
  </si>
  <si>
    <t>第一年 912元/月/㎡</t>
    <phoneticPr fontId="257" type="noConversion"/>
  </si>
  <si>
    <t>第一年15695/月</t>
    <phoneticPr fontId="257" type="noConversion"/>
  </si>
  <si>
    <t>1721/月</t>
    <phoneticPr fontId="257" type="noConversion"/>
  </si>
  <si>
    <t>245.9/月</t>
    <phoneticPr fontId="257" type="noConversion"/>
  </si>
  <si>
    <t>第二年 942元/月/㎡</t>
    <phoneticPr fontId="257" type="noConversion"/>
  </si>
  <si>
    <t>第二年16211/月</t>
    <phoneticPr fontId="257" type="noConversion"/>
  </si>
  <si>
    <t>一屋之煮</t>
    <phoneticPr fontId="257" type="noConversion"/>
  </si>
  <si>
    <t>王冠霖</t>
    <phoneticPr fontId="257" type="noConversion"/>
  </si>
  <si>
    <t>北京一屋之煮餐饮管理有限公司</t>
    <phoneticPr fontId="257" type="noConversion"/>
  </si>
  <si>
    <t>B1-15-2</t>
    <phoneticPr fontId="257" type="noConversion"/>
  </si>
  <si>
    <t>2019.5.17</t>
    <phoneticPr fontId="257" type="noConversion"/>
  </si>
  <si>
    <t>第一年 480元/月/㎡</t>
    <phoneticPr fontId="257" type="noConversion"/>
  </si>
  <si>
    <t>第一年38846/月</t>
    <phoneticPr fontId="257" type="noConversion"/>
  </si>
  <si>
    <t>8093/月</t>
    <phoneticPr fontId="257" type="noConversion"/>
  </si>
  <si>
    <t>1156/月</t>
    <phoneticPr fontId="257" type="noConversion"/>
  </si>
  <si>
    <t>第二年 480元/月/㎡</t>
    <phoneticPr fontId="257" type="noConversion"/>
  </si>
  <si>
    <t>第二年38846/月</t>
    <phoneticPr fontId="257" type="noConversion"/>
  </si>
  <si>
    <t>第三年 510元/月/㎡</t>
    <phoneticPr fontId="257" type="noConversion"/>
  </si>
  <si>
    <t>第三年41274/月</t>
    <phoneticPr fontId="257" type="noConversion"/>
  </si>
  <si>
    <t>醉面</t>
    <phoneticPr fontId="257" type="noConversion"/>
  </si>
  <si>
    <t>北京黑走马建筑工程有限公司</t>
    <phoneticPr fontId="257" type="noConversion"/>
  </si>
  <si>
    <t>北京醉忠华餐饮管理有限公司</t>
    <phoneticPr fontId="257" type="noConversion"/>
  </si>
  <si>
    <t>B1-17</t>
    <phoneticPr fontId="257" type="noConversion"/>
  </si>
  <si>
    <t>第一年500元/月/㎡</t>
    <phoneticPr fontId="257" type="noConversion"/>
  </si>
  <si>
    <t>第一年22000/月</t>
    <phoneticPr fontId="257" type="noConversion"/>
  </si>
  <si>
    <t>第二年500/月/㎡</t>
    <phoneticPr fontId="257" type="noConversion"/>
  </si>
  <si>
    <t>第二年22000/月</t>
    <phoneticPr fontId="257" type="noConversion"/>
  </si>
  <si>
    <t>第三年530元/月/㎡</t>
    <phoneticPr fontId="257" type="noConversion"/>
  </si>
  <si>
    <t>第三年23320/月</t>
    <phoneticPr fontId="257" type="noConversion"/>
  </si>
  <si>
    <t>第四年530/月/㎡</t>
    <phoneticPr fontId="257" type="noConversion"/>
  </si>
  <si>
    <t>第四年23320/月</t>
    <phoneticPr fontId="257" type="noConversion"/>
  </si>
  <si>
    <t>第四年11%</t>
    <phoneticPr fontId="257" type="noConversion"/>
  </si>
  <si>
    <t>第五年560元/月/㎡</t>
    <phoneticPr fontId="257" type="noConversion"/>
  </si>
  <si>
    <t>第五年24640/月</t>
    <phoneticPr fontId="257" type="noConversion"/>
  </si>
  <si>
    <t>舞茶</t>
    <phoneticPr fontId="257" type="noConversion"/>
  </si>
  <si>
    <t>李雪峰</t>
    <phoneticPr fontId="257" type="noConversion"/>
  </si>
  <si>
    <t>北京诺迪汇餐饮管理有限公司第一分公司</t>
    <phoneticPr fontId="257" type="noConversion"/>
  </si>
  <si>
    <t>B1-2-2</t>
    <phoneticPr fontId="257" type="noConversion"/>
  </si>
  <si>
    <t>2019.9.28</t>
    <phoneticPr fontId="257" type="noConversion"/>
  </si>
  <si>
    <t>第一年580元/月/㎡</t>
    <phoneticPr fontId="257" type="noConversion"/>
  </si>
  <si>
    <t>第一年14790/月</t>
    <phoneticPr fontId="257" type="noConversion"/>
  </si>
  <si>
    <t>2548/月</t>
    <phoneticPr fontId="257" type="noConversion"/>
  </si>
  <si>
    <t>364/月</t>
    <phoneticPr fontId="257" type="noConversion"/>
  </si>
  <si>
    <t>第二年620元/月/㎡</t>
    <phoneticPr fontId="257" type="noConversion"/>
  </si>
  <si>
    <t>第二年15810/月</t>
    <phoneticPr fontId="257" type="noConversion"/>
  </si>
  <si>
    <t>小恒水饺</t>
    <phoneticPr fontId="257" type="noConversion"/>
  </si>
  <si>
    <t>刘洋</t>
    <phoneticPr fontId="257" type="noConversion"/>
  </si>
  <si>
    <t>北京迪马乐捷餐饮有限公司</t>
    <phoneticPr fontId="257" type="noConversion"/>
  </si>
  <si>
    <t>B1-01</t>
    <phoneticPr fontId="257" type="noConversion"/>
  </si>
  <si>
    <t>2019.7.24</t>
    <phoneticPr fontId="257" type="noConversion"/>
  </si>
  <si>
    <t>第一年375元/月/㎡</t>
    <phoneticPr fontId="257" type="noConversion"/>
  </si>
  <si>
    <t>第一年29475/月</t>
    <phoneticPr fontId="257" type="noConversion"/>
  </si>
  <si>
    <t>7854元/月</t>
    <phoneticPr fontId="257" type="noConversion"/>
  </si>
  <si>
    <t>1112/月</t>
    <phoneticPr fontId="257" type="noConversion"/>
  </si>
  <si>
    <t>第二年375/月/㎡</t>
    <phoneticPr fontId="257" type="noConversion"/>
  </si>
  <si>
    <t>第三年405元/月/㎡</t>
    <phoneticPr fontId="257" type="noConversion"/>
  </si>
  <si>
    <t>第三年31833/月</t>
    <phoneticPr fontId="257" type="noConversion"/>
  </si>
  <si>
    <t>第四年405/月/㎡</t>
    <phoneticPr fontId="257" type="noConversion"/>
  </si>
  <si>
    <t>第四年31833/月</t>
    <phoneticPr fontId="257" type="noConversion"/>
  </si>
  <si>
    <t>第四年13%</t>
    <phoneticPr fontId="257" type="noConversion"/>
  </si>
  <si>
    <t>第五年435元/月/㎡</t>
    <phoneticPr fontId="257" type="noConversion"/>
  </si>
  <si>
    <t>第五年34191/月</t>
    <phoneticPr fontId="257" type="noConversion"/>
  </si>
  <si>
    <t>第五年14%</t>
    <phoneticPr fontId="257" type="noConversion"/>
  </si>
  <si>
    <t>花儿赞</t>
    <phoneticPr fontId="257" type="noConversion"/>
  </si>
  <si>
    <t>花儿赞（北京）餐饮有限是</t>
    <phoneticPr fontId="257" type="noConversion"/>
  </si>
  <si>
    <t>北京姑娘追餐饮管理有限公司</t>
    <phoneticPr fontId="257" type="noConversion"/>
  </si>
  <si>
    <t>B1-16</t>
    <phoneticPr fontId="257" type="noConversion"/>
  </si>
  <si>
    <t>第一年26707/月</t>
    <phoneticPr fontId="257" type="noConversion"/>
  </si>
  <si>
    <t>第二年360元月/㎡</t>
    <phoneticPr fontId="257" type="noConversion"/>
  </si>
  <si>
    <t>第一年29135/月</t>
    <phoneticPr fontId="257" type="noConversion"/>
  </si>
  <si>
    <t>第三年29135/月</t>
    <phoneticPr fontId="257" type="noConversion"/>
  </si>
  <si>
    <t>第四年390/月/㎡</t>
    <phoneticPr fontId="257" type="noConversion"/>
  </si>
  <si>
    <t>第四年31563/月</t>
    <phoneticPr fontId="257" type="noConversion"/>
  </si>
  <si>
    <t>第五年31563/月</t>
    <phoneticPr fontId="257" type="noConversion"/>
  </si>
  <si>
    <t>第五年11%</t>
    <phoneticPr fontId="257" type="noConversion"/>
  </si>
  <si>
    <t>炸鸡</t>
    <phoneticPr fontId="257" type="noConversion"/>
  </si>
  <si>
    <t>邹立国</t>
    <phoneticPr fontId="257" type="noConversion"/>
  </si>
  <si>
    <t>北京珀珀餐饮管理有限公司</t>
    <phoneticPr fontId="257" type="noConversion"/>
  </si>
  <si>
    <t>B1-20-1</t>
    <phoneticPr fontId="257" type="noConversion"/>
  </si>
  <si>
    <t>第一年760元/月/㎡</t>
    <phoneticPr fontId="257" type="noConversion"/>
  </si>
  <si>
    <t>第一年16530/月</t>
    <phoneticPr fontId="257" type="noConversion"/>
  </si>
  <si>
    <t>第二年790元月/㎡</t>
    <phoneticPr fontId="257" type="noConversion"/>
  </si>
  <si>
    <t>第一年17183/月</t>
    <phoneticPr fontId="257" type="noConversion"/>
  </si>
  <si>
    <t>第三年790元/月/㎡</t>
    <phoneticPr fontId="257" type="noConversion"/>
  </si>
  <si>
    <t>第三年17183/月</t>
    <phoneticPr fontId="257" type="noConversion"/>
  </si>
  <si>
    <t>第三年50%</t>
    <phoneticPr fontId="257" type="noConversion"/>
  </si>
  <si>
    <t>夸父</t>
    <phoneticPr fontId="257" type="noConversion"/>
  </si>
  <si>
    <t>冯伊美</t>
    <phoneticPr fontId="257" type="noConversion"/>
  </si>
  <si>
    <t>北京伟兴餐饮管理有限公司</t>
    <phoneticPr fontId="257" type="noConversion"/>
  </si>
  <si>
    <t>B1-09-1</t>
    <phoneticPr fontId="257" type="noConversion"/>
  </si>
  <si>
    <t>第一年760/月/㎡</t>
    <phoneticPr fontId="257" type="noConversion"/>
  </si>
  <si>
    <t>第一年13763.6元/月</t>
    <phoneticPr fontId="257" type="noConversion"/>
  </si>
  <si>
    <t>第二790/月/㎡</t>
    <phoneticPr fontId="257" type="noConversion"/>
  </si>
  <si>
    <t xml:space="preserve">第二年14306.9元/月 </t>
    <phoneticPr fontId="257" type="noConversion"/>
  </si>
  <si>
    <t>第三年820/月/㎡</t>
    <phoneticPr fontId="257" type="noConversion"/>
  </si>
  <si>
    <t>第三年14850.2元/月</t>
    <phoneticPr fontId="257" type="noConversion"/>
  </si>
  <si>
    <t>小铺包子</t>
    <phoneticPr fontId="257" type="noConversion"/>
  </si>
  <si>
    <t>王晓东</t>
    <phoneticPr fontId="257" type="noConversion"/>
  </si>
  <si>
    <t>北京源麦小铺餐饮管理有限公司</t>
    <phoneticPr fontId="257" type="noConversion"/>
  </si>
  <si>
    <t>B1-22-5</t>
    <phoneticPr fontId="257" type="noConversion"/>
  </si>
  <si>
    <t>第一年635/月/㎡</t>
    <phoneticPr fontId="257" type="noConversion"/>
  </si>
  <si>
    <t>第一年25774.6元/月</t>
    <phoneticPr fontId="257" type="noConversion"/>
  </si>
  <si>
    <t>4.26 发律师函</t>
    <phoneticPr fontId="257" type="noConversion"/>
  </si>
  <si>
    <t>第二年665/月/㎡</t>
    <phoneticPr fontId="257" type="noConversion"/>
  </si>
  <si>
    <t xml:space="preserve">第二年26992.3元/月 </t>
    <phoneticPr fontId="257" type="noConversion"/>
  </si>
  <si>
    <t>第三年695/月/㎡</t>
    <phoneticPr fontId="257" type="noConversion"/>
  </si>
  <si>
    <t>第三年28210元/月</t>
    <phoneticPr fontId="257" type="noConversion"/>
  </si>
  <si>
    <t>西良记</t>
    <phoneticPr fontId="257" type="noConversion"/>
  </si>
  <si>
    <t>北京西良记餐饮管理有限公司</t>
    <phoneticPr fontId="257" type="noConversion"/>
  </si>
  <si>
    <t>北京西良记餐饮管理有限公司北苑分公司</t>
    <phoneticPr fontId="257" type="noConversion"/>
  </si>
  <si>
    <t>B1-21-4</t>
    <phoneticPr fontId="257" type="noConversion"/>
  </si>
  <si>
    <t>第一年660/月/㎡</t>
    <phoneticPr fontId="257" type="noConversion"/>
  </si>
  <si>
    <t>第一年27086.4元/月</t>
    <phoneticPr fontId="257" type="noConversion"/>
  </si>
  <si>
    <t>第二年660/月/㎡</t>
    <phoneticPr fontId="257" type="noConversion"/>
  </si>
  <si>
    <t xml:space="preserve">第二年27086.4元/月 </t>
    <phoneticPr fontId="257" type="noConversion"/>
  </si>
  <si>
    <t>第三年690/月/㎡</t>
    <phoneticPr fontId="257" type="noConversion"/>
  </si>
  <si>
    <t>第三年28317.6元/月</t>
    <phoneticPr fontId="257" type="noConversion"/>
  </si>
  <si>
    <t>广聿口</t>
    <phoneticPr fontId="257" type="noConversion"/>
  </si>
  <si>
    <t>唐奇</t>
    <phoneticPr fontId="257" type="noConversion"/>
  </si>
  <si>
    <t>北京云沁肴餐饮服务有限公司</t>
    <phoneticPr fontId="257" type="noConversion"/>
  </si>
  <si>
    <t>B1-13</t>
    <phoneticPr fontId="257" type="noConversion"/>
  </si>
  <si>
    <t>第一年420/月/㎡</t>
    <phoneticPr fontId="257" type="noConversion"/>
  </si>
  <si>
    <t>第一年53621元/月</t>
    <phoneticPr fontId="257" type="noConversion"/>
  </si>
  <si>
    <t>奇味茶餐厅</t>
    <phoneticPr fontId="257" type="noConversion"/>
  </si>
  <si>
    <t>第二420/月/㎡</t>
    <phoneticPr fontId="257" type="noConversion"/>
  </si>
  <si>
    <t xml:space="preserve">第二年53621元/月 </t>
    <phoneticPr fontId="257" type="noConversion"/>
  </si>
  <si>
    <t>第三年450/月/㎡</t>
    <phoneticPr fontId="257" type="noConversion"/>
  </si>
  <si>
    <t>第三年57451元/月</t>
    <phoneticPr fontId="257" type="noConversion"/>
  </si>
  <si>
    <t>第四年450/月/㎡</t>
    <phoneticPr fontId="257" type="noConversion"/>
  </si>
  <si>
    <t>第四年57451元/月</t>
    <phoneticPr fontId="257" type="noConversion"/>
  </si>
  <si>
    <t>第五年480/月/㎡</t>
    <phoneticPr fontId="257" type="noConversion"/>
  </si>
  <si>
    <t>第五年61281元/月</t>
    <phoneticPr fontId="257" type="noConversion"/>
  </si>
  <si>
    <t>筋牛座</t>
    <phoneticPr fontId="257" type="noConversion"/>
  </si>
  <si>
    <t>吴琨</t>
    <phoneticPr fontId="257" type="noConversion"/>
  </si>
  <si>
    <t>北京琨玉餐饮店</t>
    <phoneticPr fontId="257" type="noConversion"/>
  </si>
  <si>
    <t>B1-22-3/B1-22-4</t>
    <phoneticPr fontId="257" type="noConversion"/>
  </si>
  <si>
    <t>第一年600/月/㎡</t>
    <phoneticPr fontId="257" type="noConversion"/>
  </si>
  <si>
    <t>第一年35162/月</t>
    <phoneticPr fontId="257" type="noConversion"/>
  </si>
  <si>
    <t>第一年14%</t>
    <phoneticPr fontId="257" type="noConversion"/>
  </si>
  <si>
    <t>第二年630/月/㎡</t>
    <phoneticPr fontId="257" type="noConversion"/>
  </si>
  <si>
    <t>第二年36920/月</t>
    <phoneticPr fontId="257" type="noConversion"/>
  </si>
  <si>
    <t>福小福</t>
    <phoneticPr fontId="257" type="noConversion"/>
  </si>
  <si>
    <t>刘健</t>
    <phoneticPr fontId="257" type="noConversion"/>
  </si>
  <si>
    <t>北京越美福小福餐饮有限公司</t>
    <phoneticPr fontId="257" type="noConversion"/>
  </si>
  <si>
    <t>B1-01-1/BA-02-1</t>
    <phoneticPr fontId="257" type="noConversion"/>
  </si>
  <si>
    <t>2019..7.19</t>
    <phoneticPr fontId="257" type="noConversion"/>
  </si>
  <si>
    <t>第一年375/月/㎡</t>
    <phoneticPr fontId="257" type="noConversion"/>
  </si>
  <si>
    <t>第一年19500元/月</t>
    <phoneticPr fontId="257" type="noConversion"/>
  </si>
  <si>
    <t>第二405/月/㎡</t>
    <phoneticPr fontId="257" type="noConversion"/>
  </si>
  <si>
    <t xml:space="preserve">第二年21060元/月 </t>
    <phoneticPr fontId="257" type="noConversion"/>
  </si>
  <si>
    <t>第三年435/月/㎡</t>
    <phoneticPr fontId="257" type="noConversion"/>
  </si>
  <si>
    <t>第三年22620元/月</t>
    <phoneticPr fontId="257" type="noConversion"/>
  </si>
  <si>
    <t>井弘饭团</t>
    <phoneticPr fontId="257" type="noConversion"/>
  </si>
  <si>
    <t>赵文超</t>
    <phoneticPr fontId="257" type="noConversion"/>
  </si>
  <si>
    <t>北京井弘餐饮管理有限公司</t>
    <phoneticPr fontId="257" type="noConversion"/>
  </si>
  <si>
    <t>B1-20-2</t>
    <phoneticPr fontId="257" type="noConversion"/>
  </si>
  <si>
    <t>2019.6.16</t>
    <phoneticPr fontId="257" type="noConversion"/>
  </si>
  <si>
    <t>第一年860/月/㎡</t>
    <phoneticPr fontId="257" type="noConversion"/>
  </si>
  <si>
    <t>第一年21921.4元/月</t>
    <phoneticPr fontId="257" type="noConversion"/>
  </si>
  <si>
    <t>第二890/月/㎡</t>
    <phoneticPr fontId="257" type="noConversion"/>
  </si>
  <si>
    <t xml:space="preserve">第二年22686.1元/月 </t>
    <phoneticPr fontId="257" type="noConversion"/>
  </si>
  <si>
    <t>黑色经典</t>
    <phoneticPr fontId="257" type="noConversion"/>
  </si>
  <si>
    <t>北京黑走马餐饮管理有限公司</t>
    <phoneticPr fontId="257" type="noConversion"/>
  </si>
  <si>
    <t>北京黑走马餐饮管理有限公司第一分公司</t>
    <phoneticPr fontId="257" type="noConversion"/>
  </si>
  <si>
    <t>B1-22-1</t>
    <phoneticPr fontId="257" type="noConversion"/>
  </si>
  <si>
    <t>第一年700/月/㎡</t>
    <phoneticPr fontId="257" type="noConversion"/>
  </si>
  <si>
    <t>第一年12040元/月</t>
    <phoneticPr fontId="257" type="noConversion"/>
  </si>
  <si>
    <t>第二730/月/㎡</t>
    <phoneticPr fontId="257" type="noConversion"/>
  </si>
  <si>
    <t xml:space="preserve">第二年12556元/月 </t>
    <phoneticPr fontId="257" type="noConversion"/>
  </si>
  <si>
    <t>第三年760/月/㎡</t>
    <phoneticPr fontId="257" type="noConversion"/>
  </si>
  <si>
    <t>第三年13072元/月</t>
    <phoneticPr fontId="257" type="noConversion"/>
  </si>
  <si>
    <t>硬货海鲜饭</t>
    <phoneticPr fontId="257" type="noConversion"/>
  </si>
  <si>
    <t>王军楠</t>
    <phoneticPr fontId="257" type="noConversion"/>
  </si>
  <si>
    <t>北京滴粒鲜餐饮有限公司</t>
    <phoneticPr fontId="257" type="noConversion"/>
  </si>
  <si>
    <t>B1-12</t>
    <phoneticPr fontId="257" type="noConversion"/>
  </si>
  <si>
    <t>第一年430/月/㎡</t>
    <phoneticPr fontId="257" type="noConversion"/>
  </si>
  <si>
    <t>第一年44775.9元/月</t>
    <phoneticPr fontId="257" type="noConversion"/>
  </si>
  <si>
    <t>第二460/月/㎡</t>
    <phoneticPr fontId="257" type="noConversion"/>
  </si>
  <si>
    <t xml:space="preserve">第二年47899.8元/月 </t>
    <phoneticPr fontId="257" type="noConversion"/>
  </si>
  <si>
    <t>第三年490/月/㎡</t>
    <phoneticPr fontId="257" type="noConversion"/>
  </si>
  <si>
    <t>第三年51023.7元/月</t>
    <phoneticPr fontId="257" type="noConversion"/>
  </si>
  <si>
    <t>第三年12%</t>
    <phoneticPr fontId="257" type="noConversion"/>
  </si>
  <si>
    <t>坛子肉</t>
    <phoneticPr fontId="257" type="noConversion"/>
  </si>
  <si>
    <t>李雪莲</t>
    <phoneticPr fontId="257" type="noConversion"/>
  </si>
  <si>
    <t>北京满园东餐饮管理有限公司</t>
    <phoneticPr fontId="257" type="noConversion"/>
  </si>
  <si>
    <t>√</t>
    <phoneticPr fontId="257" type="noConversion"/>
  </si>
  <si>
    <t>B1-21-3</t>
    <phoneticPr fontId="257" type="noConversion"/>
  </si>
  <si>
    <t>2019.12.1</t>
    <phoneticPr fontId="257" type="noConversion"/>
  </si>
  <si>
    <t>第一年610/月/㎡</t>
    <phoneticPr fontId="257" type="noConversion"/>
  </si>
  <si>
    <t>第一年23827元/月</t>
    <phoneticPr fontId="257" type="noConversion"/>
  </si>
  <si>
    <t>第一年11%</t>
    <phoneticPr fontId="257" type="noConversion"/>
  </si>
  <si>
    <t>第二640/月/㎡</t>
    <phoneticPr fontId="257" type="noConversion"/>
  </si>
  <si>
    <t xml:space="preserve">第二年24998元/月 </t>
    <phoneticPr fontId="257" type="noConversion"/>
  </si>
  <si>
    <t>第三年670/月/㎡</t>
    <phoneticPr fontId="257" type="noConversion"/>
  </si>
  <si>
    <t>第三年26170元/月</t>
    <phoneticPr fontId="257" type="noConversion"/>
  </si>
  <si>
    <t>沐色美发</t>
    <phoneticPr fontId="257" type="noConversion"/>
  </si>
  <si>
    <t>北京非凡领域广告有限公司朝阳常营没法分公司</t>
    <phoneticPr fontId="257" type="noConversion"/>
  </si>
  <si>
    <t>北京非凡领域广告有限公司第二分分公司</t>
    <phoneticPr fontId="257" type="noConversion"/>
  </si>
  <si>
    <t>B1-03-1</t>
    <phoneticPr fontId="257" type="noConversion"/>
  </si>
  <si>
    <t>第一年0元</t>
    <phoneticPr fontId="257" type="noConversion"/>
  </si>
  <si>
    <t>第二年100元/月/㎡</t>
    <phoneticPr fontId="257" type="noConversion"/>
  </si>
  <si>
    <t>第二年11800元/月</t>
    <phoneticPr fontId="257" type="noConversion"/>
  </si>
  <si>
    <t>第二年11%</t>
    <phoneticPr fontId="257" type="noConversion"/>
  </si>
  <si>
    <t>第三年100元/月/㎡</t>
    <phoneticPr fontId="257" type="noConversion"/>
  </si>
  <si>
    <t>第三年11800元/月</t>
    <phoneticPr fontId="257" type="noConversion"/>
  </si>
  <si>
    <t>第三年11%</t>
    <phoneticPr fontId="257" type="noConversion"/>
  </si>
  <si>
    <t>第四年130元/月/㎡</t>
    <phoneticPr fontId="257" type="noConversion"/>
  </si>
  <si>
    <t>第四年15340元/月</t>
    <phoneticPr fontId="257" type="noConversion"/>
  </si>
  <si>
    <t>第四年12%</t>
    <phoneticPr fontId="257" type="noConversion"/>
  </si>
  <si>
    <t>第五年130元/月/㎡</t>
    <phoneticPr fontId="257" type="noConversion"/>
  </si>
  <si>
    <t>第五年15340元/月</t>
    <phoneticPr fontId="257" type="noConversion"/>
  </si>
  <si>
    <t>第五年12%</t>
    <phoneticPr fontId="257" type="noConversion"/>
  </si>
  <si>
    <t>第六年130元/月/㎡</t>
    <phoneticPr fontId="257" type="noConversion"/>
  </si>
  <si>
    <t>第六年15340元/月</t>
    <phoneticPr fontId="257" type="noConversion"/>
  </si>
  <si>
    <t>第六年12%</t>
    <phoneticPr fontId="257" type="noConversion"/>
  </si>
  <si>
    <t>泡泡糖</t>
    <phoneticPr fontId="257" type="noConversion"/>
  </si>
  <si>
    <t>刘晨</t>
    <phoneticPr fontId="257" type="noConversion"/>
  </si>
  <si>
    <t>北京泡泡遇见糖美容美甲有限公司</t>
    <phoneticPr fontId="257" type="noConversion"/>
  </si>
  <si>
    <t>√</t>
    <phoneticPr fontId="257" type="noConversion"/>
  </si>
  <si>
    <t>B1-03-1</t>
    <phoneticPr fontId="257" type="noConversion"/>
  </si>
  <si>
    <t>2019.4.16</t>
    <phoneticPr fontId="257" type="noConversion"/>
  </si>
  <si>
    <t>2019.12.1</t>
    <phoneticPr fontId="257" type="noConversion"/>
  </si>
  <si>
    <t>第一年0元</t>
    <phoneticPr fontId="257" type="noConversion"/>
  </si>
  <si>
    <t>第一年10%</t>
    <phoneticPr fontId="257" type="noConversion"/>
  </si>
  <si>
    <t>第二年80元/月/㎡</t>
    <phoneticPr fontId="257" type="noConversion"/>
  </si>
  <si>
    <t>第二年1520元/月</t>
    <phoneticPr fontId="257" type="noConversion"/>
  </si>
  <si>
    <t>第二年11%</t>
    <phoneticPr fontId="257" type="noConversion"/>
  </si>
  <si>
    <t>第三年80元/月/㎡</t>
    <phoneticPr fontId="257" type="noConversion"/>
  </si>
  <si>
    <t>第三年1520元/月</t>
    <phoneticPr fontId="257" type="noConversion"/>
  </si>
  <si>
    <t>第三年11%</t>
    <phoneticPr fontId="257" type="noConversion"/>
  </si>
  <si>
    <t>第四年1710元/月</t>
    <phoneticPr fontId="257" type="noConversion"/>
  </si>
  <si>
    <t>第五年1710元/月</t>
    <phoneticPr fontId="257" type="noConversion"/>
  </si>
  <si>
    <t>第六年1710元/月</t>
    <phoneticPr fontId="257" type="noConversion"/>
  </si>
  <si>
    <t>胡辣汤</t>
    <phoneticPr fontId="257" type="noConversion"/>
  </si>
  <si>
    <t>户政波</t>
    <phoneticPr fontId="257" type="noConversion"/>
  </si>
  <si>
    <t>北京椒图餐饮管理有限公司朝阳第一分公司</t>
    <phoneticPr fontId="257" type="noConversion"/>
  </si>
  <si>
    <t>北京椒图餐饮管理有限公司</t>
    <phoneticPr fontId="257" type="noConversion"/>
  </si>
  <si>
    <t>B1-19-2</t>
    <phoneticPr fontId="257" type="noConversion"/>
  </si>
  <si>
    <t>2019.9.19</t>
    <phoneticPr fontId="257" type="noConversion"/>
  </si>
  <si>
    <t>第一年24102元/月</t>
    <phoneticPr fontId="257" type="noConversion"/>
  </si>
  <si>
    <t>第一年13%</t>
    <phoneticPr fontId="257" type="noConversion"/>
  </si>
  <si>
    <t>第二年810元/月/㎡</t>
    <phoneticPr fontId="257" type="noConversion"/>
  </si>
  <si>
    <t>第二年25029元/月</t>
    <phoneticPr fontId="257" type="noConversion"/>
  </si>
  <si>
    <t>第二年14%</t>
    <phoneticPr fontId="257" type="noConversion"/>
  </si>
  <si>
    <t>烤冷面</t>
    <phoneticPr fontId="257" type="noConversion"/>
  </si>
  <si>
    <t>张氏福（北京）餐饮管理连锁股份有限公司</t>
    <phoneticPr fontId="257" type="noConversion"/>
  </si>
  <si>
    <t>张氏福（北京）餐饮管理连锁股份有限公司第四分公司</t>
    <phoneticPr fontId="257" type="noConversion"/>
  </si>
  <si>
    <t>刘氏福（北京）餐饮管理有限公司</t>
    <phoneticPr fontId="257" type="noConversion"/>
  </si>
  <si>
    <t>B1-21-1</t>
    <phoneticPr fontId="257" type="noConversion"/>
  </si>
  <si>
    <t>2019.4.16</t>
    <phoneticPr fontId="257" type="noConversion"/>
  </si>
  <si>
    <t>第一年912元/月/㎡</t>
    <phoneticPr fontId="257" type="noConversion"/>
  </si>
  <si>
    <t>第一年19836元/月</t>
    <phoneticPr fontId="257" type="noConversion"/>
  </si>
  <si>
    <t>第一年12%</t>
    <phoneticPr fontId="257" type="noConversion"/>
  </si>
  <si>
    <t>第二年942元/月/㎡</t>
    <phoneticPr fontId="257" type="noConversion"/>
  </si>
  <si>
    <t>第二年20488元/月</t>
    <phoneticPr fontId="257" type="noConversion"/>
  </si>
  <si>
    <t>第二年13%</t>
    <phoneticPr fontId="257" type="noConversion"/>
  </si>
  <si>
    <t>枣糕王</t>
    <phoneticPr fontId="257" type="noConversion"/>
  </si>
  <si>
    <t>北京阿甘食味鲜餐饮有限公司</t>
    <phoneticPr fontId="257" type="noConversion"/>
  </si>
  <si>
    <t>北京雪莲餐饮管理有限公司</t>
    <phoneticPr fontId="257" type="noConversion"/>
  </si>
  <si>
    <t>√</t>
    <phoneticPr fontId="257" type="noConversion"/>
  </si>
  <si>
    <t>B1-11-4</t>
    <phoneticPr fontId="257" type="noConversion"/>
  </si>
  <si>
    <t>2019.4.16</t>
    <phoneticPr fontId="257" type="noConversion"/>
  </si>
  <si>
    <t>2019.12.1</t>
    <phoneticPr fontId="257" type="noConversion"/>
  </si>
  <si>
    <t>第一年700元/月/㎡</t>
    <phoneticPr fontId="257" type="noConversion"/>
  </si>
  <si>
    <t>第一年23737元/月</t>
    <phoneticPr fontId="257" type="noConversion"/>
  </si>
  <si>
    <t>第一年14%</t>
    <phoneticPr fontId="257" type="noConversion"/>
  </si>
  <si>
    <t>第二年730元/月/㎡</t>
    <phoneticPr fontId="257" type="noConversion"/>
  </si>
  <si>
    <t>第二年24754元/月</t>
    <phoneticPr fontId="257" type="noConversion"/>
  </si>
  <si>
    <t>第二年15%</t>
    <phoneticPr fontId="257" type="noConversion"/>
  </si>
  <si>
    <t>第三年730元/月/㎡</t>
    <phoneticPr fontId="257" type="noConversion"/>
  </si>
  <si>
    <t>第三年24754元/月</t>
    <phoneticPr fontId="257" type="noConversion"/>
  </si>
  <si>
    <t>第三年15%</t>
    <phoneticPr fontId="257" type="noConversion"/>
  </si>
  <si>
    <t>玩儿串串</t>
    <phoneticPr fontId="257" type="noConversion"/>
  </si>
  <si>
    <t>王占铭</t>
    <phoneticPr fontId="257" type="noConversion"/>
  </si>
  <si>
    <t>北京恒铭慧诚餐饮管理有限公司</t>
    <phoneticPr fontId="257" type="noConversion"/>
  </si>
  <si>
    <t>B1-19-1</t>
    <phoneticPr fontId="257" type="noConversion"/>
  </si>
  <si>
    <t>第一年1000元/月/㎡</t>
    <phoneticPr fontId="257" type="noConversion"/>
  </si>
  <si>
    <t>第一年13110元/月</t>
    <phoneticPr fontId="257" type="noConversion"/>
  </si>
  <si>
    <t>第一年16%</t>
    <phoneticPr fontId="257" type="noConversion"/>
  </si>
  <si>
    <t>第二年1030元/月/㎡</t>
    <phoneticPr fontId="257" type="noConversion"/>
  </si>
  <si>
    <t>第二年13503元/月</t>
    <phoneticPr fontId="257" type="noConversion"/>
  </si>
  <si>
    <t>第二年17%</t>
    <phoneticPr fontId="257" type="noConversion"/>
  </si>
  <si>
    <t>开味花甲</t>
    <phoneticPr fontId="257" type="noConversion"/>
  </si>
  <si>
    <t>李祥新</t>
    <phoneticPr fontId="257" type="noConversion"/>
  </si>
  <si>
    <t>北京宽心园餐饮管理有限公司</t>
    <phoneticPr fontId="257" type="noConversion"/>
  </si>
  <si>
    <t>BA-21-2</t>
    <phoneticPr fontId="257" type="noConversion"/>
  </si>
  <si>
    <t>第一年860元/月/㎡</t>
    <phoneticPr fontId="257" type="noConversion"/>
  </si>
  <si>
    <t>第一年18653.4元/月</t>
    <phoneticPr fontId="257" type="noConversion"/>
  </si>
  <si>
    <t>第一年15%</t>
    <phoneticPr fontId="257" type="noConversion"/>
  </si>
  <si>
    <t>第一年860元/月/㎡</t>
    <phoneticPr fontId="257" type="noConversion"/>
  </si>
  <si>
    <t>第二年19304.1元/月</t>
    <phoneticPr fontId="257" type="noConversion"/>
  </si>
  <si>
    <t>茶太良品</t>
    <phoneticPr fontId="257" type="noConversion"/>
  </si>
  <si>
    <t>北京良辰美品餐饮管理有限公司</t>
    <phoneticPr fontId="257" type="noConversion"/>
  </si>
  <si>
    <t>B1-09-2</t>
    <phoneticPr fontId="257" type="noConversion"/>
  </si>
  <si>
    <t>第一年700元/月/㎡</t>
    <phoneticPr fontId="257" type="noConversion"/>
  </si>
  <si>
    <t>第一年14553元/月</t>
    <phoneticPr fontId="257" type="noConversion"/>
  </si>
  <si>
    <t>第二年730元/月/㎡</t>
    <phoneticPr fontId="257" type="noConversion"/>
  </si>
  <si>
    <t>第二年15176/月</t>
    <phoneticPr fontId="257" type="noConversion"/>
  </si>
  <si>
    <t>第三年760元/月/㎡</t>
    <phoneticPr fontId="257" type="noConversion"/>
  </si>
  <si>
    <t>第三年15800元/月</t>
    <phoneticPr fontId="257" type="noConversion"/>
  </si>
  <si>
    <t>一点花钿</t>
    <phoneticPr fontId="257" type="noConversion"/>
  </si>
  <si>
    <t>赵运</t>
    <phoneticPr fontId="257" type="noConversion"/>
  </si>
  <si>
    <t>北京蒲纪小坞餐饮管理有限公司</t>
    <phoneticPr fontId="257" type="noConversion"/>
  </si>
  <si>
    <t>北京仟运源餐饮管理有限公司</t>
    <phoneticPr fontId="257" type="noConversion"/>
  </si>
  <si>
    <t>B1-07-1</t>
    <phoneticPr fontId="257" type="noConversion"/>
  </si>
  <si>
    <t>第一年900元/月/㎡</t>
    <phoneticPr fontId="257" type="noConversion"/>
  </si>
  <si>
    <t>第一年12366元/月</t>
    <phoneticPr fontId="257" type="noConversion"/>
  </si>
  <si>
    <t>第二年930元/月/㎡</t>
    <phoneticPr fontId="257" type="noConversion"/>
  </si>
  <si>
    <t>第二年12778元/月</t>
    <phoneticPr fontId="257" type="noConversion"/>
  </si>
  <si>
    <t>第二年63%</t>
    <phoneticPr fontId="257" type="noConversion"/>
  </si>
  <si>
    <t>重八</t>
    <phoneticPr fontId="257" type="noConversion"/>
  </si>
  <si>
    <t>北京重八志远餐饮有限公司</t>
    <phoneticPr fontId="257" type="noConversion"/>
  </si>
  <si>
    <t>北京重八聚兴餐饮有限公司</t>
    <phoneticPr fontId="257" type="noConversion"/>
  </si>
  <si>
    <t>B1-03-3</t>
    <phoneticPr fontId="257" type="noConversion"/>
  </si>
  <si>
    <t>2019.9.24</t>
    <phoneticPr fontId="257" type="noConversion"/>
  </si>
  <si>
    <t>2020.1.1</t>
    <phoneticPr fontId="257" type="noConversion"/>
  </si>
  <si>
    <t>第1-3年 125元/月、㎡</t>
    <phoneticPr fontId="257" type="noConversion"/>
  </si>
  <si>
    <t>第1-3年 40750元/月</t>
    <phoneticPr fontId="257" type="noConversion"/>
  </si>
  <si>
    <t>营业额达120万元， 7%</t>
    <phoneticPr fontId="257" type="noConversion"/>
  </si>
  <si>
    <t>第4-6年155元/月/㎡</t>
    <phoneticPr fontId="257" type="noConversion"/>
  </si>
  <si>
    <t>第4-6年50530元/月</t>
    <phoneticPr fontId="257" type="noConversion"/>
  </si>
  <si>
    <t>营业额150万元， 6.5%</t>
    <phoneticPr fontId="257" type="noConversion"/>
  </si>
  <si>
    <t>营业额120-150万元之间， 7%</t>
    <phoneticPr fontId="257" type="noConversion"/>
  </si>
  <si>
    <t>阿芮</t>
    <phoneticPr fontId="257" type="noConversion"/>
  </si>
  <si>
    <t>周丽丽</t>
    <phoneticPr fontId="257" type="noConversion"/>
  </si>
  <si>
    <t>北京益久久餐饮管理有限公司</t>
    <phoneticPr fontId="257" type="noConversion"/>
  </si>
  <si>
    <t>BA-05-3</t>
    <phoneticPr fontId="257" type="noConversion"/>
  </si>
  <si>
    <t>第一年827元/月/㎡</t>
    <phoneticPr fontId="257" type="noConversion"/>
  </si>
  <si>
    <t>第一年： 7030元/月</t>
    <phoneticPr fontId="257" type="noConversion"/>
  </si>
  <si>
    <t>第一年： 12%</t>
    <phoneticPr fontId="257" type="noConversion"/>
  </si>
  <si>
    <t>第二年827元/月/㎡</t>
    <phoneticPr fontId="257" type="noConversion"/>
  </si>
  <si>
    <t>第二年： 7030元/月</t>
    <phoneticPr fontId="257" type="noConversion"/>
  </si>
  <si>
    <t>第二年： 12%</t>
    <phoneticPr fontId="257" type="noConversion"/>
  </si>
  <si>
    <t>奶奶的美食</t>
    <phoneticPr fontId="257" type="noConversion"/>
  </si>
  <si>
    <t>夏超</t>
    <phoneticPr fontId="257" type="noConversion"/>
  </si>
  <si>
    <t>北京臻品致善餐饮管理有限公司</t>
    <phoneticPr fontId="257" type="noConversion"/>
  </si>
  <si>
    <t>1A-05-1</t>
    <phoneticPr fontId="257" type="noConversion"/>
  </si>
  <si>
    <t>2020.1.17</t>
    <phoneticPr fontId="257" type="noConversion"/>
  </si>
  <si>
    <t>第一年503元/月/㎡</t>
    <phoneticPr fontId="257" type="noConversion"/>
  </si>
  <si>
    <t>第一年12223元/月</t>
    <phoneticPr fontId="257" type="noConversion"/>
  </si>
  <si>
    <t>第二年503元/月/㎡</t>
    <phoneticPr fontId="257" type="noConversion"/>
  </si>
  <si>
    <t>第二年12223元/月</t>
    <phoneticPr fontId="257" type="noConversion"/>
  </si>
  <si>
    <t>满寿司</t>
    <phoneticPr fontId="257" type="noConversion"/>
  </si>
  <si>
    <t>李勋</t>
    <phoneticPr fontId="257" type="noConversion"/>
  </si>
  <si>
    <t>北京丽龙奇盾商贸有限公司</t>
    <phoneticPr fontId="257" type="noConversion"/>
  </si>
  <si>
    <t>B1-06</t>
    <phoneticPr fontId="257" type="noConversion"/>
  </si>
  <si>
    <t>2019.7.18</t>
    <phoneticPr fontId="257" type="noConversion"/>
  </si>
  <si>
    <t>第一年345/月/㎡</t>
    <phoneticPr fontId="257" type="noConversion"/>
  </si>
  <si>
    <t>第一年60375元/月</t>
    <phoneticPr fontId="257" type="noConversion"/>
  </si>
  <si>
    <t>第二年345/月/㎡</t>
    <phoneticPr fontId="257" type="noConversion"/>
  </si>
  <si>
    <t>第二年60375/月</t>
    <phoneticPr fontId="257" type="noConversion"/>
  </si>
  <si>
    <t>第三年375/月/㎡</t>
    <phoneticPr fontId="257" type="noConversion"/>
  </si>
  <si>
    <t>第三年65625元/月</t>
    <phoneticPr fontId="257" type="noConversion"/>
  </si>
  <si>
    <t>第四年375/月/㎡</t>
    <phoneticPr fontId="257" type="noConversion"/>
  </si>
  <si>
    <t>第四年65625元/月</t>
    <phoneticPr fontId="257" type="noConversion"/>
  </si>
  <si>
    <t>第五年405/月/㎡</t>
    <phoneticPr fontId="257" type="noConversion"/>
  </si>
  <si>
    <t>第五年70875元/月</t>
    <phoneticPr fontId="257" type="noConversion"/>
  </si>
  <si>
    <t>地下1层第一年平均租金</t>
    <phoneticPr fontId="145" type="noConversion"/>
  </si>
  <si>
    <t>巨说还不错</t>
    <phoneticPr fontId="257" type="noConversion"/>
  </si>
  <si>
    <t>马伟</t>
    <phoneticPr fontId="257" type="noConversion"/>
  </si>
  <si>
    <t>北京音味爱餐饮管理有限公司</t>
    <phoneticPr fontId="257" type="noConversion"/>
  </si>
  <si>
    <t>B2-08-2,</t>
    <phoneticPr fontId="257" type="noConversion"/>
  </si>
  <si>
    <t>2020.6.1</t>
    <phoneticPr fontId="257" type="noConversion"/>
  </si>
  <si>
    <t>第一年335/月/㎡</t>
    <phoneticPr fontId="257" type="noConversion"/>
  </si>
  <si>
    <t>第一年33279</t>
    <phoneticPr fontId="257" type="noConversion"/>
  </si>
  <si>
    <t>B2-08-2 1-8年</t>
    <phoneticPr fontId="257" type="noConversion"/>
  </si>
  <si>
    <t>第二年335/月/㎡</t>
    <phoneticPr fontId="257" type="noConversion"/>
  </si>
  <si>
    <t xml:space="preserve">第二年33279   </t>
    <phoneticPr fontId="257" type="noConversion"/>
  </si>
  <si>
    <t>第三年365/月/㎡</t>
    <phoneticPr fontId="257" type="noConversion"/>
  </si>
  <si>
    <t>第三年36259</t>
    <phoneticPr fontId="257" type="noConversion"/>
  </si>
  <si>
    <t>第四年365/月/㎡</t>
    <phoneticPr fontId="257" type="noConversion"/>
  </si>
  <si>
    <t>第四年36259</t>
    <phoneticPr fontId="257" type="noConversion"/>
  </si>
  <si>
    <t>第五年395/月/㎡</t>
    <phoneticPr fontId="257" type="noConversion"/>
  </si>
  <si>
    <t>第五年39239</t>
    <phoneticPr fontId="257" type="noConversion"/>
  </si>
  <si>
    <t>第六年395/月㎡</t>
    <phoneticPr fontId="257" type="noConversion"/>
  </si>
  <si>
    <t>第六年39239</t>
    <phoneticPr fontId="257" type="noConversion"/>
  </si>
  <si>
    <t>第七年425/月/㎡</t>
    <phoneticPr fontId="257" type="noConversion"/>
  </si>
  <si>
    <t>第七年42219</t>
    <phoneticPr fontId="257" type="noConversion"/>
  </si>
  <si>
    <t>第八年425/月/㎡</t>
    <phoneticPr fontId="257" type="noConversion"/>
  </si>
  <si>
    <t>第八年42219</t>
    <phoneticPr fontId="257" type="noConversion"/>
  </si>
  <si>
    <t>B2-09，B2-10</t>
    <phoneticPr fontId="257" type="noConversion"/>
  </si>
  <si>
    <t>第一年120/月/㎡</t>
    <phoneticPr fontId="257" type="noConversion"/>
  </si>
  <si>
    <t>第一年42612</t>
    <phoneticPr fontId="257" type="noConversion"/>
  </si>
  <si>
    <t>第二年120/月/㎡</t>
    <phoneticPr fontId="257" type="noConversion"/>
  </si>
  <si>
    <t xml:space="preserve">第二年42612   </t>
    <phoneticPr fontId="257" type="noConversion"/>
  </si>
  <si>
    <t>第三年130/月/㎡</t>
    <phoneticPr fontId="257" type="noConversion"/>
  </si>
  <si>
    <t>第三年46163</t>
    <phoneticPr fontId="257" type="noConversion"/>
  </si>
  <si>
    <t>第四年130/月/㎡</t>
    <phoneticPr fontId="257" type="noConversion"/>
  </si>
  <si>
    <t>第四年46163</t>
    <phoneticPr fontId="257" type="noConversion"/>
  </si>
  <si>
    <t>第五年140/月/㎡</t>
    <phoneticPr fontId="257" type="noConversion"/>
  </si>
  <si>
    <t>第五年49714</t>
    <phoneticPr fontId="257" type="noConversion"/>
  </si>
  <si>
    <t>第六年140/月㎡</t>
    <phoneticPr fontId="257" type="noConversion"/>
  </si>
  <si>
    <t>第六年49714</t>
    <phoneticPr fontId="257" type="noConversion"/>
  </si>
  <si>
    <t>第七年150/月/㎡</t>
    <phoneticPr fontId="257" type="noConversion"/>
  </si>
  <si>
    <t>第七年53265</t>
    <phoneticPr fontId="257" type="noConversion"/>
  </si>
  <si>
    <t>第八年150/月/㎡</t>
    <phoneticPr fontId="257" type="noConversion"/>
  </si>
  <si>
    <t>第八年53265</t>
    <phoneticPr fontId="257" type="noConversion"/>
  </si>
  <si>
    <t>补充</t>
    <phoneticPr fontId="257" type="noConversion"/>
  </si>
  <si>
    <t>外摆</t>
    <phoneticPr fontId="257" type="noConversion"/>
  </si>
  <si>
    <t>外摆租金</t>
    <phoneticPr fontId="257" type="noConversion"/>
  </si>
  <si>
    <t>第1年0元</t>
    <phoneticPr fontId="257" type="noConversion"/>
  </si>
  <si>
    <t>第2-3年2000元/月</t>
    <phoneticPr fontId="257" type="noConversion"/>
  </si>
  <si>
    <t>第2-3年1000</t>
    <phoneticPr fontId="257" type="noConversion"/>
  </si>
  <si>
    <t>第4-8年协商</t>
    <phoneticPr fontId="257" type="noConversion"/>
  </si>
  <si>
    <t>烤鸡</t>
    <phoneticPr fontId="257" type="noConversion"/>
  </si>
  <si>
    <t>刘杰</t>
    <phoneticPr fontId="257" type="noConversion"/>
  </si>
  <si>
    <t>B1-07-2</t>
    <phoneticPr fontId="257" type="noConversion"/>
  </si>
  <si>
    <t>无</t>
    <phoneticPr fontId="257" type="noConversion"/>
  </si>
  <si>
    <t>无</t>
    <phoneticPr fontId="257" type="noConversion"/>
  </si>
  <si>
    <t>韩国买手店</t>
    <phoneticPr fontId="257" type="noConversion"/>
  </si>
  <si>
    <t>陆洋</t>
    <phoneticPr fontId="257" type="noConversion"/>
  </si>
  <si>
    <t>B2  P-08</t>
    <phoneticPr fontId="257" type="noConversion"/>
  </si>
  <si>
    <t>2019.11.15</t>
    <phoneticPr fontId="257" type="noConversion"/>
  </si>
  <si>
    <t>第一年15%</t>
    <phoneticPr fontId="257" type="noConversion"/>
  </si>
  <si>
    <t>第二年15%</t>
    <phoneticPr fontId="257" type="noConversion"/>
  </si>
  <si>
    <t>第三年15%</t>
    <phoneticPr fontId="257" type="noConversion"/>
  </si>
  <si>
    <t>佳木斯人</t>
    <phoneticPr fontId="257" type="noConversion"/>
  </si>
  <si>
    <t>崔文</t>
    <phoneticPr fontId="257" type="noConversion"/>
  </si>
  <si>
    <t>北京亿文餐饮有限公司</t>
    <phoneticPr fontId="257" type="noConversion"/>
  </si>
  <si>
    <t>B2-06</t>
    <phoneticPr fontId="257" type="noConversion"/>
  </si>
  <si>
    <t>2019.5.15</t>
    <phoneticPr fontId="257" type="noConversion"/>
  </si>
  <si>
    <t>2020.6.1</t>
    <phoneticPr fontId="257" type="noConversion"/>
  </si>
  <si>
    <t>第一年285/月/㎡</t>
    <phoneticPr fontId="257" type="noConversion"/>
  </si>
  <si>
    <t>第一年70138.5</t>
    <phoneticPr fontId="257" type="noConversion"/>
  </si>
  <si>
    <t>B2-07</t>
    <phoneticPr fontId="257" type="noConversion"/>
  </si>
  <si>
    <t>第二年285/月/㎡</t>
    <phoneticPr fontId="257" type="noConversion"/>
  </si>
  <si>
    <t xml:space="preserve">第二年70138.5  </t>
    <phoneticPr fontId="257" type="noConversion"/>
  </si>
  <si>
    <t>第三年315/月/㎡</t>
    <phoneticPr fontId="257" type="noConversion"/>
  </si>
  <si>
    <t>第三年77521.5</t>
    <phoneticPr fontId="257" type="noConversion"/>
  </si>
  <si>
    <t>第四年315/月/㎡</t>
    <phoneticPr fontId="257" type="noConversion"/>
  </si>
  <si>
    <t>第四年77521.546163</t>
    <phoneticPr fontId="257" type="noConversion"/>
  </si>
  <si>
    <t>第五年345/月/㎡</t>
    <phoneticPr fontId="257" type="noConversion"/>
  </si>
  <si>
    <t>第五年84904.5</t>
    <phoneticPr fontId="257" type="noConversion"/>
  </si>
  <si>
    <t>外摆区</t>
    <phoneticPr fontId="257" type="noConversion"/>
  </si>
  <si>
    <t>第一年 0元</t>
    <phoneticPr fontId="257" type="noConversion"/>
  </si>
  <si>
    <t>第2-5年  5000元</t>
    <phoneticPr fontId="257" type="noConversion"/>
  </si>
  <si>
    <t>威士忌</t>
    <phoneticPr fontId="257" type="noConversion"/>
  </si>
  <si>
    <t>张含龙</t>
    <phoneticPr fontId="257" type="noConversion"/>
  </si>
  <si>
    <t>2020.6.16</t>
    <phoneticPr fontId="257" type="noConversion"/>
  </si>
  <si>
    <t>第1-3年 15%</t>
    <phoneticPr fontId="257" type="noConversion"/>
  </si>
  <si>
    <t>第4-5年 16%</t>
    <phoneticPr fontId="257" type="noConversion"/>
  </si>
  <si>
    <t>懿口德</t>
    <phoneticPr fontId="257" type="noConversion"/>
  </si>
  <si>
    <t>北京红祥食品科技有限公司</t>
    <phoneticPr fontId="257" type="noConversion"/>
  </si>
  <si>
    <t>B2  L-01</t>
    <phoneticPr fontId="257" type="noConversion"/>
  </si>
  <si>
    <t>2019.10.10</t>
    <phoneticPr fontId="257" type="noConversion"/>
  </si>
  <si>
    <t>第一年250元/月/㎡</t>
    <phoneticPr fontId="257" type="noConversion"/>
  </si>
  <si>
    <t>第一年6250元/月</t>
    <phoneticPr fontId="257" type="noConversion"/>
  </si>
  <si>
    <t>第二年340元/月/㎡</t>
    <phoneticPr fontId="257" type="noConversion"/>
  </si>
  <si>
    <t>第二年8500元/月</t>
    <phoneticPr fontId="257" type="noConversion"/>
  </si>
  <si>
    <t>布瑞琳</t>
    <phoneticPr fontId="257" type="noConversion"/>
  </si>
  <si>
    <t>布瑞琳科技（北京）有限公司</t>
    <phoneticPr fontId="257" type="noConversion"/>
  </si>
  <si>
    <t>B2 P-06</t>
    <phoneticPr fontId="257" type="noConversion"/>
  </si>
  <si>
    <t>第一年11190元/月</t>
    <phoneticPr fontId="257" type="noConversion"/>
  </si>
  <si>
    <t>第二年530元/月/㎡</t>
    <phoneticPr fontId="257" type="noConversion"/>
  </si>
  <si>
    <t>第二年11861.4元/月</t>
    <phoneticPr fontId="257" type="noConversion"/>
  </si>
  <si>
    <t>美妆美甲</t>
    <phoneticPr fontId="257" type="noConversion"/>
  </si>
  <si>
    <t>杨曼莉</t>
    <phoneticPr fontId="257" type="noConversion"/>
  </si>
  <si>
    <t>B2  L-54</t>
    <phoneticPr fontId="257" type="noConversion"/>
  </si>
  <si>
    <t>第一年0元/月</t>
    <phoneticPr fontId="257" type="noConversion"/>
  </si>
  <si>
    <t>第二年190元/月/㎡</t>
    <phoneticPr fontId="257" type="noConversion"/>
  </si>
  <si>
    <t>第二年5700元</t>
    <phoneticPr fontId="257" type="noConversion"/>
  </si>
  <si>
    <t>第三年5700元</t>
    <phoneticPr fontId="257" type="noConversion"/>
  </si>
  <si>
    <t>第四年200/月/㎡</t>
    <phoneticPr fontId="257" type="noConversion"/>
  </si>
  <si>
    <t>第四年6000元</t>
    <phoneticPr fontId="257" type="noConversion"/>
  </si>
  <si>
    <t>第五年6000元</t>
    <phoneticPr fontId="257" type="noConversion"/>
  </si>
  <si>
    <t>第六年210/月/㎡</t>
    <phoneticPr fontId="257" type="noConversion"/>
  </si>
  <si>
    <t>第六年6300元</t>
    <phoneticPr fontId="257" type="noConversion"/>
  </si>
  <si>
    <t>樊文花</t>
    <phoneticPr fontId="257" type="noConversion"/>
  </si>
  <si>
    <t>北京奥花企业管理有限公司</t>
    <phoneticPr fontId="257" type="noConversion"/>
  </si>
  <si>
    <t>B2   L-18</t>
    <phoneticPr fontId="257" type="noConversion"/>
  </si>
  <si>
    <t>第一年285元/月/㎡</t>
    <phoneticPr fontId="257" type="noConversion"/>
  </si>
  <si>
    <t>第一年7866元</t>
    <phoneticPr fontId="257" type="noConversion"/>
  </si>
  <si>
    <t>第二年320元/月/㎡</t>
    <phoneticPr fontId="257" type="noConversion"/>
  </si>
  <si>
    <t>第二年8832元</t>
    <phoneticPr fontId="257" type="noConversion"/>
  </si>
  <si>
    <t>西装订制</t>
    <phoneticPr fontId="257" type="noConversion"/>
  </si>
  <si>
    <t>安娜</t>
    <phoneticPr fontId="257" type="noConversion"/>
  </si>
  <si>
    <t>B2   L-17</t>
    <phoneticPr fontId="257" type="noConversion"/>
  </si>
  <si>
    <t>第一年175元/月/㎡</t>
    <phoneticPr fontId="257" type="noConversion"/>
  </si>
  <si>
    <t>第一年5495元</t>
    <phoneticPr fontId="257" type="noConversion"/>
  </si>
  <si>
    <t>第二年205元/月/㎡</t>
    <phoneticPr fontId="257" type="noConversion"/>
  </si>
  <si>
    <t>第二年6437元</t>
    <phoneticPr fontId="257" type="noConversion"/>
  </si>
  <si>
    <t>宠物生活馆</t>
    <phoneticPr fontId="257" type="noConversion"/>
  </si>
  <si>
    <t>北京睿诚欣荣科技有限公司</t>
    <phoneticPr fontId="257" type="noConversion"/>
  </si>
  <si>
    <t>B2 L07-13</t>
    <phoneticPr fontId="257" type="noConversion"/>
  </si>
  <si>
    <t>2019.12.10</t>
    <phoneticPr fontId="257" type="noConversion"/>
  </si>
  <si>
    <t>第一年1-6月年保底流水5万元</t>
    <phoneticPr fontId="257" type="noConversion"/>
  </si>
  <si>
    <t>第1-6月 6500/月</t>
    <phoneticPr fontId="257" type="noConversion"/>
  </si>
  <si>
    <t>2020.5.7 交场</t>
    <phoneticPr fontId="257" type="noConversion"/>
  </si>
  <si>
    <t>第7-12月保底流水8万元</t>
    <phoneticPr fontId="257" type="noConversion"/>
  </si>
  <si>
    <t>第7-12月10400元/月</t>
    <phoneticPr fontId="257" type="noConversion"/>
  </si>
  <si>
    <t>第二年流水12万元</t>
    <phoneticPr fontId="257" type="noConversion"/>
  </si>
  <si>
    <t>第二年16800元/月</t>
    <phoneticPr fontId="257" type="noConversion"/>
  </si>
  <si>
    <t>第三年流水16万元</t>
    <phoneticPr fontId="257" type="noConversion"/>
  </si>
  <si>
    <t>第三年24000元/月</t>
    <phoneticPr fontId="257" type="noConversion"/>
  </si>
  <si>
    <t>第四年流水20万元</t>
    <phoneticPr fontId="257" type="noConversion"/>
  </si>
  <si>
    <t>第四年32000元/月</t>
    <phoneticPr fontId="257" type="noConversion"/>
  </si>
  <si>
    <t>第五年流水25万元</t>
    <phoneticPr fontId="257" type="noConversion"/>
  </si>
  <si>
    <t>第五年45000元/月</t>
    <phoneticPr fontId="257" type="noConversion"/>
  </si>
  <si>
    <t>第六年流水25万元</t>
    <phoneticPr fontId="257" type="noConversion"/>
  </si>
  <si>
    <t>第六年50000元/月</t>
    <phoneticPr fontId="257" type="noConversion"/>
  </si>
  <si>
    <t>清筑自然</t>
    <phoneticPr fontId="257" type="noConversion"/>
  </si>
  <si>
    <t>北京清筑自然科技有限公司</t>
    <phoneticPr fontId="257" type="noConversion"/>
  </si>
  <si>
    <t>B2 P-05</t>
    <phoneticPr fontId="257" type="noConversion"/>
  </si>
  <si>
    <t>2020.4.1开始， 4500元展示费</t>
    <phoneticPr fontId="257" type="noConversion"/>
  </si>
  <si>
    <t>超市</t>
    <phoneticPr fontId="257" type="noConversion"/>
  </si>
  <si>
    <t>北京尧地农业科技发展有限公司</t>
    <phoneticPr fontId="257" type="noConversion"/>
  </si>
  <si>
    <t>B2 p01, P02, b2-04</t>
    <phoneticPr fontId="257" type="noConversion"/>
  </si>
  <si>
    <t>2019.10.15</t>
    <phoneticPr fontId="257" type="noConversion"/>
  </si>
  <si>
    <t>第一年40元/月/㎡</t>
    <phoneticPr fontId="257" type="noConversion"/>
  </si>
  <si>
    <t>年销售额3000万，2%</t>
    <phoneticPr fontId="257" type="noConversion"/>
  </si>
  <si>
    <t>第二年70元/月/㎡</t>
    <phoneticPr fontId="257" type="noConversion"/>
  </si>
  <si>
    <t>第3-4年90元/月/㎡</t>
    <phoneticPr fontId="257" type="noConversion"/>
  </si>
  <si>
    <t>年销售额3500万，2%</t>
    <phoneticPr fontId="257" type="noConversion"/>
  </si>
  <si>
    <t>第5-6年110元/月/㎡</t>
    <phoneticPr fontId="257" type="noConversion"/>
  </si>
  <si>
    <t>年销售额4000万，3%</t>
    <phoneticPr fontId="257" type="noConversion"/>
  </si>
  <si>
    <t>本宫的茶</t>
    <phoneticPr fontId="257" type="noConversion"/>
  </si>
  <si>
    <t>王艳开</t>
    <phoneticPr fontId="257" type="noConversion"/>
  </si>
  <si>
    <t>B2-L-53</t>
    <phoneticPr fontId="257" type="noConversion"/>
  </si>
  <si>
    <t>2019.12.31</t>
    <phoneticPr fontId="257" type="noConversion"/>
  </si>
  <si>
    <t>第一年11400</t>
    <phoneticPr fontId="257" type="noConversion"/>
  </si>
  <si>
    <t>第二年12400</t>
    <phoneticPr fontId="257" type="noConversion"/>
  </si>
  <si>
    <t>第三年13400</t>
    <phoneticPr fontId="257" type="noConversion"/>
  </si>
  <si>
    <t>电子烟</t>
    <phoneticPr fontId="257" type="noConversion"/>
  </si>
  <si>
    <t>李勇健</t>
    <phoneticPr fontId="257" type="noConversion"/>
  </si>
  <si>
    <t>安东信市集</t>
    <phoneticPr fontId="257" type="noConversion"/>
  </si>
  <si>
    <t>B2  L-52</t>
    <phoneticPr fontId="257" type="noConversion"/>
  </si>
  <si>
    <t>2019.12.1-2020.11.30</t>
    <phoneticPr fontId="257" type="noConversion"/>
  </si>
  <si>
    <t>草莓蛋糕</t>
    <phoneticPr fontId="257" type="noConversion"/>
  </si>
  <si>
    <t>余岱霖</t>
    <phoneticPr fontId="257" type="noConversion"/>
  </si>
  <si>
    <t>B2  L-29</t>
    <phoneticPr fontId="257" type="noConversion"/>
  </si>
  <si>
    <t>钟表维修</t>
    <phoneticPr fontId="257" type="noConversion"/>
  </si>
  <si>
    <t>王雨</t>
    <phoneticPr fontId="257" type="noConversion"/>
  </si>
  <si>
    <t>B2  L-26</t>
    <phoneticPr fontId="257" type="noConversion"/>
  </si>
  <si>
    <t>手工木抢玩具</t>
    <phoneticPr fontId="257" type="noConversion"/>
  </si>
  <si>
    <t>李洪涛</t>
    <phoneticPr fontId="257" type="noConversion"/>
  </si>
  <si>
    <t>B2  L-23</t>
    <phoneticPr fontId="257" type="noConversion"/>
  </si>
  <si>
    <t>2019.12.1-2020.5.31</t>
    <phoneticPr fontId="257" type="noConversion"/>
  </si>
  <si>
    <t>退租</t>
    <phoneticPr fontId="257" type="noConversion"/>
  </si>
  <si>
    <t>思雅艺术</t>
    <phoneticPr fontId="257" type="noConversion"/>
  </si>
  <si>
    <t>思雅艺术文化有限公司</t>
    <phoneticPr fontId="257" type="noConversion"/>
  </si>
  <si>
    <t>B2 L-24</t>
    <phoneticPr fontId="257" type="noConversion"/>
  </si>
  <si>
    <t>徽章俱乐部</t>
    <phoneticPr fontId="257" type="noConversion"/>
  </si>
  <si>
    <t>杨旭</t>
    <phoneticPr fontId="257" type="noConversion"/>
  </si>
  <si>
    <t>B2  L-14</t>
    <phoneticPr fontId="257" type="noConversion"/>
  </si>
  <si>
    <t>2020.3.1-2023.2.28</t>
    <phoneticPr fontId="257" type="noConversion"/>
  </si>
  <si>
    <t>第一年前个月 10%</t>
    <phoneticPr fontId="257" type="noConversion"/>
  </si>
  <si>
    <t>第一年后6个月10000元/月</t>
    <phoneticPr fontId="257" type="noConversion"/>
  </si>
  <si>
    <t>第二年11000/月</t>
    <phoneticPr fontId="257" type="noConversion"/>
  </si>
  <si>
    <t>第三年12000元/月</t>
    <phoneticPr fontId="257" type="noConversion"/>
  </si>
  <si>
    <t>小山一花</t>
    <phoneticPr fontId="257" type="noConversion"/>
  </si>
  <si>
    <t>谢峥</t>
    <phoneticPr fontId="257" type="noConversion"/>
  </si>
  <si>
    <t>B2  L-19</t>
    <phoneticPr fontId="257" type="noConversion"/>
  </si>
  <si>
    <t>2020.5.26 一个月展示1000元</t>
    <phoneticPr fontId="257" type="noConversion"/>
  </si>
  <si>
    <t>第一年后6个月9000元/月</t>
    <phoneticPr fontId="257" type="noConversion"/>
  </si>
  <si>
    <t>第二年10000/月</t>
    <phoneticPr fontId="257" type="noConversion"/>
  </si>
  <si>
    <t>第三年11000元/月</t>
    <phoneticPr fontId="257" type="noConversion"/>
  </si>
  <si>
    <t>红斗茄</t>
    <phoneticPr fontId="257" type="noConversion"/>
  </si>
  <si>
    <t>李彩芳</t>
    <phoneticPr fontId="257" type="noConversion"/>
  </si>
  <si>
    <t>B2 L-25</t>
    <phoneticPr fontId="257" type="noConversion"/>
  </si>
  <si>
    <t>第一年4500元/月</t>
    <phoneticPr fontId="257" type="noConversion"/>
  </si>
  <si>
    <t>第二年4500元/月</t>
    <phoneticPr fontId="257" type="noConversion"/>
  </si>
  <si>
    <t>第三年5000元/月</t>
    <phoneticPr fontId="257" type="noConversion"/>
  </si>
  <si>
    <t>台湾市集</t>
    <phoneticPr fontId="257" type="noConversion"/>
  </si>
  <si>
    <t>上海掬瑄贸易有限公司</t>
    <phoneticPr fontId="257" type="noConversion"/>
  </si>
  <si>
    <t>百润市集</t>
    <phoneticPr fontId="257" type="noConversion"/>
  </si>
  <si>
    <t>1层</t>
    <phoneticPr fontId="257" type="noConversion"/>
  </si>
  <si>
    <t>2019.12.19-2020.1.20</t>
    <phoneticPr fontId="257" type="noConversion"/>
  </si>
  <si>
    <t>营业额10%</t>
    <phoneticPr fontId="257" type="noConversion"/>
  </si>
  <si>
    <t>居酒屋</t>
    <phoneticPr fontId="257" type="noConversion"/>
  </si>
  <si>
    <t>石佳</t>
    <phoneticPr fontId="257" type="noConversion"/>
  </si>
  <si>
    <t>B2 08-1</t>
    <phoneticPr fontId="257" type="noConversion"/>
  </si>
  <si>
    <t>第一年310元/月/㎡</t>
    <phoneticPr fontId="257" type="noConversion"/>
  </si>
  <si>
    <t>第3-4年370元/月/㎡</t>
    <phoneticPr fontId="257" type="noConversion"/>
  </si>
  <si>
    <t>第5年400元/月/㎡</t>
    <phoneticPr fontId="257" type="noConversion"/>
  </si>
  <si>
    <t>凯撒旅游</t>
    <phoneticPr fontId="257" type="noConversion"/>
  </si>
  <si>
    <t>北京凯撒国际旅行社有限责任公司</t>
    <phoneticPr fontId="257" type="noConversion"/>
  </si>
  <si>
    <t>B2 L-02</t>
    <phoneticPr fontId="257" type="noConversion"/>
  </si>
  <si>
    <t>第二年305/月/㎡</t>
    <phoneticPr fontId="257" type="noConversion"/>
  </si>
  <si>
    <t>美式复古市集</t>
    <phoneticPr fontId="257" type="noConversion"/>
  </si>
  <si>
    <t>彩集（北京）科技文化传播有限公司</t>
    <phoneticPr fontId="257" type="noConversion"/>
  </si>
  <si>
    <t>B2-L-04-06、L-35-51</t>
    <phoneticPr fontId="257" type="noConversion"/>
  </si>
  <si>
    <t>2020.7.1</t>
    <phoneticPr fontId="257" type="noConversion"/>
  </si>
  <si>
    <t>2020.7.1-2023.6.30</t>
    <phoneticPr fontId="257" type="noConversion"/>
  </si>
  <si>
    <t>上半年7&amp;扣点</t>
    <phoneticPr fontId="257" type="noConversion"/>
  </si>
  <si>
    <t>下半年2.1万元/月</t>
    <phoneticPr fontId="257" type="noConversion"/>
  </si>
  <si>
    <t>20000保证金</t>
    <phoneticPr fontId="257" type="noConversion"/>
  </si>
  <si>
    <t>第二年10%扣点</t>
    <phoneticPr fontId="257" type="noConversion"/>
  </si>
  <si>
    <t>上半年3万元/月</t>
    <phoneticPr fontId="257" type="noConversion"/>
  </si>
  <si>
    <t>下半年3.5万元/月</t>
    <phoneticPr fontId="257" type="noConversion"/>
  </si>
  <si>
    <t>第三年16000/月</t>
    <phoneticPr fontId="257" type="noConversion"/>
  </si>
  <si>
    <t>欧式灯具</t>
    <phoneticPr fontId="257" type="noConversion"/>
  </si>
  <si>
    <t>张福民</t>
    <phoneticPr fontId="257" type="noConversion"/>
  </si>
  <si>
    <t>百润市集</t>
    <phoneticPr fontId="257" type="noConversion"/>
  </si>
  <si>
    <t>2020.6.15-2020.7.14</t>
    <phoneticPr fontId="257" type="noConversion"/>
  </si>
  <si>
    <t>50000保证金</t>
    <phoneticPr fontId="257" type="noConversion"/>
  </si>
  <si>
    <t>地上1层</t>
    <phoneticPr fontId="18" type="noConversion"/>
  </si>
  <si>
    <t>地下1层</t>
    <phoneticPr fontId="18" type="noConversion"/>
  </si>
  <si>
    <t>地下2层</t>
    <phoneticPr fontId="18" type="noConversion"/>
  </si>
  <si>
    <t>地下3层</t>
    <phoneticPr fontId="18" type="noConversion"/>
  </si>
  <si>
    <t>钢混</t>
  </si>
  <si>
    <t>非生产用房</t>
  </si>
  <si>
    <t>成本法</t>
  </si>
  <si>
    <t>现房</t>
  </si>
  <si>
    <t>项目全部</t>
  </si>
  <si>
    <t>收益法（汇总）</t>
  </si>
  <si>
    <t>Ⅴ-01</t>
  </si>
  <si>
    <t>车库—商业</t>
  </si>
  <si>
    <t>总价</t>
    <phoneticPr fontId="145" type="noConversion"/>
  </si>
  <si>
    <t>单价</t>
    <phoneticPr fontId="145" type="noConversion"/>
  </si>
  <si>
    <r>
      <rPr>
        <sz val="11"/>
        <color theme="1"/>
        <rFont val="宋体"/>
        <family val="3"/>
        <charset val="134"/>
      </rPr>
      <t>车库为地价</t>
    </r>
    <r>
      <rPr>
        <sz val="11"/>
        <color theme="1"/>
        <rFont val="Arial"/>
        <family val="2"/>
      </rPr>
      <t>+</t>
    </r>
    <r>
      <rPr>
        <sz val="11"/>
        <color theme="1"/>
        <rFont val="宋体"/>
        <family val="3"/>
        <charset val="134"/>
      </rPr>
      <t>建安</t>
    </r>
    <phoneticPr fontId="145" type="noConversion"/>
  </si>
  <si>
    <t>自定义</t>
  </si>
  <si>
    <t>批发零售用地</t>
  </si>
  <si>
    <t>不临58条商业街</t>
  </si>
  <si>
    <t>按公示增长率计算</t>
  </si>
  <si>
    <t>较差</t>
  </si>
  <si>
    <t>一般</t>
  </si>
  <si>
    <t>与级别开发程度不一致</t>
  </si>
  <si>
    <t>通路</t>
  </si>
  <si>
    <t>通电</t>
  </si>
  <si>
    <t>通讯</t>
  </si>
  <si>
    <t>通上水</t>
  </si>
  <si>
    <t>通下水</t>
  </si>
  <si>
    <t>通热</t>
  </si>
  <si>
    <t>平整</t>
  </si>
  <si>
    <t>毛坯</t>
    <phoneticPr fontId="5" type="noConversion"/>
  </si>
  <si>
    <t>平均建安</t>
    <phoneticPr fontId="5" type="noConversion"/>
  </si>
  <si>
    <t>公共部分装修</t>
    <phoneticPr fontId="5" type="noConversion"/>
  </si>
  <si>
    <t>地下车库装修</t>
    <phoneticPr fontId="5" type="noConversion"/>
  </si>
  <si>
    <t>地下车库夹层</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</si>
</sst>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
      <sz val="10"/>
      <color rgb="FFFF0000"/>
      <name val="宋体"/>
      <family val="3"/>
      <charset val="134"/>
      <scheme val="minor"/>
    </font>
    <font>
      <sz val="10"/>
      <color theme="3" tint="0.59999389629810485"/>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3" fillId="0" borderId="0">
      <alignment vertical="center"/>
    </xf>
    <xf numFmtId="9" fontId="39" fillId="0" borderId="0" applyFont="0" applyFill="0" applyBorder="0" applyAlignment="0" applyProtection="0">
      <alignment vertical="center"/>
    </xf>
    <xf numFmtId="0" fontId="101" fillId="0" borderId="0">
      <alignment vertical="center"/>
    </xf>
    <xf numFmtId="0" fontId="3" fillId="0" borderId="0">
      <alignment vertical="center"/>
    </xf>
    <xf numFmtId="0" fontId="2" fillId="0" borderId="0">
      <alignment vertical="center"/>
    </xf>
    <xf numFmtId="0" fontId="58" fillId="0" borderId="0"/>
    <xf numFmtId="194" fontId="1" fillId="0" borderId="0">
      <alignment vertical="center"/>
    </xf>
  </cellStyleXfs>
  <cellXfs count="341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81"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192" fontId="128" fillId="0" borderId="1" xfId="5" applyNumberFormat="1" applyFont="1" applyFill="1" applyBorder="1" applyAlignment="1">
      <alignment horizontal="right" vertical="center"/>
    </xf>
    <xf numFmtId="181" fontId="107"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4"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186" fontId="110" fillId="12" borderId="124" xfId="9" applyNumberFormat="1" applyFont="1" applyFill="1" applyBorder="1" applyAlignment="1" applyProtection="1">
      <alignment horizontal="center" vertical="center" wrapText="1"/>
    </xf>
    <xf numFmtId="186" fontId="110"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3" borderId="127" xfId="16" applyFont="1" applyFill="1" applyBorder="1" applyAlignment="1" applyProtection="1">
      <alignment horizontal="center" vertical="center" wrapText="1"/>
    </xf>
    <xf numFmtId="0" fontId="154" fillId="13" borderId="131" xfId="16" applyFont="1" applyFill="1" applyBorder="1" applyAlignment="1" applyProtection="1">
      <alignment horizontal="center" vertical="center" wrapText="1"/>
    </xf>
    <xf numFmtId="0" fontId="173" fillId="0" borderId="0" xfId="12" applyFont="1" applyBorder="1" applyAlignment="1" applyProtection="1">
      <alignment horizontal="left" vertical="center" wrapText="1"/>
      <protection locked="0"/>
    </xf>
    <xf numFmtId="0" fontId="172" fillId="0" borderId="0" xfId="12" applyBorder="1" applyProtection="1">
      <protection locked="0"/>
    </xf>
    <xf numFmtId="0" fontId="172" fillId="0" borderId="0" xfId="12" applyProtection="1">
      <protection locked="0"/>
    </xf>
    <xf numFmtId="0" fontId="173" fillId="6" borderId="1" xfId="12" applyFont="1" applyFill="1" applyBorder="1" applyAlignment="1" applyProtection="1">
      <alignment horizontal="center" vertical="center" wrapText="1"/>
    </xf>
    <xf numFmtId="14" fontId="173" fillId="6" borderId="1" xfId="12" applyNumberFormat="1" applyFont="1" applyFill="1" applyBorder="1" applyAlignment="1" applyProtection="1">
      <alignment horizontal="center" vertical="center" wrapText="1"/>
    </xf>
    <xf numFmtId="0" fontId="172" fillId="6" borderId="1" xfId="12" applyFill="1" applyBorder="1" applyAlignment="1" applyProtection="1">
      <alignment vertical="center"/>
    </xf>
    <xf numFmtId="0" fontId="173" fillId="6" borderId="13" xfId="12" applyFont="1" applyFill="1" applyBorder="1" applyAlignment="1" applyProtection="1">
      <alignment horizontal="center" vertical="center" wrapText="1"/>
    </xf>
    <xf numFmtId="0" fontId="101" fillId="0" borderId="1" xfId="12" applyFont="1" applyFill="1" applyBorder="1" applyProtection="1">
      <protection locked="0"/>
    </xf>
    <xf numFmtId="0" fontId="173" fillId="0" borderId="13" xfId="12" applyFont="1" applyFill="1" applyBorder="1" applyAlignment="1" applyProtection="1">
      <alignment horizontal="center" vertical="center" wrapText="1"/>
      <protection locked="0"/>
    </xf>
    <xf numFmtId="0" fontId="124" fillId="7"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82" fillId="0" borderId="1" xfId="0" applyFont="1" applyBorder="1" applyAlignment="1" applyProtection="1">
      <alignment vertical="center" wrapText="1"/>
      <protection locked="0"/>
    </xf>
    <xf numFmtId="0" fontId="58" fillId="0" borderId="0" xfId="18" applyAlignment="1">
      <alignment horizontal="left" vertical="center" wrapText="1"/>
    </xf>
    <xf numFmtId="0" fontId="122" fillId="0" borderId="0" xfId="18" applyFont="1" applyAlignment="1">
      <alignment horizontal="left" vertical="center" wrapText="1"/>
    </xf>
    <xf numFmtId="0" fontId="100" fillId="0" borderId="9"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139" fillId="0" borderId="41" xfId="0" applyNumberFormat="1" applyFont="1" applyFill="1" applyBorder="1" applyAlignment="1" applyProtection="1">
      <alignment horizontal="center" vertical="center" wrapText="1"/>
      <protection locked="0"/>
    </xf>
    <xf numFmtId="49" fontId="139" fillId="0" borderId="41" xfId="0" applyNumberFormat="1" applyFont="1" applyFill="1" applyBorder="1" applyAlignment="1" applyProtection="1">
      <alignment horizontal="center" vertical="center" wrapText="1"/>
      <protection locked="0"/>
    </xf>
    <xf numFmtId="49" fontId="139" fillId="0" borderId="7" xfId="0" applyNumberFormat="1" applyFont="1" applyFill="1" applyBorder="1" applyAlignment="1" applyProtection="1">
      <alignment horizontal="center" vertical="center" wrapText="1"/>
      <protection locked="0"/>
    </xf>
    <xf numFmtId="0" fontId="49" fillId="6" borderId="30" xfId="0" applyNumberFormat="1" applyFont="1" applyFill="1" applyBorder="1" applyAlignment="1" applyProtection="1">
      <alignment horizontal="center" vertical="center" wrapText="1"/>
      <protection locked="0"/>
    </xf>
    <xf numFmtId="17" fontId="49" fillId="6" borderId="30" xfId="0" applyNumberFormat="1" applyFont="1" applyFill="1" applyBorder="1" applyAlignment="1" applyProtection="1">
      <alignment horizontal="center" vertical="center" wrapText="1"/>
      <protection locked="0"/>
    </xf>
    <xf numFmtId="0" fontId="49" fillId="18" borderId="23" xfId="0" applyFont="1" applyFill="1" applyBorder="1" applyAlignment="1" applyProtection="1">
      <alignment vertical="center"/>
      <protection locked="0"/>
    </xf>
    <xf numFmtId="0" fontId="52" fillId="18" borderId="23" xfId="0" applyFont="1" applyFill="1" applyBorder="1" applyAlignment="1" applyProtection="1">
      <alignment vertical="center"/>
      <protection locked="0"/>
    </xf>
    <xf numFmtId="179" fontId="58" fillId="18" borderId="1" xfId="1" applyNumberFormat="1" applyFont="1" applyFill="1" applyBorder="1" applyAlignment="1" applyProtection="1">
      <alignment horizontal="center"/>
      <protection locked="0"/>
    </xf>
    <xf numFmtId="0" fontId="52" fillId="18" borderId="5" xfId="0" applyFont="1" applyFill="1" applyBorder="1" applyAlignment="1" applyProtection="1">
      <alignment horizontal="left" vertical="center"/>
      <protection locked="0"/>
    </xf>
    <xf numFmtId="177" fontId="58" fillId="18" borderId="1" xfId="1" applyNumberFormat="1" applyFont="1" applyFill="1" applyBorder="1" applyAlignment="1" applyProtection="1">
      <alignment horizontal="center"/>
      <protection locked="0"/>
    </xf>
    <xf numFmtId="177" fontId="52" fillId="18" borderId="1" xfId="1"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177" fontId="106" fillId="0" borderId="0" xfId="0" applyNumberFormat="1" applyFont="1" applyProtection="1">
      <alignment vertical="center"/>
      <protection locked="0"/>
    </xf>
    <xf numFmtId="0" fontId="124" fillId="0" borderId="0" xfId="0" applyFont="1" applyProtection="1">
      <alignment vertical="center"/>
      <protection locked="0"/>
    </xf>
    <xf numFmtId="10" fontId="49" fillId="18" borderId="1" xfId="0" applyNumberFormat="1" applyFont="1" applyFill="1" applyBorder="1" applyAlignment="1" applyProtection="1">
      <alignment horizontal="center" vertical="center"/>
      <protection locked="0"/>
    </xf>
    <xf numFmtId="0" fontId="49" fillId="18" borderId="23" xfId="0" applyNumberFormat="1" applyFont="1" applyFill="1" applyBorder="1" applyAlignment="1" applyProtection="1">
      <alignment horizontal="center" vertical="center" wrapText="1"/>
      <protection locked="0"/>
    </xf>
    <xf numFmtId="0" fontId="56" fillId="18" borderId="1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10" fontId="82" fillId="6" borderId="1" xfId="0" applyNumberFormat="1"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15" fillId="0" borderId="0" xfId="19" applyNumberFormat="1" applyFont="1" applyAlignment="1">
      <alignment horizontal="left" vertical="center" wrapText="1"/>
    </xf>
    <xf numFmtId="0" fontId="121" fillId="0" borderId="1" xfId="19" applyNumberFormat="1" applyFont="1" applyBorder="1" applyAlignment="1">
      <alignment horizontal="left" vertical="center" wrapText="1"/>
    </xf>
    <xf numFmtId="0" fontId="121" fillId="0" borderId="3" xfId="19" applyNumberFormat="1" applyFont="1" applyBorder="1" applyAlignment="1">
      <alignment horizontal="left" vertical="center" wrapText="1"/>
    </xf>
    <xf numFmtId="0" fontId="121" fillId="0" borderId="15" xfId="19" applyNumberFormat="1" applyFont="1" applyFill="1" applyBorder="1" applyAlignment="1">
      <alignment horizontal="left" vertical="center" wrapText="1"/>
    </xf>
    <xf numFmtId="0" fontId="115" fillId="9" borderId="13" xfId="19" applyNumberFormat="1" applyFont="1" applyFill="1" applyBorder="1" applyAlignment="1">
      <alignment horizontal="left" vertical="center" wrapText="1"/>
    </xf>
    <xf numFmtId="0" fontId="258" fillId="9" borderId="13" xfId="19" applyNumberFormat="1" applyFont="1" applyFill="1" applyBorder="1" applyAlignment="1">
      <alignment horizontal="left" vertical="center" wrapText="1"/>
    </xf>
    <xf numFmtId="0" fontId="132" fillId="9" borderId="13" xfId="19" applyNumberFormat="1" applyFont="1" applyFill="1" applyBorder="1" applyAlignment="1">
      <alignment horizontal="left" vertical="center" wrapText="1"/>
    </xf>
    <xf numFmtId="0" fontId="115" fillId="9" borderId="1" xfId="19" applyNumberFormat="1" applyFont="1" applyFill="1" applyBorder="1" applyAlignment="1">
      <alignment horizontal="left" vertical="center" wrapText="1"/>
    </xf>
    <xf numFmtId="0" fontId="115" fillId="9" borderId="15" xfId="19" applyNumberFormat="1" applyFont="1" applyFill="1" applyBorder="1" applyAlignment="1">
      <alignment horizontal="left" vertical="center" wrapText="1"/>
    </xf>
    <xf numFmtId="0" fontId="115" fillId="9" borderId="0" xfId="19" applyNumberFormat="1" applyFont="1" applyFill="1" applyAlignment="1">
      <alignment horizontal="left" vertical="center" wrapText="1"/>
    </xf>
    <xf numFmtId="0" fontId="115" fillId="9" borderId="2" xfId="19" applyNumberFormat="1" applyFont="1" applyFill="1" applyBorder="1" applyAlignment="1">
      <alignment horizontal="left" vertical="center" wrapText="1"/>
    </xf>
    <xf numFmtId="0" fontId="115" fillId="9" borderId="46" xfId="19" applyNumberFormat="1" applyFont="1" applyFill="1" applyBorder="1" applyAlignment="1">
      <alignment horizontal="left" vertical="center" wrapText="1"/>
    </xf>
    <xf numFmtId="0" fontId="115" fillId="9" borderId="3" xfId="19" applyNumberFormat="1" applyFont="1" applyFill="1" applyBorder="1" applyAlignment="1">
      <alignment horizontal="left" vertical="center" wrapText="1"/>
    </xf>
    <xf numFmtId="0" fontId="115" fillId="9" borderId="58" xfId="19" applyNumberFormat="1" applyFont="1" applyFill="1" applyBorder="1" applyAlignment="1">
      <alignment horizontal="left" vertical="center" wrapText="1"/>
    </xf>
    <xf numFmtId="0" fontId="115" fillId="9" borderId="4" xfId="19" applyNumberFormat="1" applyFont="1" applyFill="1" applyBorder="1" applyAlignment="1">
      <alignment horizontal="left" vertical="center" wrapText="1"/>
    </xf>
    <xf numFmtId="0" fontId="115" fillId="9" borderId="22" xfId="19" applyNumberFormat="1" applyFont="1" applyFill="1" applyBorder="1" applyAlignment="1">
      <alignment horizontal="left" vertical="center" wrapText="1"/>
    </xf>
    <xf numFmtId="0" fontId="115" fillId="9" borderId="35" xfId="19" applyNumberFormat="1" applyFont="1" applyFill="1" applyBorder="1" applyAlignment="1">
      <alignment horizontal="left" vertical="center" wrapText="1"/>
    </xf>
    <xf numFmtId="0" fontId="115" fillId="9" borderId="7" xfId="19" applyNumberFormat="1" applyFont="1" applyFill="1" applyBorder="1" applyAlignment="1">
      <alignment horizontal="left" vertical="center" wrapText="1"/>
    </xf>
    <xf numFmtId="0" fontId="115" fillId="9" borderId="36" xfId="19" applyNumberFormat="1" applyFont="1" applyFill="1" applyBorder="1" applyAlignment="1">
      <alignment horizontal="left" vertical="center" wrapText="1"/>
    </xf>
    <xf numFmtId="0" fontId="132" fillId="9" borderId="22" xfId="19" applyNumberFormat="1" applyFont="1" applyFill="1" applyBorder="1" applyAlignment="1">
      <alignment horizontal="left" vertical="center" wrapText="1"/>
    </xf>
    <xf numFmtId="0" fontId="115" fillId="9" borderId="0" xfId="19" applyNumberFormat="1" applyFont="1" applyFill="1" applyBorder="1" applyAlignment="1">
      <alignment horizontal="left" vertical="center" wrapText="1"/>
    </xf>
    <xf numFmtId="0" fontId="258" fillId="9" borderId="15" xfId="19" applyNumberFormat="1" applyFont="1" applyFill="1" applyBorder="1" applyAlignment="1">
      <alignment horizontal="left" vertical="center" wrapText="1"/>
    </xf>
    <xf numFmtId="0" fontId="258" fillId="9" borderId="2" xfId="19" applyNumberFormat="1" applyFont="1" applyFill="1" applyBorder="1" applyAlignment="1">
      <alignment horizontal="left" vertical="center" wrapText="1"/>
    </xf>
    <xf numFmtId="0" fontId="115" fillId="8" borderId="15" xfId="19" applyNumberFormat="1" applyFont="1" applyFill="1" applyBorder="1" applyAlignment="1">
      <alignment horizontal="left" vertical="center" wrapText="1"/>
    </xf>
    <xf numFmtId="0" fontId="115" fillId="8" borderId="58" xfId="19" applyNumberFormat="1" applyFont="1" applyFill="1" applyBorder="1" applyAlignment="1">
      <alignment horizontal="left" vertical="center" wrapText="1"/>
    </xf>
    <xf numFmtId="0" fontId="115" fillId="8" borderId="1" xfId="19" applyNumberFormat="1" applyFont="1" applyFill="1" applyBorder="1" applyAlignment="1">
      <alignment horizontal="left" vertical="center" wrapText="1"/>
    </xf>
    <xf numFmtId="0" fontId="115" fillId="8" borderId="22" xfId="19" applyNumberFormat="1" applyFont="1" applyFill="1" applyBorder="1" applyAlignment="1">
      <alignment horizontal="left" vertical="center" wrapText="1"/>
    </xf>
    <xf numFmtId="0" fontId="115" fillId="8" borderId="3" xfId="19" applyNumberFormat="1" applyFont="1" applyFill="1" applyBorder="1" applyAlignment="1">
      <alignment horizontal="left" vertical="center" wrapText="1"/>
    </xf>
    <xf numFmtId="0" fontId="115" fillId="8" borderId="0" xfId="19" applyNumberFormat="1" applyFont="1" applyFill="1" applyAlignment="1">
      <alignment horizontal="left" vertical="center" wrapText="1"/>
    </xf>
    <xf numFmtId="0" fontId="115" fillId="17" borderId="13" xfId="19" applyNumberFormat="1" applyFont="1" applyFill="1" applyBorder="1" applyAlignment="1">
      <alignment horizontal="left" vertical="center" wrapText="1"/>
    </xf>
    <xf numFmtId="0" fontId="132" fillId="17" borderId="13" xfId="19" applyNumberFormat="1" applyFont="1" applyFill="1" applyBorder="1" applyAlignment="1">
      <alignment horizontal="left" vertical="center" wrapText="1"/>
    </xf>
    <xf numFmtId="0" fontId="115" fillId="17" borderId="46" xfId="19" applyNumberFormat="1" applyFont="1" applyFill="1" applyBorder="1" applyAlignment="1">
      <alignment horizontal="left" vertical="center" wrapText="1"/>
    </xf>
    <xf numFmtId="0" fontId="115" fillId="17" borderId="1" xfId="19" applyNumberFormat="1" applyFont="1" applyFill="1" applyBorder="1" applyAlignment="1">
      <alignment horizontal="left" vertical="center" wrapText="1"/>
    </xf>
    <xf numFmtId="0" fontId="115" fillId="17" borderId="3" xfId="19" applyNumberFormat="1" applyFont="1" applyFill="1" applyBorder="1" applyAlignment="1">
      <alignment horizontal="left" vertical="center" wrapText="1"/>
    </xf>
    <xf numFmtId="0" fontId="115" fillId="17" borderId="0" xfId="19" applyNumberFormat="1" applyFont="1" applyFill="1" applyAlignment="1">
      <alignment horizontal="left" vertical="center" wrapText="1"/>
    </xf>
    <xf numFmtId="0" fontId="115" fillId="17" borderId="15" xfId="19" applyNumberFormat="1" applyFont="1" applyFill="1" applyBorder="1" applyAlignment="1">
      <alignment horizontal="left" vertical="center" wrapText="1"/>
    </xf>
    <xf numFmtId="0" fontId="115" fillId="17" borderId="58" xfId="19" applyNumberFormat="1" applyFont="1" applyFill="1" applyBorder="1" applyAlignment="1">
      <alignment horizontal="left" vertical="center" wrapText="1"/>
    </xf>
    <xf numFmtId="0" fontId="115" fillId="17" borderId="2" xfId="19" applyNumberFormat="1" applyFont="1" applyFill="1" applyBorder="1" applyAlignment="1">
      <alignment horizontal="left" vertical="center" wrapText="1"/>
    </xf>
    <xf numFmtId="0" fontId="115" fillId="17" borderId="4" xfId="19" applyNumberFormat="1" applyFont="1" applyFill="1" applyBorder="1" applyAlignment="1">
      <alignment horizontal="left" vertical="center" wrapText="1"/>
    </xf>
    <xf numFmtId="0" fontId="115" fillId="17" borderId="5" xfId="19" applyNumberFormat="1" applyFont="1" applyFill="1" applyBorder="1" applyAlignment="1">
      <alignment horizontal="left" vertical="center" wrapText="1"/>
    </xf>
    <xf numFmtId="0" fontId="115" fillId="17" borderId="22" xfId="19" applyNumberFormat="1" applyFont="1" applyFill="1" applyBorder="1" applyAlignment="1">
      <alignment horizontal="left" vertical="center" wrapText="1"/>
    </xf>
    <xf numFmtId="0" fontId="115" fillId="17" borderId="7" xfId="19" applyNumberFormat="1" applyFont="1" applyFill="1" applyBorder="1" applyAlignment="1">
      <alignment horizontal="left" vertical="center" wrapText="1"/>
    </xf>
    <xf numFmtId="0" fontId="259" fillId="17" borderId="2" xfId="19" applyNumberFormat="1" applyFont="1" applyFill="1" applyBorder="1" applyAlignment="1">
      <alignment horizontal="left" vertical="center" wrapText="1"/>
    </xf>
    <xf numFmtId="0" fontId="260" fillId="17" borderId="13" xfId="19" applyNumberFormat="1" applyFont="1" applyFill="1" applyBorder="1" applyAlignment="1">
      <alignment horizontal="left" vertical="center" wrapText="1"/>
    </xf>
    <xf numFmtId="0" fontId="115" fillId="17" borderId="35" xfId="19" applyNumberFormat="1" applyFont="1" applyFill="1" applyBorder="1" applyAlignment="1">
      <alignment horizontal="left" vertical="center" wrapText="1"/>
    </xf>
    <xf numFmtId="0" fontId="115" fillId="0" borderId="13" xfId="19" applyNumberFormat="1" applyFont="1" applyBorder="1" applyAlignment="1">
      <alignment horizontal="left" vertical="center" wrapText="1"/>
    </xf>
    <xf numFmtId="0" fontId="115" fillId="14" borderId="15" xfId="19" applyNumberFormat="1" applyFont="1" applyFill="1" applyBorder="1" applyAlignment="1">
      <alignment horizontal="left" vertical="center" wrapText="1"/>
    </xf>
    <xf numFmtId="0" fontId="115" fillId="14" borderId="13" xfId="19" applyNumberFormat="1" applyFont="1" applyFill="1" applyBorder="1" applyAlignment="1">
      <alignment horizontal="left" vertical="center" wrapText="1"/>
    </xf>
    <xf numFmtId="0" fontId="132" fillId="0" borderId="13" xfId="19" applyNumberFormat="1" applyFont="1" applyBorder="1" applyAlignment="1">
      <alignment horizontal="left" vertical="center" wrapText="1"/>
    </xf>
    <xf numFmtId="0" fontId="115" fillId="0" borderId="46" xfId="19" applyNumberFormat="1" applyFont="1" applyBorder="1" applyAlignment="1">
      <alignment horizontal="left" vertical="center" wrapText="1"/>
    </xf>
    <xf numFmtId="0" fontId="115" fillId="0" borderId="1" xfId="19" applyNumberFormat="1" applyFont="1" applyBorder="1" applyAlignment="1">
      <alignment horizontal="left" vertical="center" wrapText="1"/>
    </xf>
    <xf numFmtId="0" fontId="115" fillId="0" borderId="3" xfId="19" applyNumberFormat="1" applyFont="1" applyFill="1" applyBorder="1" applyAlignment="1">
      <alignment horizontal="left" vertical="center" wrapText="1"/>
    </xf>
    <xf numFmtId="0" fontId="115" fillId="0" borderId="1" xfId="19" applyNumberFormat="1" applyFont="1" applyFill="1" applyBorder="1" applyAlignment="1">
      <alignment horizontal="left" vertical="center" wrapText="1"/>
    </xf>
    <xf numFmtId="0" fontId="115" fillId="0" borderId="2" xfId="19" applyNumberFormat="1" applyFont="1" applyBorder="1" applyAlignment="1">
      <alignment horizontal="left" vertical="center" wrapText="1"/>
    </xf>
    <xf numFmtId="0" fontId="115" fillId="0" borderId="4" xfId="19" applyNumberFormat="1" applyFont="1" applyBorder="1" applyAlignment="1">
      <alignment horizontal="left" vertical="center" wrapText="1"/>
    </xf>
    <xf numFmtId="0" fontId="115" fillId="8" borderId="35" xfId="19" applyNumberFormat="1" applyFont="1" applyFill="1" applyBorder="1" applyAlignment="1">
      <alignment horizontal="left" vertical="center" wrapText="1"/>
    </xf>
    <xf numFmtId="0" fontId="115" fillId="8" borderId="13" xfId="19" applyNumberFormat="1" applyFont="1" applyFill="1" applyBorder="1" applyAlignment="1">
      <alignment horizontal="left" vertical="center" wrapText="1"/>
    </xf>
    <xf numFmtId="0" fontId="115" fillId="6" borderId="13" xfId="19" applyNumberFormat="1" applyFont="1" applyFill="1" applyBorder="1" applyAlignment="1">
      <alignment horizontal="left" vertical="center" wrapText="1"/>
    </xf>
    <xf numFmtId="0" fontId="115" fillId="6" borderId="22" xfId="19" applyNumberFormat="1" applyFont="1" applyFill="1" applyBorder="1" applyAlignment="1">
      <alignment horizontal="left" vertical="center" wrapText="1"/>
    </xf>
    <xf numFmtId="0" fontId="132" fillId="6" borderId="13" xfId="19" applyNumberFormat="1" applyFont="1" applyFill="1" applyBorder="1" applyAlignment="1">
      <alignment horizontal="left" vertical="center" wrapText="1"/>
    </xf>
    <xf numFmtId="0" fontId="115" fillId="6" borderId="46" xfId="19" applyNumberFormat="1" applyFont="1" applyFill="1" applyBorder="1" applyAlignment="1">
      <alignment horizontal="left" vertical="center" wrapText="1"/>
    </xf>
    <xf numFmtId="0" fontId="115" fillId="6" borderId="1" xfId="19" applyNumberFormat="1" applyFont="1" applyFill="1" applyBorder="1" applyAlignment="1">
      <alignment horizontal="left" vertical="center" wrapText="1"/>
    </xf>
    <xf numFmtId="0" fontId="115" fillId="6" borderId="3" xfId="19" applyNumberFormat="1" applyFont="1" applyFill="1" applyBorder="1" applyAlignment="1">
      <alignment horizontal="left" vertical="center" wrapText="1"/>
    </xf>
    <xf numFmtId="0" fontId="115" fillId="6" borderId="0" xfId="19" applyNumberFormat="1" applyFont="1" applyFill="1" applyAlignment="1">
      <alignment horizontal="left" vertical="center" wrapText="1"/>
    </xf>
    <xf numFmtId="0" fontId="115" fillId="6" borderId="15" xfId="19" applyNumberFormat="1" applyFont="1" applyFill="1" applyBorder="1" applyAlignment="1">
      <alignment horizontal="left" vertical="center" wrapText="1"/>
    </xf>
    <xf numFmtId="0" fontId="115" fillId="6" borderId="35" xfId="19" applyNumberFormat="1" applyFont="1" applyFill="1" applyBorder="1" applyAlignment="1">
      <alignment horizontal="left" vertical="center" wrapText="1"/>
    </xf>
    <xf numFmtId="0" fontId="115" fillId="6" borderId="58" xfId="19" applyNumberFormat="1" applyFont="1" applyFill="1" applyBorder="1" applyAlignment="1">
      <alignment horizontal="left" vertical="center" wrapText="1"/>
    </xf>
    <xf numFmtId="0" fontId="115" fillId="6" borderId="2" xfId="19" applyNumberFormat="1" applyFont="1" applyFill="1" applyBorder="1" applyAlignment="1">
      <alignment horizontal="left" vertical="center" wrapText="1"/>
    </xf>
    <xf numFmtId="0" fontId="115" fillId="6" borderId="4" xfId="19" applyNumberFormat="1" applyFont="1" applyFill="1" applyBorder="1" applyAlignment="1">
      <alignment horizontal="left" vertical="center" wrapText="1"/>
    </xf>
    <xf numFmtId="0" fontId="115" fillId="6" borderId="7" xfId="19" applyNumberFormat="1" applyFont="1" applyFill="1" applyBorder="1" applyAlignment="1">
      <alignment horizontal="left" vertical="center" wrapText="1"/>
    </xf>
    <xf numFmtId="0" fontId="132" fillId="6" borderId="46" xfId="19" applyNumberFormat="1" applyFont="1" applyFill="1" applyBorder="1" applyAlignment="1">
      <alignment horizontal="left" vertical="center" wrapText="1"/>
    </xf>
    <xf numFmtId="0" fontId="115" fillId="6" borderId="54" xfId="19" applyNumberFormat="1" applyFont="1" applyFill="1" applyBorder="1" applyAlignment="1">
      <alignment horizontal="left" vertical="center" wrapText="1"/>
    </xf>
    <xf numFmtId="0" fontId="115" fillId="6" borderId="36" xfId="19" applyNumberFormat="1" applyFont="1" applyFill="1" applyBorder="1" applyAlignment="1">
      <alignment horizontal="left" vertical="center" wrapText="1"/>
    </xf>
    <xf numFmtId="0" fontId="115" fillId="6" borderId="5" xfId="19" applyNumberFormat="1" applyFont="1" applyFill="1" applyBorder="1" applyAlignment="1">
      <alignment horizontal="left" vertical="center" wrapText="1"/>
    </xf>
    <xf numFmtId="0" fontId="258" fillId="6" borderId="1" xfId="19" applyNumberFormat="1" applyFont="1" applyFill="1" applyBorder="1" applyAlignment="1">
      <alignment horizontal="left" vertical="center" wrapText="1"/>
    </xf>
    <xf numFmtId="0" fontId="258" fillId="6" borderId="5" xfId="19" applyNumberFormat="1" applyFont="1" applyFill="1" applyBorder="1" applyAlignment="1">
      <alignment horizontal="left" vertical="center" wrapText="1"/>
    </xf>
    <xf numFmtId="0" fontId="258" fillId="6" borderId="3" xfId="19" applyNumberFormat="1" applyFont="1" applyFill="1" applyBorder="1" applyAlignment="1">
      <alignment horizontal="left" vertical="center" wrapText="1"/>
    </xf>
    <xf numFmtId="0" fontId="115" fillId="6" borderId="0" xfId="19" applyNumberFormat="1" applyFont="1" applyFill="1" applyBorder="1" applyAlignment="1">
      <alignment horizontal="left" vertical="center" wrapText="1"/>
    </xf>
    <xf numFmtId="0" fontId="115" fillId="6" borderId="60" xfId="19" applyNumberFormat="1" applyFont="1" applyFill="1" applyBorder="1" applyAlignment="1">
      <alignment horizontal="left" vertical="center" wrapText="1"/>
    </xf>
    <xf numFmtId="0" fontId="115" fillId="0" borderId="5" xfId="19" applyNumberFormat="1" applyFont="1" applyBorder="1" applyAlignment="1">
      <alignment horizontal="left" vertical="center" wrapText="1"/>
    </xf>
    <xf numFmtId="0" fontId="258" fillId="6" borderId="13" xfId="19" applyNumberFormat="1" applyFont="1" applyFill="1" applyBorder="1" applyAlignment="1">
      <alignment horizontal="left" vertical="center" wrapText="1"/>
    </xf>
    <xf numFmtId="0" fontId="258" fillId="6" borderId="46" xfId="19" applyNumberFormat="1" applyFont="1" applyFill="1" applyBorder="1" applyAlignment="1">
      <alignment horizontal="left" vertical="center" wrapText="1"/>
    </xf>
    <xf numFmtId="0" fontId="258" fillId="6" borderId="2" xfId="19" applyNumberFormat="1" applyFont="1" applyFill="1" applyBorder="1" applyAlignment="1">
      <alignment horizontal="left" vertical="center" wrapText="1"/>
    </xf>
    <xf numFmtId="0" fontId="258" fillId="6" borderId="15" xfId="19" applyNumberFormat="1" applyFont="1" applyFill="1" applyBorder="1" applyAlignment="1">
      <alignment horizontal="left" vertical="center" wrapText="1"/>
    </xf>
    <xf numFmtId="0" fontId="258" fillId="6" borderId="58" xfId="19" applyNumberFormat="1" applyFont="1" applyFill="1" applyBorder="1" applyAlignment="1">
      <alignment horizontal="left" vertical="center" wrapText="1"/>
    </xf>
    <xf numFmtId="0" fontId="115" fillId="0" borderId="15" xfId="19" applyNumberFormat="1" applyFont="1" applyBorder="1" applyAlignment="1">
      <alignment horizontal="left" vertical="center" wrapText="1"/>
    </xf>
    <xf numFmtId="0" fontId="115" fillId="0" borderId="35" xfId="19" applyNumberFormat="1" applyFont="1" applyBorder="1" applyAlignment="1">
      <alignment horizontal="left" vertical="center" wrapText="1"/>
    </xf>
    <xf numFmtId="0" fontId="132" fillId="0" borderId="15" xfId="19" applyNumberFormat="1" applyFont="1" applyBorder="1" applyAlignment="1">
      <alignment horizontal="left" vertical="center" wrapText="1"/>
    </xf>
    <xf numFmtId="0" fontId="132" fillId="0" borderId="15" xfId="19" applyNumberFormat="1" applyFont="1" applyFill="1" applyBorder="1" applyAlignment="1">
      <alignment horizontal="left" vertical="center" wrapText="1"/>
    </xf>
    <xf numFmtId="0" fontId="115" fillId="0" borderId="58" xfId="19" applyNumberFormat="1" applyFont="1" applyBorder="1" applyAlignment="1">
      <alignment horizontal="left" vertical="center" wrapText="1"/>
    </xf>
    <xf numFmtId="0" fontId="115" fillId="0" borderId="3" xfId="19" applyNumberFormat="1" applyFont="1" applyBorder="1" applyAlignment="1">
      <alignment horizontal="left" vertical="center" wrapText="1"/>
    </xf>
    <xf numFmtId="0" fontId="115" fillId="0" borderId="22" xfId="19" applyNumberFormat="1" applyFont="1" applyBorder="1" applyAlignment="1">
      <alignment horizontal="left" vertical="center" wrapText="1"/>
    </xf>
    <xf numFmtId="0" fontId="132" fillId="0" borderId="1" xfId="19" applyNumberFormat="1" applyFont="1" applyBorder="1" applyAlignment="1">
      <alignment horizontal="left" vertical="center" wrapText="1"/>
    </xf>
    <xf numFmtId="0" fontId="82" fillId="6" borderId="0" xfId="0" applyFont="1" applyFill="1" applyAlignment="1" applyProtection="1">
      <alignment horizontal="center" vertical="center"/>
      <protection locked="0"/>
    </xf>
  </cellXfs>
  <cellStyles count="20">
    <cellStyle name="百分比 2" xfId="14"/>
    <cellStyle name="常规" xfId="0" builtinId="0"/>
    <cellStyle name="常规 10" xfId="17"/>
    <cellStyle name="常规 10 2"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262;&#23665;&#29983;&#27963;/&#19968;&#23457;/&#19968;&#23457;-1&#21495;&#27004;&#21830;&#19994;&#21450;&#22320;&#199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2&#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整体"/>
      <sheetName val="数据-基础表"/>
      <sheetName val="抵押物清单（分楼）"/>
      <sheetName val="数据-汇总表"/>
      <sheetName val="数据-取费表"/>
      <sheetName val="估价对象房地状况"/>
      <sheetName val="系统读取表"/>
      <sheetName val="结果表"/>
      <sheetName val="Sheet0"/>
      <sheetName val="成本法"/>
      <sheetName val="成本法 (元)"/>
      <sheetName val="假设开发法"/>
      <sheetName val="土地比较法-住宅、综合"/>
      <sheetName val="收益法（汇总）"/>
      <sheetName val="地上1层"/>
      <sheetName val="地下1层"/>
      <sheetName val="地下2层"/>
      <sheetName val="地下3层"/>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地上1层</v>
          </cell>
        </row>
        <row r="18">
          <cell r="A18" t="str">
            <v>办公楼</v>
          </cell>
          <cell r="B18" t="str">
            <v>地下1层</v>
          </cell>
        </row>
        <row r="19">
          <cell r="A19" t="str">
            <v>宿舍</v>
          </cell>
          <cell r="B19" t="str">
            <v>地下2层</v>
          </cell>
        </row>
        <row r="20">
          <cell r="A20" t="str">
            <v>食堂</v>
          </cell>
          <cell r="B20" t="str">
            <v>地下3层</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
          <cell r="B3">
            <v>44020</v>
          </cell>
        </row>
      </sheetData>
      <sheetData sheetId="11" refreshError="1"/>
      <sheetData sheetId="12" refreshError="1"/>
      <sheetData sheetId="13" refreshError="1"/>
      <sheetData sheetId="14">
        <row r="17">
          <cell r="C17" t="str">
            <v>项目类型</v>
          </cell>
        </row>
        <row r="19">
          <cell r="C19" t="str">
            <v>地上1层商业</v>
          </cell>
          <cell r="F19">
            <v>4323.09</v>
          </cell>
        </row>
        <row r="20">
          <cell r="C20" t="str">
            <v>地下1层商业</v>
          </cell>
          <cell r="G20">
            <v>7335.29</v>
          </cell>
        </row>
        <row r="21">
          <cell r="C21" t="str">
            <v>地下2层商业</v>
          </cell>
          <cell r="G21">
            <v>7268.6</v>
          </cell>
        </row>
        <row r="22">
          <cell r="C22" t="str">
            <v>地下3层车库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v>
          </cell>
        </row>
        <row r="125">
          <cell r="B125" t="str">
            <v>工程地质条件</v>
          </cell>
          <cell r="C125" t="str">
            <v>较好</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efreshError="1"/>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Sheet1"/>
      <sheetName val="系统读取表"/>
      <sheetName val="结果表"/>
      <sheetName val="Sheet0"/>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2163.67</v>
          </cell>
          <cell r="E3">
            <v>7261.079999999999</v>
          </cell>
        </row>
      </sheetData>
      <sheetData sheetId="14"/>
      <sheetData sheetId="15"/>
      <sheetData sheetId="16"/>
      <sheetData sheetId="17"/>
      <sheetData sheetId="18">
        <row r="19">
          <cell r="G19">
            <v>22958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Sheet1"/>
      <sheetName val="系统读取表"/>
      <sheetName val="结果表"/>
      <sheetName val="Sheet0"/>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1095.06</v>
          </cell>
          <cell r="E3">
            <v>3674.91</v>
          </cell>
        </row>
      </sheetData>
      <sheetData sheetId="14"/>
      <sheetData sheetId="15"/>
      <sheetData sheetId="16"/>
      <sheetData sheetId="17"/>
      <sheetData sheetId="18">
        <row r="19">
          <cell r="G19">
            <v>11780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1214</v>
      </c>
      <c r="B1" s="1579" t="s">
        <v>1293</v>
      </c>
    </row>
    <row r="2" spans="1:2" s="1584" customFormat="1" ht="16.2" thickTop="1">
      <c r="A2" s="1582" t="s">
        <v>1215</v>
      </c>
      <c r="B2" s="1583" t="str">
        <f>'预评函-封皮'!B37:I37</f>
        <v>预评估</v>
      </c>
    </row>
    <row r="3" spans="1:2" s="1587" customFormat="1">
      <c r="A3" s="1585" t="s">
        <v>1216</v>
      </c>
      <c r="B3" s="1586">
        <f>'预评函-封皮'!B40</f>
        <v>0</v>
      </c>
    </row>
    <row r="4" spans="1:2" s="1587" customFormat="1">
      <c r="A4" s="1585" t="s">
        <v>1217</v>
      </c>
      <c r="B4" s="1586" t="str">
        <f>'预评函-封皮'!B46</f>
        <v>（注册号：0)、（注册号：0)</v>
      </c>
    </row>
    <row r="5" spans="1:2" s="1581" customFormat="1" ht="16.2" thickBot="1">
      <c r="A5" s="1588" t="s">
        <v>1218</v>
      </c>
      <c r="B5" s="1589" t="str">
        <f>'预评函-封皮'!B49</f>
        <v>康正预评字号</v>
      </c>
    </row>
    <row r="6" spans="1:2" s="1584" customFormat="1" ht="16.2" thickTop="1">
      <c r="A6" s="1582" t="s">
        <v>1219</v>
      </c>
      <c r="B6" s="1583" t="str">
        <f>'预评函-1'!A4</f>
        <v>受贵公司委托，我公司对进行了预评估。</v>
      </c>
    </row>
    <row r="7" spans="1:2" s="1587" customFormat="1">
      <c r="A7" s="1585" t="s">
        <v>1259</v>
      </c>
      <c r="B7" s="1586" t="str">
        <f>'预评函-1'!A7</f>
        <v>估价对象为房地产，为所有。根据《国有土地使用证》[]，估价对象（分摊）出让国有建设用地使用权面积为8010.13平方米，建筑面积为26881.28平方米。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估价对象为房地产,为开发建设的，该项目尚在开发建设中。根据《国有土地使用证》[]，估价对象（分摊）出让国有建设用地使用权面积为8010.13平方米，规划建筑面积为26881.28平方米。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为估价委托人了解估价对象房地产市场价值提供参考依据。</v>
      </c>
    </row>
    <row r="12" spans="1:2" s="1587" customFormat="1">
      <c r="A12" s="1585" t="s">
        <v>1221</v>
      </c>
      <c r="B12" s="1586" t="str">
        <f>'预评函-1'!A15</f>
        <v>2020年7月8日（评估专业人员实地查勘之日）</v>
      </c>
    </row>
    <row r="13" spans="1:2" s="1587" customFormat="1">
      <c r="A13" s="1585" t="s">
        <v>1222</v>
      </c>
      <c r="B13" s="1586" t="str">
        <f>'预评函-1'!A18</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4" spans="1:2" s="1587" customFormat="1">
      <c r="A14" s="1585" t="s">
        <v>1223</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1227</v>
      </c>
      <c r="B18" s="1589" t="str">
        <f>'预评函-1'!A24</f>
        <v>本次评估采用的主估价方法为成本法和收益法。</v>
      </c>
    </row>
    <row r="19" spans="1:2" s="1584" customFormat="1" ht="16.2"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60459</v>
      </c>
    </row>
    <row r="21" spans="1:2" s="1587" customFormat="1">
      <c r="A21" s="1585" t="s">
        <v>1230</v>
      </c>
      <c r="B21" s="1586">
        <f ca="1">'预评函-2'!D7</f>
        <v>22491</v>
      </c>
    </row>
    <row r="22" spans="1:2" s="1587" customFormat="1">
      <c r="A22" s="1585" t="s">
        <v>1231</v>
      </c>
      <c r="B22" s="1586" t="str">
        <f ca="1">'预评函-2'!D6</f>
        <v>陆亿零肆佰伍拾玖万元整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3.房地产抵押价值</v>
      </c>
    </row>
    <row r="30" spans="1:2" s="1587" customFormat="1">
      <c r="A30" s="1585" t="s">
        <v>1287</v>
      </c>
      <c r="B30" s="1586">
        <f ca="1">'预评函-2'!D13</f>
        <v>60459</v>
      </c>
    </row>
    <row r="31" spans="1:2" s="1587" customFormat="1">
      <c r="A31" s="1585" t="s">
        <v>1269</v>
      </c>
      <c r="B31" s="1586">
        <f ca="1">'预评函-2'!D15</f>
        <v>22491</v>
      </c>
    </row>
    <row r="32" spans="1:2" s="1587" customFormat="1">
      <c r="A32" s="1585" t="s">
        <v>1236</v>
      </c>
      <c r="B32" s="1586" t="str">
        <f ca="1">'预评函-2'!D14</f>
        <v>陆亿零肆佰伍拾玖万元整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房地产</v>
      </c>
    </row>
    <row r="42" spans="1:2" s="1587" customFormat="1" ht="31.2">
      <c r="A42" s="1585" t="s">
        <v>1283</v>
      </c>
      <c r="B42" s="1586" t="str">
        <f>'预评函-3'!B2</f>
        <v>建筑面积</v>
      </c>
    </row>
    <row r="43" spans="1:2" s="1587" customFormat="1">
      <c r="A43" s="1585" t="s">
        <v>1284</v>
      </c>
      <c r="B43" s="1586">
        <f>'预评函-3'!B4</f>
        <v>26881.280000000002</v>
      </c>
    </row>
    <row r="44" spans="1:2" s="1587" customFormat="1" ht="31.2">
      <c r="A44" s="1585" t="s">
        <v>1268</v>
      </c>
      <c r="B44" s="1586" t="str">
        <f>'预评函-3'!C2</f>
        <v>(分摊)土地面积</v>
      </c>
    </row>
    <row r="45" spans="1:2" s="1587" customFormat="1">
      <c r="A45" s="1585" t="s">
        <v>1240</v>
      </c>
      <c r="B45" s="1586">
        <f>'预评函-3'!C4</f>
        <v>8010.13</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6.2" thickBot="1">
      <c r="A57" s="1588" t="s">
        <v>1292</v>
      </c>
      <c r="B57" s="1589" t="str">
        <f>'预评函-3'!A6</f>
        <v>估价师知悉的法定优先受偿款</v>
      </c>
    </row>
    <row r="58" spans="1:2" s="1584" customFormat="1" ht="16.2" thickTop="1">
      <c r="A58" s="1582" t="s">
        <v>1246</v>
      </c>
      <c r="B58" s="1583" t="str">
        <f>'预评函-4'!A12</f>
        <v>2.本次评估设定估价对象房地产权属无争议，未被查封或者以其他形式限制其房地产权利，未设定抵押权等他项权利，不涉及第三方权利义务。</v>
      </c>
    </row>
    <row r="59" spans="1:2" s="1587" customFormat="1">
      <c r="A59" s="1585" t="s">
        <v>1247</v>
      </c>
      <c r="B59" s="1586" t="str">
        <f>'预评函-4'!A13</f>
        <v>——</v>
      </c>
    </row>
    <row r="60" spans="1:2" s="1587" customFormat="1">
      <c r="A60" s="1585" t="s">
        <v>1248</v>
      </c>
      <c r="B60" s="1586" t="str">
        <f>'预评函-4'!A14</f>
        <v>——</v>
      </c>
    </row>
    <row r="61" spans="1:2" s="1587" customFormat="1">
      <c r="A61" s="1585" t="s">
        <v>1249</v>
      </c>
      <c r="B61" s="1586" t="str">
        <f>'预评函-4'!A15</f>
        <v>——</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v>
      </c>
    </row>
    <row r="65" spans="1:2" s="1587" customFormat="1">
      <c r="A65" s="1585" t="s">
        <v>1252</v>
      </c>
      <c r="B65" s="1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v>
      </c>
    </row>
    <row r="67" spans="1:2" s="1587" customFormat="1">
      <c r="A67" s="1585" t="s">
        <v>1264</v>
      </c>
      <c r="B67" s="1586" t="str">
        <f>'预评函-4'!A21</f>
        <v>——</v>
      </c>
    </row>
    <row r="68" spans="1:2" s="1587" customFormat="1">
      <c r="A68" s="1585" t="s">
        <v>1265</v>
      </c>
      <c r="B68" s="1586" t="str">
        <f>'预评函-4'!A22</f>
        <v>8.其他需特殊说明事项：无（注意调整序号）</v>
      </c>
    </row>
    <row r="69" spans="1:2" s="1581" customFormat="1" ht="16.2" thickBot="1">
      <c r="A69" s="1588" t="s">
        <v>1254</v>
      </c>
      <c r="B69" s="1590">
        <f>'预评函-4'!C31</f>
        <v>42551</v>
      </c>
    </row>
    <row r="70" spans="1:2" ht="16.2" thickTop="1">
      <c r="A70" s="1591" t="s">
        <v>1255</v>
      </c>
      <c r="B70" s="1592">
        <f>'预评函-4'!A4</f>
        <v>0</v>
      </c>
    </row>
    <row r="71" spans="1:2">
      <c r="A71" s="1585" t="s">
        <v>1256</v>
      </c>
      <c r="B71" s="1586">
        <f>'预评函-4'!B4</f>
        <v>0</v>
      </c>
    </row>
    <row r="72" spans="1:2">
      <c r="A72" s="1585" t="s">
        <v>1257</v>
      </c>
      <c r="B72" s="1594">
        <f>'预评函-4'!A5</f>
        <v>0</v>
      </c>
    </row>
    <row r="73" spans="1:2" s="1581" customFormat="1" ht="16.2" thickBot="1">
      <c r="A73" s="1588" t="s">
        <v>1258</v>
      </c>
      <c r="B73" s="1589">
        <f>'预评函-4'!B5</f>
        <v>0</v>
      </c>
    </row>
    <row r="74" spans="1:2" ht="16.2" thickTop="1">
      <c r="A74" s="1578" t="s">
        <v>1294</v>
      </c>
      <c r="B74" s="1595"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3"/>
  <sheetViews>
    <sheetView zoomScale="85" zoomScaleNormal="85" workbookViewId="0">
      <pane ySplit="2" topLeftCell="A165" activePane="bottomLeft" state="frozen"/>
      <selection pane="bottomLeft" activeCell="T86" sqref="T86"/>
    </sheetView>
  </sheetViews>
  <sheetFormatPr defaultColWidth="9" defaultRowHeight="12"/>
  <cols>
    <col min="1" max="1" width="3.109375" style="3318" customWidth="1"/>
    <col min="2" max="2" width="11.6640625" style="3318" customWidth="1"/>
    <col min="3" max="3" width="17.77734375" style="3318" hidden="1" customWidth="1"/>
    <col min="4" max="4" width="24.33203125" style="3318" hidden="1" customWidth="1"/>
    <col min="5" max="5" width="21.77734375" style="3318" hidden="1" customWidth="1"/>
    <col min="6" max="6" width="6.44140625" style="3318" hidden="1" customWidth="1"/>
    <col min="7" max="7" width="5.21875" style="3318" hidden="1" customWidth="1"/>
    <col min="8" max="8" width="13" style="3318" customWidth="1"/>
    <col min="9" max="10" width="9" style="3318" customWidth="1"/>
    <col min="11" max="11" width="10.88671875" style="3318" customWidth="1"/>
    <col min="12" max="12" width="12.44140625" style="3318" customWidth="1"/>
    <col min="13" max="13" width="7.88671875" style="3318" customWidth="1"/>
    <col min="14" max="15" width="12.33203125" style="3318" customWidth="1"/>
    <col min="16" max="16" width="20.88671875" style="3318" customWidth="1"/>
    <col min="17" max="17" width="18.109375" style="3318" customWidth="1"/>
    <col min="18" max="18" width="21.33203125" style="3318" customWidth="1"/>
    <col min="19" max="19" width="12.33203125" style="3318" customWidth="1"/>
    <col min="20" max="20" width="11.88671875" style="3318" customWidth="1"/>
    <col min="21" max="23" width="0" style="3318" hidden="1" customWidth="1"/>
    <col min="24" max="24" width="9.109375" style="3318" bestFit="1" customWidth="1"/>
    <col min="25" max="37" width="12.77734375" style="3318" bestFit="1" customWidth="1"/>
    <col min="38" max="16384" width="9" style="3318"/>
  </cols>
  <sheetData>
    <row r="1" spans="1:36">
      <c r="Z1" s="3318">
        <v>44197</v>
      </c>
      <c r="AA1" s="3318">
        <v>44562</v>
      </c>
      <c r="AB1" s="3318">
        <v>44927</v>
      </c>
      <c r="AC1" s="3318">
        <v>45292</v>
      </c>
      <c r="AD1" s="3318">
        <v>45658</v>
      </c>
      <c r="AE1" s="3318">
        <v>46023</v>
      </c>
      <c r="AF1" s="3318">
        <v>46388</v>
      </c>
      <c r="AG1" s="3318">
        <v>46753</v>
      </c>
      <c r="AH1" s="3318">
        <v>47119</v>
      </c>
      <c r="AI1" s="3318">
        <v>47484</v>
      </c>
      <c r="AJ1" s="3318">
        <v>47849</v>
      </c>
    </row>
    <row r="2" spans="1:36" ht="24">
      <c r="A2" s="3319"/>
      <c r="B2" s="3319" t="s">
        <v>3053</v>
      </c>
      <c r="C2" s="3319" t="s">
        <v>3054</v>
      </c>
      <c r="D2" s="3319" t="s">
        <v>3055</v>
      </c>
      <c r="E2" s="3319" t="s">
        <v>3056</v>
      </c>
      <c r="F2" s="3319" t="s">
        <v>3057</v>
      </c>
      <c r="G2" s="3319" t="s">
        <v>3058</v>
      </c>
      <c r="H2" s="3319" t="s">
        <v>3059</v>
      </c>
      <c r="I2" s="3319" t="s">
        <v>3060</v>
      </c>
      <c r="J2" s="3319" t="s">
        <v>3061</v>
      </c>
      <c r="K2" s="3319" t="s">
        <v>3062</v>
      </c>
      <c r="L2" s="3319" t="s">
        <v>3063</v>
      </c>
      <c r="M2" s="3319" t="s">
        <v>3064</v>
      </c>
      <c r="N2" s="3319" t="s">
        <v>3162</v>
      </c>
      <c r="O2" s="3319"/>
      <c r="P2" s="3319" t="s">
        <v>3161</v>
      </c>
      <c r="Q2" s="3319" t="s">
        <v>3065</v>
      </c>
      <c r="R2" s="3319" t="s">
        <v>3066</v>
      </c>
      <c r="S2" s="3320" t="s">
        <v>3067</v>
      </c>
      <c r="T2" s="3319" t="s">
        <v>3068</v>
      </c>
      <c r="U2" s="3321" t="s">
        <v>3069</v>
      </c>
      <c r="V2" s="3321" t="s">
        <v>3070</v>
      </c>
      <c r="W2" s="3321" t="s">
        <v>3071</v>
      </c>
      <c r="X2" s="3318">
        <f>[1]项目基本情况!B3</f>
        <v>44020</v>
      </c>
      <c r="Y2" s="3318">
        <v>44196</v>
      </c>
      <c r="Z2" s="3318">
        <v>44561</v>
      </c>
      <c r="AA2" s="3318">
        <v>44926</v>
      </c>
      <c r="AB2" s="3318">
        <v>45291</v>
      </c>
      <c r="AC2" s="3318">
        <v>45657</v>
      </c>
      <c r="AD2" s="3318">
        <v>46022</v>
      </c>
      <c r="AE2" s="3318">
        <v>46387</v>
      </c>
      <c r="AF2" s="3318">
        <v>46752</v>
      </c>
      <c r="AG2" s="3318">
        <v>47118</v>
      </c>
      <c r="AH2" s="3318">
        <v>47483</v>
      </c>
      <c r="AI2" s="3318">
        <v>47848</v>
      </c>
      <c r="AJ2" s="3318">
        <v>48213</v>
      </c>
    </row>
    <row r="3" spans="1:36" s="3327" customFormat="1" ht="24">
      <c r="A3" s="3322">
        <v>1</v>
      </c>
      <c r="B3" s="3323" t="s">
        <v>3163</v>
      </c>
      <c r="C3" s="3322" t="s">
        <v>3164</v>
      </c>
      <c r="D3" s="3322" t="s">
        <v>3165</v>
      </c>
      <c r="E3" s="3322"/>
      <c r="F3" s="3324" t="s">
        <v>3166</v>
      </c>
      <c r="G3" s="3322"/>
      <c r="H3" s="3322"/>
      <c r="I3" s="3322">
        <v>144.30000000000001</v>
      </c>
      <c r="J3" s="3322">
        <v>101</v>
      </c>
      <c r="K3" s="3322" t="s">
        <v>3167</v>
      </c>
      <c r="L3" s="3322" t="s">
        <v>3168</v>
      </c>
      <c r="M3" s="3322" t="s">
        <v>3169</v>
      </c>
      <c r="N3" s="3322">
        <f>542358/365/I3</f>
        <v>10.297382735738898</v>
      </c>
      <c r="O3" s="3322">
        <f>I3*N3</f>
        <v>1485.9123287671232</v>
      </c>
      <c r="P3" s="3322" t="s">
        <v>3170</v>
      </c>
      <c r="Q3" s="3325" t="s">
        <v>3072</v>
      </c>
      <c r="R3" s="3325" t="s">
        <v>3073</v>
      </c>
      <c r="S3" s="3322" t="s">
        <v>3074</v>
      </c>
      <c r="T3" s="3322">
        <v>0</v>
      </c>
      <c r="U3" s="3326">
        <v>1436.7</v>
      </c>
      <c r="V3" s="3326" t="s">
        <v>3075</v>
      </c>
      <c r="Y3" s="3327">
        <f t="shared" ref="Y3:Y66" si="0">I3*N3*($Y$2-$X$2)</f>
        <v>261520.56986301369</v>
      </c>
      <c r="Z3" s="3327">
        <f t="shared" ref="Z3:Z66" si="1">I3*N3*($Z$2-$Z$1)</f>
        <v>540872.08767123288</v>
      </c>
      <c r="AA3" s="3327">
        <f t="shared" ref="AA3:AA66" si="2">I3*N3*($AA$2-$AA$1)</f>
        <v>540872.08767123288</v>
      </c>
      <c r="AB3" s="3327">
        <f t="shared" ref="AB3:AB66" si="3">I3*N3*($AB$2-$AB$1)</f>
        <v>540872.08767123288</v>
      </c>
      <c r="AC3" s="3327">
        <f t="shared" ref="AC3:AC66" si="4">I3*N3*($AC$2-$AC$1)</f>
        <v>542358</v>
      </c>
      <c r="AD3" s="3327">
        <f t="shared" ref="AD3:AD66" si="5">I3*N3*($AD$2-$AD$1)</f>
        <v>540872.08767123288</v>
      </c>
      <c r="AE3" s="3327">
        <f t="shared" ref="AE3:AE66" si="6">I3*N3*($AE$2-$AE$1)</f>
        <v>540872.08767123288</v>
      </c>
      <c r="AF3" s="3327">
        <f t="shared" ref="AF3:AF66" si="7">I3*N3*($AF$2-$AF$1)</f>
        <v>540872.08767123288</v>
      </c>
      <c r="AG3" s="3327">
        <f t="shared" ref="AG3:AG66" si="8">I3*N3*($AG$2-$AG$1)</f>
        <v>542358</v>
      </c>
      <c r="AH3" s="3327">
        <f t="shared" ref="AH3:AH66" si="9">I3*N3*($AH$2-$AH$1)</f>
        <v>540872.08767123288</v>
      </c>
      <c r="AI3" s="3327">
        <f t="shared" ref="AI3:AI66" si="10">I3*N3*($AI$2-$AI$1)</f>
        <v>540872.08767123288</v>
      </c>
      <c r="AJ3" s="3327">
        <f t="shared" ref="AJ3:AJ66" si="11">I3*N3*($AJ$2-$AJ$1)</f>
        <v>540872.08767123288</v>
      </c>
    </row>
    <row r="4" spans="1:36" s="3327" customFormat="1">
      <c r="A4" s="3326"/>
      <c r="B4" s="3326"/>
      <c r="C4" s="3326"/>
      <c r="D4" s="3326"/>
      <c r="E4" s="3326"/>
      <c r="F4" s="3326"/>
      <c r="G4" s="3326"/>
      <c r="H4" s="3326"/>
      <c r="I4" s="3326"/>
      <c r="J4" s="3326"/>
      <c r="K4" s="3326"/>
      <c r="L4" s="3326"/>
      <c r="M4" s="3326"/>
      <c r="N4" s="3326"/>
      <c r="O4" s="3322">
        <f t="shared" ref="O4:O67" si="12">I4*N4</f>
        <v>0</v>
      </c>
      <c r="P4" s="3326"/>
      <c r="Q4" s="3325" t="s">
        <v>3171</v>
      </c>
      <c r="R4" s="3325" t="s">
        <v>3172</v>
      </c>
      <c r="S4" s="3326"/>
      <c r="T4" s="3326"/>
      <c r="Y4" s="3327">
        <f t="shared" si="0"/>
        <v>0</v>
      </c>
      <c r="Z4" s="3327">
        <f t="shared" si="1"/>
        <v>0</v>
      </c>
      <c r="AA4" s="3327">
        <f t="shared" si="2"/>
        <v>0</v>
      </c>
      <c r="AB4" s="3327">
        <f t="shared" si="3"/>
        <v>0</v>
      </c>
      <c r="AC4" s="3327">
        <f t="shared" si="4"/>
        <v>0</v>
      </c>
      <c r="AD4" s="3327">
        <f t="shared" si="5"/>
        <v>0</v>
      </c>
      <c r="AE4" s="3327">
        <f t="shared" si="6"/>
        <v>0</v>
      </c>
      <c r="AF4" s="3327">
        <f t="shared" si="7"/>
        <v>0</v>
      </c>
      <c r="AG4" s="3327">
        <f t="shared" si="8"/>
        <v>0</v>
      </c>
      <c r="AH4" s="3327">
        <f t="shared" si="9"/>
        <v>0</v>
      </c>
      <c r="AI4" s="3327">
        <f t="shared" si="10"/>
        <v>0</v>
      </c>
      <c r="AJ4" s="3327">
        <f t="shared" si="11"/>
        <v>0</v>
      </c>
    </row>
    <row r="5" spans="1:36" s="3327" customFormat="1" ht="60">
      <c r="A5" s="3326"/>
      <c r="B5" s="3326"/>
      <c r="C5" s="3326"/>
      <c r="D5" s="3326"/>
      <c r="E5" s="3326"/>
      <c r="F5" s="3326"/>
      <c r="G5" s="3326"/>
      <c r="H5" s="3326"/>
      <c r="I5" s="3326"/>
      <c r="J5" s="3326"/>
      <c r="K5" s="3326"/>
      <c r="L5" s="3326" t="s">
        <v>3173</v>
      </c>
      <c r="M5" s="3326"/>
      <c r="N5" s="3326"/>
      <c r="O5" s="3322">
        <f t="shared" si="12"/>
        <v>0</v>
      </c>
      <c r="P5" s="3326"/>
      <c r="Q5" s="3325" t="s">
        <v>3174</v>
      </c>
      <c r="R5" s="3325" t="s">
        <v>3175</v>
      </c>
      <c r="S5" s="3326" t="s">
        <v>3176</v>
      </c>
      <c r="T5" s="3326"/>
      <c r="Y5" s="3327">
        <f t="shared" si="0"/>
        <v>0</v>
      </c>
      <c r="Z5" s="3327">
        <f t="shared" si="1"/>
        <v>0</v>
      </c>
      <c r="AA5" s="3327">
        <f t="shared" si="2"/>
        <v>0</v>
      </c>
      <c r="AB5" s="3327">
        <f t="shared" si="3"/>
        <v>0</v>
      </c>
      <c r="AC5" s="3327">
        <f t="shared" si="4"/>
        <v>0</v>
      </c>
      <c r="AD5" s="3327">
        <f t="shared" si="5"/>
        <v>0</v>
      </c>
      <c r="AE5" s="3327">
        <f t="shared" si="6"/>
        <v>0</v>
      </c>
      <c r="AF5" s="3327">
        <f t="shared" si="7"/>
        <v>0</v>
      </c>
      <c r="AG5" s="3327">
        <f t="shared" si="8"/>
        <v>0</v>
      </c>
      <c r="AH5" s="3327">
        <f t="shared" si="9"/>
        <v>0</v>
      </c>
      <c r="AI5" s="3327">
        <f t="shared" si="10"/>
        <v>0</v>
      </c>
      <c r="AJ5" s="3327">
        <f t="shared" si="11"/>
        <v>0</v>
      </c>
    </row>
    <row r="6" spans="1:36" s="3327" customFormat="1">
      <c r="A6" s="3326"/>
      <c r="B6" s="3326"/>
      <c r="C6" s="3326"/>
      <c r="D6" s="3326"/>
      <c r="E6" s="3326"/>
      <c r="F6" s="3326"/>
      <c r="G6" s="3326"/>
      <c r="H6" s="3326"/>
      <c r="I6" s="3326"/>
      <c r="J6" s="3326"/>
      <c r="K6" s="3326"/>
      <c r="L6" s="3326"/>
      <c r="M6" s="3326"/>
      <c r="N6" s="3326"/>
      <c r="O6" s="3322">
        <f t="shared" si="12"/>
        <v>0</v>
      </c>
      <c r="P6" s="3326"/>
      <c r="Q6" s="3325" t="s">
        <v>3177</v>
      </c>
      <c r="R6" s="3325" t="s">
        <v>3178</v>
      </c>
      <c r="S6" s="3326"/>
      <c r="T6" s="3326"/>
      <c r="Y6" s="3327">
        <f t="shared" si="0"/>
        <v>0</v>
      </c>
      <c r="Z6" s="3327">
        <f t="shared" si="1"/>
        <v>0</v>
      </c>
      <c r="AA6" s="3327">
        <f t="shared" si="2"/>
        <v>0</v>
      </c>
      <c r="AB6" s="3327">
        <f t="shared" si="3"/>
        <v>0</v>
      </c>
      <c r="AC6" s="3327">
        <f t="shared" si="4"/>
        <v>0</v>
      </c>
      <c r="AD6" s="3327">
        <f t="shared" si="5"/>
        <v>0</v>
      </c>
      <c r="AE6" s="3327">
        <f t="shared" si="6"/>
        <v>0</v>
      </c>
      <c r="AF6" s="3327">
        <f t="shared" si="7"/>
        <v>0</v>
      </c>
      <c r="AG6" s="3327">
        <f t="shared" si="8"/>
        <v>0</v>
      </c>
      <c r="AH6" s="3327">
        <f t="shared" si="9"/>
        <v>0</v>
      </c>
      <c r="AI6" s="3327">
        <f t="shared" si="10"/>
        <v>0</v>
      </c>
      <c r="AJ6" s="3327">
        <f t="shared" si="11"/>
        <v>0</v>
      </c>
    </row>
    <row r="7" spans="1:36" s="3327" customFormat="1">
      <c r="A7" s="3326"/>
      <c r="B7" s="3326"/>
      <c r="C7" s="3326"/>
      <c r="D7" s="3326"/>
      <c r="E7" s="3326"/>
      <c r="F7" s="3326"/>
      <c r="G7" s="3326"/>
      <c r="H7" s="3326"/>
      <c r="I7" s="3326"/>
      <c r="J7" s="3326"/>
      <c r="K7" s="3326"/>
      <c r="L7" s="3326"/>
      <c r="M7" s="3326"/>
      <c r="N7" s="3326"/>
      <c r="O7" s="3322">
        <f t="shared" si="12"/>
        <v>0</v>
      </c>
      <c r="P7" s="3326"/>
      <c r="Q7" s="3325" t="s">
        <v>3179</v>
      </c>
      <c r="R7" s="3325" t="s">
        <v>3180</v>
      </c>
      <c r="S7" s="3326"/>
      <c r="T7" s="3326"/>
      <c r="Y7" s="3327">
        <f t="shared" si="0"/>
        <v>0</v>
      </c>
      <c r="Z7" s="3327">
        <f t="shared" si="1"/>
        <v>0</v>
      </c>
      <c r="AA7" s="3327">
        <f t="shared" si="2"/>
        <v>0</v>
      </c>
      <c r="AB7" s="3327">
        <f t="shared" si="3"/>
        <v>0</v>
      </c>
      <c r="AC7" s="3327">
        <f t="shared" si="4"/>
        <v>0</v>
      </c>
      <c r="AD7" s="3327">
        <f t="shared" si="5"/>
        <v>0</v>
      </c>
      <c r="AE7" s="3327">
        <f t="shared" si="6"/>
        <v>0</v>
      </c>
      <c r="AF7" s="3327">
        <f t="shared" si="7"/>
        <v>0</v>
      </c>
      <c r="AG7" s="3327">
        <f t="shared" si="8"/>
        <v>0</v>
      </c>
      <c r="AH7" s="3327">
        <f t="shared" si="9"/>
        <v>0</v>
      </c>
      <c r="AI7" s="3327">
        <f t="shared" si="10"/>
        <v>0</v>
      </c>
      <c r="AJ7" s="3327">
        <f t="shared" si="11"/>
        <v>0</v>
      </c>
    </row>
    <row r="8" spans="1:36" s="3327" customFormat="1">
      <c r="A8" s="3328"/>
      <c r="B8" s="3328"/>
      <c r="C8" s="3328"/>
      <c r="D8" s="3328"/>
      <c r="E8" s="3328"/>
      <c r="F8" s="3328"/>
      <c r="G8" s="3328"/>
      <c r="H8" s="3328"/>
      <c r="I8" s="3328"/>
      <c r="J8" s="3328"/>
      <c r="K8" s="3328"/>
      <c r="L8" s="3328"/>
      <c r="M8" s="3328"/>
      <c r="N8" s="3328"/>
      <c r="O8" s="3322">
        <f t="shared" si="12"/>
        <v>0</v>
      </c>
      <c r="P8" s="3328"/>
      <c r="Q8" s="3325"/>
      <c r="R8" s="3325"/>
      <c r="S8" s="3328"/>
      <c r="T8" s="3328"/>
      <c r="Y8" s="3327">
        <f t="shared" si="0"/>
        <v>0</v>
      </c>
      <c r="Z8" s="3327">
        <f t="shared" si="1"/>
        <v>0</v>
      </c>
      <c r="AA8" s="3327">
        <f t="shared" si="2"/>
        <v>0</v>
      </c>
      <c r="AB8" s="3327">
        <f t="shared" si="3"/>
        <v>0</v>
      </c>
      <c r="AC8" s="3327">
        <f t="shared" si="4"/>
        <v>0</v>
      </c>
      <c r="AD8" s="3327">
        <f t="shared" si="5"/>
        <v>0</v>
      </c>
      <c r="AE8" s="3327">
        <f t="shared" si="6"/>
        <v>0</v>
      </c>
      <c r="AF8" s="3327">
        <f t="shared" si="7"/>
        <v>0</v>
      </c>
      <c r="AG8" s="3327">
        <f t="shared" si="8"/>
        <v>0</v>
      </c>
      <c r="AH8" s="3327">
        <f t="shared" si="9"/>
        <v>0</v>
      </c>
      <c r="AI8" s="3327">
        <f t="shared" si="10"/>
        <v>0</v>
      </c>
      <c r="AJ8" s="3327">
        <f t="shared" si="11"/>
        <v>0</v>
      </c>
    </row>
    <row r="9" spans="1:36" s="3327" customFormat="1" ht="24">
      <c r="A9" s="3326">
        <v>2</v>
      </c>
      <c r="B9" s="3323">
        <v>520</v>
      </c>
      <c r="C9" s="3322" t="s">
        <v>3181</v>
      </c>
      <c r="D9" s="3322" t="s">
        <v>3182</v>
      </c>
      <c r="E9" s="3322"/>
      <c r="F9" s="3324" t="s">
        <v>3166</v>
      </c>
      <c r="G9" s="3322"/>
      <c r="H9" s="3322" t="s">
        <v>3183</v>
      </c>
      <c r="I9" s="3322">
        <v>160.6</v>
      </c>
      <c r="J9" s="3322">
        <v>112.4</v>
      </c>
      <c r="K9" s="3322" t="s">
        <v>3184</v>
      </c>
      <c r="L9" s="3327" t="s">
        <v>3185</v>
      </c>
      <c r="M9" s="3329" t="s">
        <v>3169</v>
      </c>
      <c r="N9" s="3325">
        <f>420/30</f>
        <v>14</v>
      </c>
      <c r="O9" s="3322">
        <f t="shared" si="12"/>
        <v>2248.4</v>
      </c>
      <c r="P9" s="3330" t="s">
        <v>3186</v>
      </c>
      <c r="Q9" s="3325" t="s">
        <v>3187</v>
      </c>
      <c r="R9" s="3325" t="s">
        <v>3188</v>
      </c>
      <c r="S9" s="3322" t="s">
        <v>3189</v>
      </c>
      <c r="T9" s="3322" t="s">
        <v>3190</v>
      </c>
      <c r="Y9" s="3327">
        <f t="shared" si="0"/>
        <v>395718.40000000002</v>
      </c>
      <c r="Z9" s="3327">
        <f t="shared" si="1"/>
        <v>818417.6</v>
      </c>
      <c r="AA9" s="3327">
        <f t="shared" si="2"/>
        <v>818417.6</v>
      </c>
      <c r="AB9" s="3327">
        <f t="shared" si="3"/>
        <v>818417.6</v>
      </c>
      <c r="AC9" s="3327">
        <f t="shared" si="4"/>
        <v>820666</v>
      </c>
      <c r="AD9" s="3327">
        <f t="shared" si="5"/>
        <v>818417.6</v>
      </c>
      <c r="AE9" s="3327">
        <f t="shared" si="6"/>
        <v>818417.6</v>
      </c>
      <c r="AF9" s="3327">
        <f t="shared" si="7"/>
        <v>818417.6</v>
      </c>
      <c r="AG9" s="3327">
        <f t="shared" si="8"/>
        <v>820666</v>
      </c>
      <c r="AH9" s="3327">
        <f t="shared" si="9"/>
        <v>818417.6</v>
      </c>
      <c r="AI9" s="3327">
        <f t="shared" si="10"/>
        <v>818417.6</v>
      </c>
      <c r="AJ9" s="3327">
        <f t="shared" si="11"/>
        <v>818417.6</v>
      </c>
    </row>
    <row r="10" spans="1:36" s="3327" customFormat="1">
      <c r="A10" s="3326"/>
      <c r="B10" s="3326"/>
      <c r="C10" s="3326"/>
      <c r="D10" s="3326"/>
      <c r="E10" s="3326"/>
      <c r="F10" s="3326"/>
      <c r="G10" s="3326"/>
      <c r="H10" s="3326"/>
      <c r="I10" s="3326"/>
      <c r="J10" s="3326"/>
      <c r="K10" s="3326"/>
      <c r="M10" s="3331"/>
      <c r="N10" s="3325">
        <f>450/30</f>
        <v>15</v>
      </c>
      <c r="O10" s="3322">
        <f t="shared" si="12"/>
        <v>0</v>
      </c>
      <c r="P10" s="3330" t="s">
        <v>3191</v>
      </c>
      <c r="Q10" s="3325" t="s">
        <v>3192</v>
      </c>
      <c r="R10" s="3325" t="s">
        <v>3193</v>
      </c>
      <c r="S10" s="3326"/>
      <c r="T10" s="3326"/>
      <c r="Y10" s="3327">
        <f t="shared" si="0"/>
        <v>0</v>
      </c>
      <c r="Z10" s="3327">
        <f t="shared" si="1"/>
        <v>0</v>
      </c>
      <c r="AA10" s="3327">
        <f t="shared" si="2"/>
        <v>0</v>
      </c>
      <c r="AB10" s="3327">
        <f t="shared" si="3"/>
        <v>0</v>
      </c>
      <c r="AC10" s="3327">
        <f t="shared" si="4"/>
        <v>0</v>
      </c>
      <c r="AD10" s="3327">
        <f t="shared" si="5"/>
        <v>0</v>
      </c>
      <c r="AE10" s="3327">
        <f t="shared" si="6"/>
        <v>0</v>
      </c>
      <c r="AF10" s="3327">
        <f t="shared" si="7"/>
        <v>0</v>
      </c>
      <c r="AG10" s="3327">
        <f t="shared" si="8"/>
        <v>0</v>
      </c>
      <c r="AH10" s="3327">
        <f t="shared" si="9"/>
        <v>0</v>
      </c>
      <c r="AI10" s="3327">
        <f t="shared" si="10"/>
        <v>0</v>
      </c>
      <c r="AJ10" s="3327">
        <f t="shared" si="11"/>
        <v>0</v>
      </c>
    </row>
    <row r="11" spans="1:36" s="3327" customFormat="1">
      <c r="A11" s="3326"/>
      <c r="B11" s="3326"/>
      <c r="C11" s="3326"/>
      <c r="D11" s="3326"/>
      <c r="E11" s="3326"/>
      <c r="F11" s="3326"/>
      <c r="G11" s="3326"/>
      <c r="H11" s="3326"/>
      <c r="I11" s="3326"/>
      <c r="J11" s="3326"/>
      <c r="K11" s="3326"/>
      <c r="M11" s="3331"/>
      <c r="N11" s="3325">
        <f>480/30</f>
        <v>16</v>
      </c>
      <c r="O11" s="3322">
        <f t="shared" si="12"/>
        <v>0</v>
      </c>
      <c r="P11" s="3330" t="s">
        <v>3194</v>
      </c>
      <c r="Q11" s="3325" t="s">
        <v>3195</v>
      </c>
      <c r="R11" s="3325" t="s">
        <v>3196</v>
      </c>
      <c r="S11" s="3326"/>
      <c r="T11" s="3326"/>
      <c r="Y11" s="3327">
        <f t="shared" si="0"/>
        <v>0</v>
      </c>
      <c r="Z11" s="3327">
        <f t="shared" si="1"/>
        <v>0</v>
      </c>
      <c r="AA11" s="3327">
        <f t="shared" si="2"/>
        <v>0</v>
      </c>
      <c r="AB11" s="3327">
        <f t="shared" si="3"/>
        <v>0</v>
      </c>
      <c r="AC11" s="3327">
        <f t="shared" si="4"/>
        <v>0</v>
      </c>
      <c r="AD11" s="3327">
        <f t="shared" si="5"/>
        <v>0</v>
      </c>
      <c r="AE11" s="3327">
        <f t="shared" si="6"/>
        <v>0</v>
      </c>
      <c r="AF11" s="3327">
        <f t="shared" si="7"/>
        <v>0</v>
      </c>
      <c r="AG11" s="3327">
        <f t="shared" si="8"/>
        <v>0</v>
      </c>
      <c r="AH11" s="3327">
        <f t="shared" si="9"/>
        <v>0</v>
      </c>
      <c r="AI11" s="3327">
        <f t="shared" si="10"/>
        <v>0</v>
      </c>
      <c r="AJ11" s="3327">
        <f t="shared" si="11"/>
        <v>0</v>
      </c>
    </row>
    <row r="12" spans="1:36" s="3327" customFormat="1">
      <c r="A12" s="3326"/>
      <c r="B12" s="3326"/>
      <c r="C12" s="3326"/>
      <c r="D12" s="3326"/>
      <c r="E12" s="3326"/>
      <c r="F12" s="3326"/>
      <c r="G12" s="3326"/>
      <c r="H12" s="3326"/>
      <c r="I12" s="3326"/>
      <c r="J12" s="3326"/>
      <c r="K12" s="3326"/>
      <c r="M12" s="3331"/>
      <c r="N12" s="3325">
        <f>480/30</f>
        <v>16</v>
      </c>
      <c r="O12" s="3322">
        <f t="shared" si="12"/>
        <v>0</v>
      </c>
      <c r="P12" s="3330" t="s">
        <v>3197</v>
      </c>
      <c r="Q12" s="3325" t="s">
        <v>3198</v>
      </c>
      <c r="R12" s="3325" t="s">
        <v>3199</v>
      </c>
      <c r="S12" s="3326"/>
      <c r="T12" s="3326"/>
      <c r="Y12" s="3327">
        <f t="shared" si="0"/>
        <v>0</v>
      </c>
      <c r="Z12" s="3327">
        <f t="shared" si="1"/>
        <v>0</v>
      </c>
      <c r="AA12" s="3327">
        <f t="shared" si="2"/>
        <v>0</v>
      </c>
      <c r="AB12" s="3327">
        <f t="shared" si="3"/>
        <v>0</v>
      </c>
      <c r="AC12" s="3327">
        <f t="shared" si="4"/>
        <v>0</v>
      </c>
      <c r="AD12" s="3327">
        <f t="shared" si="5"/>
        <v>0</v>
      </c>
      <c r="AE12" s="3327">
        <f t="shared" si="6"/>
        <v>0</v>
      </c>
      <c r="AF12" s="3327">
        <f t="shared" si="7"/>
        <v>0</v>
      </c>
      <c r="AG12" s="3327">
        <f t="shared" si="8"/>
        <v>0</v>
      </c>
      <c r="AH12" s="3327">
        <f t="shared" si="9"/>
        <v>0</v>
      </c>
      <c r="AI12" s="3327">
        <f t="shared" si="10"/>
        <v>0</v>
      </c>
      <c r="AJ12" s="3327">
        <f t="shared" si="11"/>
        <v>0</v>
      </c>
    </row>
    <row r="13" spans="1:36" s="3327" customFormat="1">
      <c r="A13" s="3326"/>
      <c r="B13" s="3328"/>
      <c r="C13" s="3328"/>
      <c r="D13" s="3328"/>
      <c r="E13" s="3328"/>
      <c r="F13" s="3328"/>
      <c r="G13" s="3328"/>
      <c r="H13" s="3328"/>
      <c r="I13" s="3328"/>
      <c r="J13" s="3328"/>
      <c r="K13" s="3328"/>
      <c r="M13" s="3332"/>
      <c r="N13" s="3325">
        <f>510/30</f>
        <v>17</v>
      </c>
      <c r="O13" s="3322">
        <f t="shared" si="12"/>
        <v>0</v>
      </c>
      <c r="P13" s="3330" t="s">
        <v>3200</v>
      </c>
      <c r="Q13" s="3325" t="s">
        <v>3201</v>
      </c>
      <c r="R13" s="3325" t="s">
        <v>3202</v>
      </c>
      <c r="S13" s="3328"/>
      <c r="T13" s="3328"/>
      <c r="Y13" s="3327">
        <f t="shared" si="0"/>
        <v>0</v>
      </c>
      <c r="Z13" s="3327">
        <f t="shared" si="1"/>
        <v>0</v>
      </c>
      <c r="AA13" s="3327">
        <f t="shared" si="2"/>
        <v>0</v>
      </c>
      <c r="AB13" s="3327">
        <f t="shared" si="3"/>
        <v>0</v>
      </c>
      <c r="AC13" s="3327">
        <f t="shared" si="4"/>
        <v>0</v>
      </c>
      <c r="AD13" s="3327">
        <f t="shared" si="5"/>
        <v>0</v>
      </c>
      <c r="AE13" s="3327">
        <f t="shared" si="6"/>
        <v>0</v>
      </c>
      <c r="AF13" s="3327">
        <f t="shared" si="7"/>
        <v>0</v>
      </c>
      <c r="AG13" s="3327">
        <f t="shared" si="8"/>
        <v>0</v>
      </c>
      <c r="AH13" s="3327">
        <f t="shared" si="9"/>
        <v>0</v>
      </c>
      <c r="AI13" s="3327">
        <f t="shared" si="10"/>
        <v>0</v>
      </c>
      <c r="AJ13" s="3327">
        <f t="shared" si="11"/>
        <v>0</v>
      </c>
    </row>
    <row r="14" spans="1:36" s="3327" customFormat="1" ht="24">
      <c r="A14" s="3326">
        <v>3</v>
      </c>
      <c r="B14" s="3323" t="s">
        <v>3203</v>
      </c>
      <c r="C14" s="3322" t="s">
        <v>3204</v>
      </c>
      <c r="D14" s="3322" t="s">
        <v>3205</v>
      </c>
      <c r="E14" s="3322" t="s">
        <v>3204</v>
      </c>
      <c r="F14" s="3324" t="s">
        <v>3166</v>
      </c>
      <c r="G14" s="3322"/>
      <c r="H14" s="3322" t="s">
        <v>3206</v>
      </c>
      <c r="I14" s="3322">
        <v>354</v>
      </c>
      <c r="J14" s="3322">
        <v>248</v>
      </c>
      <c r="K14" s="3322" t="s">
        <v>3207</v>
      </c>
      <c r="L14" s="3322" t="s">
        <v>3207</v>
      </c>
      <c r="M14" s="3329" t="s">
        <v>3208</v>
      </c>
      <c r="N14" s="3325">
        <v>13</v>
      </c>
      <c r="O14" s="3322">
        <f t="shared" si="12"/>
        <v>4602</v>
      </c>
      <c r="P14" s="3330" t="s">
        <v>3209</v>
      </c>
      <c r="Q14" s="3325" t="s">
        <v>3210</v>
      </c>
      <c r="R14" s="3325" t="s">
        <v>3211</v>
      </c>
      <c r="S14" s="3322" t="s">
        <v>3212</v>
      </c>
      <c r="T14" s="3322" t="s">
        <v>3213</v>
      </c>
      <c r="Y14" s="3327">
        <f t="shared" si="0"/>
        <v>809952</v>
      </c>
      <c r="Z14" s="3327">
        <f t="shared" si="1"/>
        <v>1675128</v>
      </c>
      <c r="AA14" s="3327">
        <f t="shared" si="2"/>
        <v>1675128</v>
      </c>
      <c r="AB14" s="3327">
        <f t="shared" si="3"/>
        <v>1675128</v>
      </c>
      <c r="AC14" s="3327">
        <f t="shared" si="4"/>
        <v>1679730</v>
      </c>
      <c r="AD14" s="3327">
        <f t="shared" si="5"/>
        <v>1675128</v>
      </c>
      <c r="AE14" s="3327">
        <f t="shared" si="6"/>
        <v>1675128</v>
      </c>
      <c r="AF14" s="3327">
        <f t="shared" si="7"/>
        <v>1675128</v>
      </c>
      <c r="AG14" s="3327">
        <f t="shared" si="8"/>
        <v>1679730</v>
      </c>
      <c r="AH14" s="3327">
        <f t="shared" si="9"/>
        <v>1675128</v>
      </c>
      <c r="AI14" s="3327">
        <f t="shared" si="10"/>
        <v>1675128</v>
      </c>
      <c r="AJ14" s="3327">
        <f t="shared" si="11"/>
        <v>1675128</v>
      </c>
    </row>
    <row r="15" spans="1:36" s="3327" customFormat="1" ht="24">
      <c r="A15" s="3326"/>
      <c r="B15" s="3326"/>
      <c r="C15" s="3326"/>
      <c r="D15" s="3326"/>
      <c r="E15" s="3326"/>
      <c r="F15" s="3326"/>
      <c r="G15" s="3326"/>
      <c r="H15" s="3326"/>
      <c r="I15" s="3326"/>
      <c r="J15" s="3326"/>
      <c r="K15" s="3326"/>
      <c r="L15" s="3326"/>
      <c r="M15" s="3331"/>
      <c r="N15" s="3325">
        <v>13.65</v>
      </c>
      <c r="O15" s="3322">
        <f t="shared" si="12"/>
        <v>0</v>
      </c>
      <c r="P15" s="3330" t="s">
        <v>3214</v>
      </c>
      <c r="Q15" s="3325" t="s">
        <v>3215</v>
      </c>
      <c r="R15" s="3325" t="s">
        <v>3216</v>
      </c>
      <c r="S15" s="3326"/>
      <c r="T15" s="3326"/>
      <c r="Y15" s="3327">
        <f t="shared" si="0"/>
        <v>0</v>
      </c>
      <c r="Z15" s="3327">
        <f t="shared" si="1"/>
        <v>0</v>
      </c>
      <c r="AA15" s="3327">
        <f t="shared" si="2"/>
        <v>0</v>
      </c>
      <c r="AB15" s="3327">
        <f t="shared" si="3"/>
        <v>0</v>
      </c>
      <c r="AC15" s="3327">
        <f t="shared" si="4"/>
        <v>0</v>
      </c>
      <c r="AD15" s="3327">
        <f t="shared" si="5"/>
        <v>0</v>
      </c>
      <c r="AE15" s="3327">
        <f t="shared" si="6"/>
        <v>0</v>
      </c>
      <c r="AF15" s="3327">
        <f t="shared" si="7"/>
        <v>0</v>
      </c>
      <c r="AG15" s="3327">
        <f t="shared" si="8"/>
        <v>0</v>
      </c>
      <c r="AH15" s="3327">
        <f t="shared" si="9"/>
        <v>0</v>
      </c>
      <c r="AI15" s="3327">
        <f t="shared" si="10"/>
        <v>0</v>
      </c>
      <c r="AJ15" s="3327">
        <f t="shared" si="11"/>
        <v>0</v>
      </c>
    </row>
    <row r="16" spans="1:36" s="3327" customFormat="1" ht="24">
      <c r="A16" s="3326"/>
      <c r="B16" s="3326"/>
      <c r="C16" s="3326"/>
      <c r="D16" s="3326"/>
      <c r="E16" s="3326"/>
      <c r="F16" s="3326"/>
      <c r="G16" s="3326"/>
      <c r="H16" s="3326"/>
      <c r="I16" s="3326"/>
      <c r="J16" s="3326"/>
      <c r="K16" s="3326"/>
      <c r="L16" s="3326"/>
      <c r="M16" s="3331"/>
      <c r="N16" s="3325">
        <v>14.33</v>
      </c>
      <c r="O16" s="3322">
        <f t="shared" si="12"/>
        <v>0</v>
      </c>
      <c r="P16" s="3330" t="s">
        <v>3217</v>
      </c>
      <c r="Q16" s="3325" t="s">
        <v>3218</v>
      </c>
      <c r="R16" s="3325" t="s">
        <v>3219</v>
      </c>
      <c r="S16" s="3326"/>
      <c r="T16" s="3326"/>
      <c r="Y16" s="3327">
        <f t="shared" si="0"/>
        <v>0</v>
      </c>
      <c r="Z16" s="3327">
        <f t="shared" si="1"/>
        <v>0</v>
      </c>
      <c r="AA16" s="3327">
        <f t="shared" si="2"/>
        <v>0</v>
      </c>
      <c r="AB16" s="3327">
        <f t="shared" si="3"/>
        <v>0</v>
      </c>
      <c r="AC16" s="3327">
        <f t="shared" si="4"/>
        <v>0</v>
      </c>
      <c r="AD16" s="3327">
        <f t="shared" si="5"/>
        <v>0</v>
      </c>
      <c r="AE16" s="3327">
        <f t="shared" si="6"/>
        <v>0</v>
      </c>
      <c r="AF16" s="3327">
        <f t="shared" si="7"/>
        <v>0</v>
      </c>
      <c r="AG16" s="3327">
        <f t="shared" si="8"/>
        <v>0</v>
      </c>
      <c r="AH16" s="3327">
        <f t="shared" si="9"/>
        <v>0</v>
      </c>
      <c r="AI16" s="3327">
        <f t="shared" si="10"/>
        <v>0</v>
      </c>
      <c r="AJ16" s="3327">
        <f t="shared" si="11"/>
        <v>0</v>
      </c>
    </row>
    <row r="17" spans="1:36" s="3327" customFormat="1" ht="24">
      <c r="A17" s="3326"/>
      <c r="B17" s="3326"/>
      <c r="C17" s="3326"/>
      <c r="D17" s="3326"/>
      <c r="E17" s="3326"/>
      <c r="F17" s="3326"/>
      <c r="G17" s="3326"/>
      <c r="H17" s="3326"/>
      <c r="I17" s="3326"/>
      <c r="J17" s="3326"/>
      <c r="K17" s="3326"/>
      <c r="L17" s="3326"/>
      <c r="M17" s="3331"/>
      <c r="N17" s="3325">
        <v>15.05</v>
      </c>
      <c r="O17" s="3322">
        <f t="shared" si="12"/>
        <v>0</v>
      </c>
      <c r="P17" s="3330" t="s">
        <v>3220</v>
      </c>
      <c r="Q17" s="3325" t="s">
        <v>3221</v>
      </c>
      <c r="R17" s="3325" t="s">
        <v>3222</v>
      </c>
      <c r="S17" s="3326"/>
      <c r="T17" s="3326"/>
      <c r="Y17" s="3327">
        <f t="shared" si="0"/>
        <v>0</v>
      </c>
      <c r="Z17" s="3327">
        <f t="shared" si="1"/>
        <v>0</v>
      </c>
      <c r="AA17" s="3327">
        <f t="shared" si="2"/>
        <v>0</v>
      </c>
      <c r="AB17" s="3327">
        <f t="shared" si="3"/>
        <v>0</v>
      </c>
      <c r="AC17" s="3327">
        <f t="shared" si="4"/>
        <v>0</v>
      </c>
      <c r="AD17" s="3327">
        <f t="shared" si="5"/>
        <v>0</v>
      </c>
      <c r="AE17" s="3327">
        <f t="shared" si="6"/>
        <v>0</v>
      </c>
      <c r="AF17" s="3327">
        <f t="shared" si="7"/>
        <v>0</v>
      </c>
      <c r="AG17" s="3327">
        <f t="shared" si="8"/>
        <v>0</v>
      </c>
      <c r="AH17" s="3327">
        <f t="shared" si="9"/>
        <v>0</v>
      </c>
      <c r="AI17" s="3327">
        <f t="shared" si="10"/>
        <v>0</v>
      </c>
      <c r="AJ17" s="3327">
        <f t="shared" si="11"/>
        <v>0</v>
      </c>
    </row>
    <row r="18" spans="1:36" s="3327" customFormat="1">
      <c r="A18" s="3326"/>
      <c r="B18" s="3326"/>
      <c r="C18" s="3326"/>
      <c r="D18" s="3326"/>
      <c r="E18" s="3326"/>
      <c r="F18" s="3326"/>
      <c r="G18" s="3326"/>
      <c r="H18" s="3326"/>
      <c r="I18" s="3326"/>
      <c r="J18" s="3326"/>
      <c r="K18" s="3326"/>
      <c r="L18" s="3326"/>
      <c r="M18" s="3331"/>
      <c r="N18" s="3325">
        <v>15.8</v>
      </c>
      <c r="O18" s="3322">
        <f t="shared" si="12"/>
        <v>0</v>
      </c>
      <c r="P18" s="3330" t="s">
        <v>3223</v>
      </c>
      <c r="Q18" s="3325" t="s">
        <v>3224</v>
      </c>
      <c r="R18" s="3325" t="s">
        <v>3225</v>
      </c>
      <c r="S18" s="3326"/>
      <c r="T18" s="3326"/>
      <c r="Y18" s="3327">
        <f t="shared" si="0"/>
        <v>0</v>
      </c>
      <c r="Z18" s="3327">
        <f t="shared" si="1"/>
        <v>0</v>
      </c>
      <c r="AA18" s="3327">
        <f t="shared" si="2"/>
        <v>0</v>
      </c>
      <c r="AB18" s="3327">
        <f t="shared" si="3"/>
        <v>0</v>
      </c>
      <c r="AC18" s="3327">
        <f t="shared" si="4"/>
        <v>0</v>
      </c>
      <c r="AD18" s="3327">
        <f t="shared" si="5"/>
        <v>0</v>
      </c>
      <c r="AE18" s="3327">
        <f t="shared" si="6"/>
        <v>0</v>
      </c>
      <c r="AF18" s="3327">
        <f t="shared" si="7"/>
        <v>0</v>
      </c>
      <c r="AG18" s="3327">
        <f t="shared" si="8"/>
        <v>0</v>
      </c>
      <c r="AH18" s="3327">
        <f t="shared" si="9"/>
        <v>0</v>
      </c>
      <c r="AI18" s="3327">
        <f t="shared" si="10"/>
        <v>0</v>
      </c>
      <c r="AJ18" s="3327">
        <f t="shared" si="11"/>
        <v>0</v>
      </c>
    </row>
    <row r="19" spans="1:36" s="3327" customFormat="1" ht="24">
      <c r="A19" s="3326"/>
      <c r="B19" s="3326"/>
      <c r="C19" s="3326"/>
      <c r="D19" s="3326"/>
      <c r="E19" s="3326"/>
      <c r="F19" s="3326"/>
      <c r="G19" s="3326"/>
      <c r="H19" s="3326"/>
      <c r="I19" s="3326"/>
      <c r="J19" s="3326"/>
      <c r="K19" s="3326"/>
      <c r="L19" s="3326"/>
      <c r="M19" s="3331"/>
      <c r="N19" s="3325">
        <v>16.59</v>
      </c>
      <c r="O19" s="3322">
        <f t="shared" si="12"/>
        <v>0</v>
      </c>
      <c r="P19" s="3330" t="s">
        <v>3226</v>
      </c>
      <c r="Q19" s="3325" t="s">
        <v>3227</v>
      </c>
      <c r="R19" s="3325" t="s">
        <v>3228</v>
      </c>
      <c r="S19" s="3326"/>
      <c r="T19" s="3326"/>
      <c r="Y19" s="3327">
        <f t="shared" si="0"/>
        <v>0</v>
      </c>
      <c r="Z19" s="3327">
        <f t="shared" si="1"/>
        <v>0</v>
      </c>
      <c r="AA19" s="3327">
        <f t="shared" si="2"/>
        <v>0</v>
      </c>
      <c r="AB19" s="3327">
        <f t="shared" si="3"/>
        <v>0</v>
      </c>
      <c r="AC19" s="3327">
        <f t="shared" si="4"/>
        <v>0</v>
      </c>
      <c r="AD19" s="3327">
        <f t="shared" si="5"/>
        <v>0</v>
      </c>
      <c r="AE19" s="3327">
        <f t="shared" si="6"/>
        <v>0</v>
      </c>
      <c r="AF19" s="3327">
        <f t="shared" si="7"/>
        <v>0</v>
      </c>
      <c r="AG19" s="3327">
        <f t="shared" si="8"/>
        <v>0</v>
      </c>
      <c r="AH19" s="3327">
        <f t="shared" si="9"/>
        <v>0</v>
      </c>
      <c r="AI19" s="3327">
        <f t="shared" si="10"/>
        <v>0</v>
      </c>
      <c r="AJ19" s="3327">
        <f t="shared" si="11"/>
        <v>0</v>
      </c>
    </row>
    <row r="20" spans="1:36" s="3327" customFormat="1" ht="24">
      <c r="A20" s="3326"/>
      <c r="B20" s="3326"/>
      <c r="C20" s="3326"/>
      <c r="D20" s="3326"/>
      <c r="E20" s="3326"/>
      <c r="F20" s="3326"/>
      <c r="G20" s="3326"/>
      <c r="H20" s="3326"/>
      <c r="I20" s="3326"/>
      <c r="J20" s="3326"/>
      <c r="K20" s="3326"/>
      <c r="L20" s="3326"/>
      <c r="M20" s="3331"/>
      <c r="N20" s="3325">
        <v>17.420000000000002</v>
      </c>
      <c r="O20" s="3322">
        <f t="shared" si="12"/>
        <v>0</v>
      </c>
      <c r="P20" s="3330" t="s">
        <v>3229</v>
      </c>
      <c r="Q20" s="3325" t="s">
        <v>3230</v>
      </c>
      <c r="R20" s="3325" t="s">
        <v>3231</v>
      </c>
      <c r="S20" s="3326"/>
      <c r="T20" s="3326"/>
      <c r="Y20" s="3327">
        <f t="shared" si="0"/>
        <v>0</v>
      </c>
      <c r="Z20" s="3327">
        <f t="shared" si="1"/>
        <v>0</v>
      </c>
      <c r="AA20" s="3327">
        <f t="shared" si="2"/>
        <v>0</v>
      </c>
      <c r="AB20" s="3327">
        <f t="shared" si="3"/>
        <v>0</v>
      </c>
      <c r="AC20" s="3327">
        <f t="shared" si="4"/>
        <v>0</v>
      </c>
      <c r="AD20" s="3327">
        <f t="shared" si="5"/>
        <v>0</v>
      </c>
      <c r="AE20" s="3327">
        <f t="shared" si="6"/>
        <v>0</v>
      </c>
      <c r="AF20" s="3327">
        <f t="shared" si="7"/>
        <v>0</v>
      </c>
      <c r="AG20" s="3327">
        <f t="shared" si="8"/>
        <v>0</v>
      </c>
      <c r="AH20" s="3327">
        <f t="shared" si="9"/>
        <v>0</v>
      </c>
      <c r="AI20" s="3327">
        <f t="shared" si="10"/>
        <v>0</v>
      </c>
      <c r="AJ20" s="3327">
        <f t="shared" si="11"/>
        <v>0</v>
      </c>
    </row>
    <row r="21" spans="1:36" s="3327" customFormat="1" ht="24">
      <c r="A21" s="3326"/>
      <c r="B21" s="3326"/>
      <c r="C21" s="3326"/>
      <c r="D21" s="3326"/>
      <c r="E21" s="3326"/>
      <c r="F21" s="3326"/>
      <c r="G21" s="3326"/>
      <c r="H21" s="3326"/>
      <c r="I21" s="3326"/>
      <c r="J21" s="3326"/>
      <c r="K21" s="3326"/>
      <c r="L21" s="3326"/>
      <c r="M21" s="3331"/>
      <c r="N21" s="3325">
        <v>18.29</v>
      </c>
      <c r="O21" s="3322">
        <f t="shared" si="12"/>
        <v>0</v>
      </c>
      <c r="P21" s="3330" t="s">
        <v>3232</v>
      </c>
      <c r="Q21" s="3325" t="s">
        <v>3233</v>
      </c>
      <c r="R21" s="3325" t="s">
        <v>3234</v>
      </c>
      <c r="S21" s="3326"/>
      <c r="T21" s="3326"/>
      <c r="Y21" s="3327">
        <f t="shared" si="0"/>
        <v>0</v>
      </c>
      <c r="Z21" s="3327">
        <f t="shared" si="1"/>
        <v>0</v>
      </c>
      <c r="AA21" s="3327">
        <f t="shared" si="2"/>
        <v>0</v>
      </c>
      <c r="AB21" s="3327">
        <f t="shared" si="3"/>
        <v>0</v>
      </c>
      <c r="AC21" s="3327">
        <f t="shared" si="4"/>
        <v>0</v>
      </c>
      <c r="AD21" s="3327">
        <f t="shared" si="5"/>
        <v>0</v>
      </c>
      <c r="AE21" s="3327">
        <f t="shared" si="6"/>
        <v>0</v>
      </c>
      <c r="AF21" s="3327">
        <f t="shared" si="7"/>
        <v>0</v>
      </c>
      <c r="AG21" s="3327">
        <f t="shared" si="8"/>
        <v>0</v>
      </c>
      <c r="AH21" s="3327">
        <f t="shared" si="9"/>
        <v>0</v>
      </c>
      <c r="AI21" s="3327">
        <f t="shared" si="10"/>
        <v>0</v>
      </c>
      <c r="AJ21" s="3327">
        <f t="shared" si="11"/>
        <v>0</v>
      </c>
    </row>
    <row r="22" spans="1:36" s="3327" customFormat="1" ht="24">
      <c r="A22" s="3326"/>
      <c r="B22" s="3326"/>
      <c r="C22" s="3326"/>
      <c r="D22" s="3326"/>
      <c r="E22" s="3326"/>
      <c r="F22" s="3326"/>
      <c r="G22" s="3326"/>
      <c r="H22" s="3326"/>
      <c r="I22" s="3326"/>
      <c r="J22" s="3326"/>
      <c r="K22" s="3326"/>
      <c r="L22" s="3326"/>
      <c r="M22" s="3331"/>
      <c r="N22" s="3325">
        <v>19.21</v>
      </c>
      <c r="O22" s="3322">
        <f t="shared" si="12"/>
        <v>0</v>
      </c>
      <c r="P22" s="3330" t="s">
        <v>3235</v>
      </c>
      <c r="Q22" s="3325" t="s">
        <v>3236</v>
      </c>
      <c r="R22" s="3325" t="s">
        <v>3237</v>
      </c>
      <c r="S22" s="3326"/>
      <c r="T22" s="3326"/>
      <c r="Y22" s="3327">
        <f t="shared" si="0"/>
        <v>0</v>
      </c>
      <c r="Z22" s="3327">
        <f t="shared" si="1"/>
        <v>0</v>
      </c>
      <c r="AA22" s="3327">
        <f t="shared" si="2"/>
        <v>0</v>
      </c>
      <c r="AB22" s="3327">
        <f t="shared" si="3"/>
        <v>0</v>
      </c>
      <c r="AC22" s="3327">
        <f t="shared" si="4"/>
        <v>0</v>
      </c>
      <c r="AD22" s="3327">
        <f t="shared" si="5"/>
        <v>0</v>
      </c>
      <c r="AE22" s="3327">
        <f t="shared" si="6"/>
        <v>0</v>
      </c>
      <c r="AF22" s="3327">
        <f t="shared" si="7"/>
        <v>0</v>
      </c>
      <c r="AG22" s="3327">
        <f t="shared" si="8"/>
        <v>0</v>
      </c>
      <c r="AH22" s="3327">
        <f t="shared" si="9"/>
        <v>0</v>
      </c>
      <c r="AI22" s="3327">
        <f t="shared" si="10"/>
        <v>0</v>
      </c>
      <c r="AJ22" s="3327">
        <f t="shared" si="11"/>
        <v>0</v>
      </c>
    </row>
    <row r="23" spans="1:36" s="3327" customFormat="1">
      <c r="A23" s="3326"/>
      <c r="B23" s="3328"/>
      <c r="C23" s="3328"/>
      <c r="D23" s="3328"/>
      <c r="E23" s="3328"/>
      <c r="F23" s="3328"/>
      <c r="G23" s="3328"/>
      <c r="H23" s="3328"/>
      <c r="I23" s="3328"/>
      <c r="J23" s="3328"/>
      <c r="K23" s="3328"/>
      <c r="L23" s="3328"/>
      <c r="M23" s="3332"/>
      <c r="N23" s="3325">
        <v>20.170000000000002</v>
      </c>
      <c r="O23" s="3322">
        <f t="shared" si="12"/>
        <v>0</v>
      </c>
      <c r="P23" s="3330" t="s">
        <v>3238</v>
      </c>
      <c r="Q23" s="3325" t="s">
        <v>3239</v>
      </c>
      <c r="R23" s="3325" t="s">
        <v>3240</v>
      </c>
      <c r="S23" s="3328"/>
      <c r="T23" s="3328"/>
      <c r="Y23" s="3327">
        <f t="shared" si="0"/>
        <v>0</v>
      </c>
      <c r="Z23" s="3327">
        <f t="shared" si="1"/>
        <v>0</v>
      </c>
      <c r="AA23" s="3327">
        <f t="shared" si="2"/>
        <v>0</v>
      </c>
      <c r="AB23" s="3327">
        <f t="shared" si="3"/>
        <v>0</v>
      </c>
      <c r="AC23" s="3327">
        <f t="shared" si="4"/>
        <v>0</v>
      </c>
      <c r="AD23" s="3327">
        <f t="shared" si="5"/>
        <v>0</v>
      </c>
      <c r="AE23" s="3327">
        <f t="shared" si="6"/>
        <v>0</v>
      </c>
      <c r="AF23" s="3327">
        <f t="shared" si="7"/>
        <v>0</v>
      </c>
      <c r="AG23" s="3327">
        <f t="shared" si="8"/>
        <v>0</v>
      </c>
      <c r="AH23" s="3327">
        <f t="shared" si="9"/>
        <v>0</v>
      </c>
      <c r="AI23" s="3327">
        <f t="shared" si="10"/>
        <v>0</v>
      </c>
      <c r="AJ23" s="3327">
        <f t="shared" si="11"/>
        <v>0</v>
      </c>
    </row>
    <row r="24" spans="1:36" s="3327" customFormat="1" ht="24">
      <c r="A24" s="3326">
        <v>4</v>
      </c>
      <c r="B24" s="3323" t="s">
        <v>3241</v>
      </c>
      <c r="C24" s="3322" t="s">
        <v>3242</v>
      </c>
      <c r="D24" s="3322" t="s">
        <v>3243</v>
      </c>
      <c r="E24" s="3322"/>
      <c r="F24" s="3324" t="s">
        <v>3244</v>
      </c>
      <c r="G24" s="3322"/>
      <c r="H24" s="3322" t="s">
        <v>3245</v>
      </c>
      <c r="I24" s="3322">
        <v>299.39999999999998</v>
      </c>
      <c r="J24" s="3322">
        <v>209.6</v>
      </c>
      <c r="K24" s="3322" t="s">
        <v>3246</v>
      </c>
      <c r="L24" s="3322" t="s">
        <v>3247</v>
      </c>
      <c r="M24" s="3329">
        <v>5</v>
      </c>
      <c r="N24" s="3325">
        <f>425.8/30</f>
        <v>14.193333333333333</v>
      </c>
      <c r="O24" s="3322">
        <f t="shared" si="12"/>
        <v>4249.4839999999995</v>
      </c>
      <c r="P24" s="3330" t="s">
        <v>3248</v>
      </c>
      <c r="Q24" s="3325" t="s">
        <v>3249</v>
      </c>
      <c r="R24" s="3325" t="s">
        <v>3250</v>
      </c>
      <c r="S24" s="3322" t="s">
        <v>3251</v>
      </c>
      <c r="T24" s="3322" t="s">
        <v>3252</v>
      </c>
      <c r="Y24" s="3327">
        <f t="shared" si="0"/>
        <v>747909.18399999989</v>
      </c>
      <c r="Z24" s="3327">
        <f t="shared" si="1"/>
        <v>1546812.1759999997</v>
      </c>
      <c r="AA24" s="3327">
        <f t="shared" si="2"/>
        <v>1546812.1759999997</v>
      </c>
      <c r="AB24" s="3327">
        <f t="shared" si="3"/>
        <v>1546812.1759999997</v>
      </c>
      <c r="AC24" s="3327">
        <f t="shared" si="4"/>
        <v>1551061.66</v>
      </c>
      <c r="AD24" s="3327">
        <f t="shared" si="5"/>
        <v>1546812.1759999997</v>
      </c>
      <c r="AE24" s="3327">
        <f t="shared" si="6"/>
        <v>1546812.1759999997</v>
      </c>
      <c r="AF24" s="3327">
        <f t="shared" si="7"/>
        <v>1546812.1759999997</v>
      </c>
      <c r="AG24" s="3327">
        <f t="shared" si="8"/>
        <v>1551061.66</v>
      </c>
      <c r="AH24" s="3327">
        <f t="shared" si="9"/>
        <v>1546812.1759999997</v>
      </c>
      <c r="AI24" s="3327">
        <f t="shared" si="10"/>
        <v>1546812.1759999997</v>
      </c>
      <c r="AJ24" s="3327">
        <f t="shared" si="11"/>
        <v>1546812.1759999997</v>
      </c>
    </row>
    <row r="25" spans="1:36" s="3327" customFormat="1">
      <c r="A25" s="3326"/>
      <c r="B25" s="3326"/>
      <c r="C25" s="3326"/>
      <c r="D25" s="3326"/>
      <c r="E25" s="3326"/>
      <c r="F25" s="3326"/>
      <c r="G25" s="3326"/>
      <c r="H25" s="3326"/>
      <c r="I25" s="3326"/>
      <c r="J25" s="3326"/>
      <c r="K25" s="3326"/>
      <c r="L25" s="3326"/>
      <c r="M25" s="3331"/>
      <c r="N25" s="3325">
        <f>425.8/30</f>
        <v>14.193333333333333</v>
      </c>
      <c r="O25" s="3322">
        <f t="shared" si="12"/>
        <v>0</v>
      </c>
      <c r="P25" s="3330" t="s">
        <v>3253</v>
      </c>
      <c r="Q25" s="3325" t="s">
        <v>3254</v>
      </c>
      <c r="R25" s="3325" t="s">
        <v>3255</v>
      </c>
      <c r="S25" s="3326"/>
      <c r="T25" s="3326"/>
      <c r="Y25" s="3327">
        <f t="shared" si="0"/>
        <v>0</v>
      </c>
      <c r="Z25" s="3327">
        <f t="shared" si="1"/>
        <v>0</v>
      </c>
      <c r="AA25" s="3327">
        <f t="shared" si="2"/>
        <v>0</v>
      </c>
      <c r="AB25" s="3327">
        <f t="shared" si="3"/>
        <v>0</v>
      </c>
      <c r="AC25" s="3327">
        <f t="shared" si="4"/>
        <v>0</v>
      </c>
      <c r="AD25" s="3327">
        <f t="shared" si="5"/>
        <v>0</v>
      </c>
      <c r="AE25" s="3327">
        <f t="shared" si="6"/>
        <v>0</v>
      </c>
      <c r="AF25" s="3327">
        <f t="shared" si="7"/>
        <v>0</v>
      </c>
      <c r="AG25" s="3327">
        <f t="shared" si="8"/>
        <v>0</v>
      </c>
      <c r="AH25" s="3327">
        <f t="shared" si="9"/>
        <v>0</v>
      </c>
      <c r="AI25" s="3327">
        <f t="shared" si="10"/>
        <v>0</v>
      </c>
      <c r="AJ25" s="3327">
        <f t="shared" si="11"/>
        <v>0</v>
      </c>
    </row>
    <row r="26" spans="1:36" s="3327" customFormat="1">
      <c r="A26" s="3326"/>
      <c r="B26" s="3326"/>
      <c r="C26" s="3326"/>
      <c r="D26" s="3326"/>
      <c r="E26" s="3326"/>
      <c r="F26" s="3326"/>
      <c r="G26" s="3326"/>
      <c r="H26" s="3326"/>
      <c r="I26" s="3326"/>
      <c r="J26" s="3326"/>
      <c r="K26" s="3326"/>
      <c r="L26" s="3326"/>
      <c r="M26" s="3331"/>
      <c r="N26" s="3325">
        <f>456.3/30</f>
        <v>15.21</v>
      </c>
      <c r="O26" s="3322">
        <f t="shared" si="12"/>
        <v>0</v>
      </c>
      <c r="P26" s="3330" t="s">
        <v>3256</v>
      </c>
      <c r="Q26" s="3325" t="s">
        <v>3257</v>
      </c>
      <c r="R26" s="3325" t="s">
        <v>3258</v>
      </c>
      <c r="S26" s="3326"/>
      <c r="T26" s="3326"/>
      <c r="Y26" s="3327">
        <f t="shared" si="0"/>
        <v>0</v>
      </c>
      <c r="Z26" s="3327">
        <f t="shared" si="1"/>
        <v>0</v>
      </c>
      <c r="AA26" s="3327">
        <f t="shared" si="2"/>
        <v>0</v>
      </c>
      <c r="AB26" s="3327">
        <f t="shared" si="3"/>
        <v>0</v>
      </c>
      <c r="AC26" s="3327">
        <f t="shared" si="4"/>
        <v>0</v>
      </c>
      <c r="AD26" s="3327">
        <f t="shared" si="5"/>
        <v>0</v>
      </c>
      <c r="AE26" s="3327">
        <f t="shared" si="6"/>
        <v>0</v>
      </c>
      <c r="AF26" s="3327">
        <f t="shared" si="7"/>
        <v>0</v>
      </c>
      <c r="AG26" s="3327">
        <f t="shared" si="8"/>
        <v>0</v>
      </c>
      <c r="AH26" s="3327">
        <f t="shared" si="9"/>
        <v>0</v>
      </c>
      <c r="AI26" s="3327">
        <f t="shared" si="10"/>
        <v>0</v>
      </c>
      <c r="AJ26" s="3327">
        <f t="shared" si="11"/>
        <v>0</v>
      </c>
    </row>
    <row r="27" spans="1:36" s="3327" customFormat="1">
      <c r="A27" s="3326"/>
      <c r="B27" s="3326"/>
      <c r="C27" s="3326"/>
      <c r="D27" s="3326"/>
      <c r="E27" s="3326"/>
      <c r="F27" s="3326"/>
      <c r="G27" s="3326"/>
      <c r="H27" s="3326"/>
      <c r="I27" s="3326"/>
      <c r="J27" s="3326"/>
      <c r="K27" s="3326"/>
      <c r="L27" s="3326"/>
      <c r="M27" s="3331"/>
      <c r="N27" s="3325">
        <f>456.3/30</f>
        <v>15.21</v>
      </c>
      <c r="O27" s="3322">
        <f t="shared" si="12"/>
        <v>0</v>
      </c>
      <c r="P27" s="3330" t="s">
        <v>3259</v>
      </c>
      <c r="Q27" s="3325" t="s">
        <v>3260</v>
      </c>
      <c r="R27" s="3325" t="s">
        <v>3261</v>
      </c>
      <c r="S27" s="3326"/>
      <c r="T27" s="3326"/>
      <c r="Y27" s="3327">
        <f t="shared" si="0"/>
        <v>0</v>
      </c>
      <c r="Z27" s="3327">
        <f t="shared" si="1"/>
        <v>0</v>
      </c>
      <c r="AA27" s="3327">
        <f t="shared" si="2"/>
        <v>0</v>
      </c>
      <c r="AB27" s="3327">
        <f t="shared" si="3"/>
        <v>0</v>
      </c>
      <c r="AC27" s="3327">
        <f t="shared" si="4"/>
        <v>0</v>
      </c>
      <c r="AD27" s="3327">
        <f t="shared" si="5"/>
        <v>0</v>
      </c>
      <c r="AE27" s="3327">
        <f t="shared" si="6"/>
        <v>0</v>
      </c>
      <c r="AF27" s="3327">
        <f t="shared" si="7"/>
        <v>0</v>
      </c>
      <c r="AG27" s="3327">
        <f t="shared" si="8"/>
        <v>0</v>
      </c>
      <c r="AH27" s="3327">
        <f t="shared" si="9"/>
        <v>0</v>
      </c>
      <c r="AI27" s="3327">
        <f t="shared" si="10"/>
        <v>0</v>
      </c>
      <c r="AJ27" s="3327">
        <f t="shared" si="11"/>
        <v>0</v>
      </c>
    </row>
    <row r="28" spans="1:36" s="3327" customFormat="1">
      <c r="A28" s="3326"/>
      <c r="B28" s="3328"/>
      <c r="C28" s="3328"/>
      <c r="D28" s="3328"/>
      <c r="E28" s="3328"/>
      <c r="F28" s="3328"/>
      <c r="G28" s="3328"/>
      <c r="H28" s="3328"/>
      <c r="I28" s="3328"/>
      <c r="J28" s="3328"/>
      <c r="K28" s="3328"/>
      <c r="L28" s="3328"/>
      <c r="M28" s="3332"/>
      <c r="N28" s="3325">
        <f>486.7/30</f>
        <v>16.223333333333333</v>
      </c>
      <c r="O28" s="3322">
        <f t="shared" si="12"/>
        <v>0</v>
      </c>
      <c r="P28" s="3330" t="s">
        <v>3262</v>
      </c>
      <c r="Q28" s="3325" t="s">
        <v>3263</v>
      </c>
      <c r="R28" s="3325" t="s">
        <v>3264</v>
      </c>
      <c r="S28" s="3328"/>
      <c r="T28" s="3328"/>
      <c r="Y28" s="3327">
        <f t="shared" si="0"/>
        <v>0</v>
      </c>
      <c r="Z28" s="3327">
        <f t="shared" si="1"/>
        <v>0</v>
      </c>
      <c r="AA28" s="3327">
        <f t="shared" si="2"/>
        <v>0</v>
      </c>
      <c r="AB28" s="3327">
        <f t="shared" si="3"/>
        <v>0</v>
      </c>
      <c r="AC28" s="3327">
        <f t="shared" si="4"/>
        <v>0</v>
      </c>
      <c r="AD28" s="3327">
        <f t="shared" si="5"/>
        <v>0</v>
      </c>
      <c r="AE28" s="3327">
        <f t="shared" si="6"/>
        <v>0</v>
      </c>
      <c r="AF28" s="3327">
        <f t="shared" si="7"/>
        <v>0</v>
      </c>
      <c r="AG28" s="3327">
        <f t="shared" si="8"/>
        <v>0</v>
      </c>
      <c r="AH28" s="3327">
        <f t="shared" si="9"/>
        <v>0</v>
      </c>
      <c r="AI28" s="3327">
        <f t="shared" si="10"/>
        <v>0</v>
      </c>
      <c r="AJ28" s="3327">
        <f t="shared" si="11"/>
        <v>0</v>
      </c>
    </row>
    <row r="29" spans="1:36" s="3327" customFormat="1" ht="24">
      <c r="A29" s="3326">
        <v>5</v>
      </c>
      <c r="B29" s="3323" t="s">
        <v>3265</v>
      </c>
      <c r="C29" s="3322" t="s">
        <v>3266</v>
      </c>
      <c r="D29" s="3322" t="s">
        <v>3267</v>
      </c>
      <c r="E29" s="3322" t="s">
        <v>3267</v>
      </c>
      <c r="F29" s="3324" t="s">
        <v>3166</v>
      </c>
      <c r="G29" s="3322"/>
      <c r="H29" s="3322" t="s">
        <v>3268</v>
      </c>
      <c r="I29" s="3322">
        <v>93.22</v>
      </c>
      <c r="J29" s="3322">
        <v>65.25</v>
      </c>
      <c r="K29" s="3333" t="s">
        <v>3167</v>
      </c>
      <c r="L29" s="3333" t="s">
        <v>3269</v>
      </c>
      <c r="M29" s="3329">
        <v>3</v>
      </c>
      <c r="N29" s="3325">
        <f>590/30</f>
        <v>19.666666666666668</v>
      </c>
      <c r="O29" s="3322">
        <f t="shared" si="12"/>
        <v>1833.3266666666668</v>
      </c>
      <c r="P29" s="3330" t="s">
        <v>3270</v>
      </c>
      <c r="Q29" s="3325" t="s">
        <v>3271</v>
      </c>
      <c r="R29" s="3325" t="s">
        <v>3272</v>
      </c>
      <c r="S29" s="3322" t="s">
        <v>3273</v>
      </c>
      <c r="T29" s="3322" t="s">
        <v>3274</v>
      </c>
      <c r="Y29" s="3327">
        <f t="shared" si="0"/>
        <v>322665.49333333335</v>
      </c>
      <c r="Z29" s="3327">
        <f t="shared" si="1"/>
        <v>667330.90666666673</v>
      </c>
      <c r="AA29" s="3327">
        <f t="shared" si="2"/>
        <v>667330.90666666673</v>
      </c>
      <c r="AB29" s="3327">
        <f t="shared" si="3"/>
        <v>667330.90666666673</v>
      </c>
      <c r="AC29" s="3327">
        <f t="shared" si="4"/>
        <v>669164.2333333334</v>
      </c>
      <c r="AD29" s="3327">
        <f t="shared" si="5"/>
        <v>667330.90666666673</v>
      </c>
      <c r="AE29" s="3327">
        <f t="shared" si="6"/>
        <v>667330.90666666673</v>
      </c>
      <c r="AF29" s="3327">
        <f t="shared" si="7"/>
        <v>667330.90666666673</v>
      </c>
      <c r="AG29" s="3327">
        <f t="shared" si="8"/>
        <v>669164.2333333334</v>
      </c>
      <c r="AH29" s="3327">
        <f t="shared" si="9"/>
        <v>667330.90666666673</v>
      </c>
      <c r="AI29" s="3327">
        <f t="shared" si="10"/>
        <v>667330.90666666673</v>
      </c>
      <c r="AJ29" s="3327">
        <f t="shared" si="11"/>
        <v>667330.90666666673</v>
      </c>
    </row>
    <row r="30" spans="1:36" s="3327" customFormat="1">
      <c r="A30" s="3326"/>
      <c r="B30" s="3326"/>
      <c r="C30" s="3326"/>
      <c r="D30" s="3326"/>
      <c r="E30" s="3326"/>
      <c r="F30" s="3326"/>
      <c r="G30" s="3326"/>
      <c r="H30" s="3326"/>
      <c r="I30" s="3326"/>
      <c r="J30" s="3326"/>
      <c r="K30" s="3334"/>
      <c r="L30" s="3334"/>
      <c r="M30" s="3331"/>
      <c r="N30" s="3325">
        <f>620/30</f>
        <v>20.666666666666668</v>
      </c>
      <c r="O30" s="3322">
        <f t="shared" si="12"/>
        <v>0</v>
      </c>
      <c r="P30" s="3330" t="s">
        <v>3275</v>
      </c>
      <c r="Q30" s="3325" t="s">
        <v>3276</v>
      </c>
      <c r="R30" s="3325" t="s">
        <v>3277</v>
      </c>
      <c r="S30" s="3326"/>
      <c r="T30" s="3326"/>
      <c r="Y30" s="3327">
        <f t="shared" si="0"/>
        <v>0</v>
      </c>
      <c r="Z30" s="3327">
        <f t="shared" si="1"/>
        <v>0</v>
      </c>
      <c r="AA30" s="3327">
        <f t="shared" si="2"/>
        <v>0</v>
      </c>
      <c r="AB30" s="3327">
        <f t="shared" si="3"/>
        <v>0</v>
      </c>
      <c r="AC30" s="3327">
        <f t="shared" si="4"/>
        <v>0</v>
      </c>
      <c r="AD30" s="3327">
        <f t="shared" si="5"/>
        <v>0</v>
      </c>
      <c r="AE30" s="3327">
        <f t="shared" si="6"/>
        <v>0</v>
      </c>
      <c r="AF30" s="3327">
        <f t="shared" si="7"/>
        <v>0</v>
      </c>
      <c r="AG30" s="3327">
        <f t="shared" si="8"/>
        <v>0</v>
      </c>
      <c r="AH30" s="3327">
        <f t="shared" si="9"/>
        <v>0</v>
      </c>
      <c r="AI30" s="3327">
        <f t="shared" si="10"/>
        <v>0</v>
      </c>
      <c r="AJ30" s="3327">
        <f t="shared" si="11"/>
        <v>0</v>
      </c>
    </row>
    <row r="31" spans="1:36" s="3327" customFormat="1">
      <c r="A31" s="3326"/>
      <c r="B31" s="3328"/>
      <c r="C31" s="3328"/>
      <c r="D31" s="3328"/>
      <c r="E31" s="3328"/>
      <c r="F31" s="3328"/>
      <c r="G31" s="3328"/>
      <c r="H31" s="3328"/>
      <c r="I31" s="3328"/>
      <c r="J31" s="3328"/>
      <c r="K31" s="3335"/>
      <c r="L31" s="3335"/>
      <c r="M31" s="3332"/>
      <c r="N31" s="3325">
        <f>650/30</f>
        <v>21.666666666666668</v>
      </c>
      <c r="O31" s="3322">
        <f t="shared" si="12"/>
        <v>0</v>
      </c>
      <c r="P31" s="3330" t="s">
        <v>3278</v>
      </c>
      <c r="Q31" s="3325" t="s">
        <v>3279</v>
      </c>
      <c r="R31" s="3325" t="s">
        <v>3280</v>
      </c>
      <c r="S31" s="3328"/>
      <c r="T31" s="3328"/>
      <c r="Y31" s="3327">
        <f t="shared" si="0"/>
        <v>0</v>
      </c>
      <c r="Z31" s="3327">
        <f t="shared" si="1"/>
        <v>0</v>
      </c>
      <c r="AA31" s="3327">
        <f t="shared" si="2"/>
        <v>0</v>
      </c>
      <c r="AB31" s="3327">
        <f t="shared" si="3"/>
        <v>0</v>
      </c>
      <c r="AC31" s="3327">
        <f t="shared" si="4"/>
        <v>0</v>
      </c>
      <c r="AD31" s="3327">
        <f t="shared" si="5"/>
        <v>0</v>
      </c>
      <c r="AE31" s="3327">
        <f t="shared" si="6"/>
        <v>0</v>
      </c>
      <c r="AF31" s="3327">
        <f t="shared" si="7"/>
        <v>0</v>
      </c>
      <c r="AG31" s="3327">
        <f t="shared" si="8"/>
        <v>0</v>
      </c>
      <c r="AH31" s="3327">
        <f t="shared" si="9"/>
        <v>0</v>
      </c>
      <c r="AI31" s="3327">
        <f t="shared" si="10"/>
        <v>0</v>
      </c>
      <c r="AJ31" s="3327">
        <f t="shared" si="11"/>
        <v>0</v>
      </c>
    </row>
    <row r="32" spans="1:36" s="3327" customFormat="1" ht="24">
      <c r="A32" s="3326">
        <v>6</v>
      </c>
      <c r="B32" s="3323" t="s">
        <v>3281</v>
      </c>
      <c r="C32" s="3322" t="s">
        <v>3282</v>
      </c>
      <c r="D32" s="3322" t="s">
        <v>3283</v>
      </c>
      <c r="E32" s="3322" t="s">
        <v>3282</v>
      </c>
      <c r="F32" s="3322"/>
      <c r="G32" s="3324" t="s">
        <v>3166</v>
      </c>
      <c r="H32" s="3322" t="s">
        <v>3284</v>
      </c>
      <c r="I32" s="3322">
        <v>144.58000000000001</v>
      </c>
      <c r="J32" s="3322">
        <v>101.21</v>
      </c>
      <c r="K32" s="3322"/>
      <c r="L32" s="3322"/>
      <c r="M32" s="3329">
        <v>3</v>
      </c>
      <c r="N32" s="3325">
        <f>494/30</f>
        <v>16.466666666666665</v>
      </c>
      <c r="O32" s="3322">
        <f t="shared" si="12"/>
        <v>2380.7506666666668</v>
      </c>
      <c r="P32" s="3330" t="s">
        <v>3285</v>
      </c>
      <c r="Q32" s="3325" t="s">
        <v>3286</v>
      </c>
      <c r="R32" s="3322"/>
      <c r="S32" s="3322" t="s">
        <v>3287</v>
      </c>
      <c r="T32" s="3322" t="s">
        <v>3288</v>
      </c>
      <c r="Y32" s="3327">
        <f t="shared" si="0"/>
        <v>419012.11733333336</v>
      </c>
      <c r="Z32" s="3327">
        <f t="shared" si="1"/>
        <v>866593.24266666675</v>
      </c>
      <c r="AA32" s="3327">
        <f t="shared" si="2"/>
        <v>866593.24266666675</v>
      </c>
      <c r="AB32" s="3327">
        <f t="shared" si="3"/>
        <v>866593.24266666675</v>
      </c>
      <c r="AC32" s="3327">
        <f t="shared" si="4"/>
        <v>868973.9933333334</v>
      </c>
      <c r="AD32" s="3327">
        <f t="shared" si="5"/>
        <v>866593.24266666675</v>
      </c>
      <c r="AE32" s="3327">
        <f t="shared" si="6"/>
        <v>866593.24266666675</v>
      </c>
      <c r="AF32" s="3327">
        <f t="shared" si="7"/>
        <v>866593.24266666675</v>
      </c>
      <c r="AG32" s="3327">
        <f t="shared" si="8"/>
        <v>868973.9933333334</v>
      </c>
      <c r="AH32" s="3327">
        <f t="shared" si="9"/>
        <v>866593.24266666675</v>
      </c>
      <c r="AI32" s="3327">
        <f t="shared" si="10"/>
        <v>866593.24266666675</v>
      </c>
      <c r="AJ32" s="3327">
        <f t="shared" si="11"/>
        <v>866593.24266666675</v>
      </c>
    </row>
    <row r="33" spans="1:36" s="3327" customFormat="1">
      <c r="A33" s="3326"/>
      <c r="B33" s="3326"/>
      <c r="C33" s="3326"/>
      <c r="D33" s="3326"/>
      <c r="E33" s="3326"/>
      <c r="F33" s="3326"/>
      <c r="G33" s="3326"/>
      <c r="H33" s="3326"/>
      <c r="I33" s="3326"/>
      <c r="J33" s="3326"/>
      <c r="K33" s="3326"/>
      <c r="L33" s="3326"/>
      <c r="M33" s="3331"/>
      <c r="N33" s="3325">
        <f>494/30</f>
        <v>16.466666666666665</v>
      </c>
      <c r="O33" s="3322">
        <f t="shared" si="12"/>
        <v>0</v>
      </c>
      <c r="P33" s="3330" t="s">
        <v>3289</v>
      </c>
      <c r="Q33" s="3325" t="s">
        <v>3290</v>
      </c>
      <c r="R33" s="3326"/>
      <c r="S33" s="3326"/>
      <c r="T33" s="3326"/>
      <c r="Y33" s="3327">
        <f t="shared" si="0"/>
        <v>0</v>
      </c>
      <c r="Z33" s="3327">
        <f t="shared" si="1"/>
        <v>0</v>
      </c>
      <c r="AA33" s="3327">
        <f t="shared" si="2"/>
        <v>0</v>
      </c>
      <c r="AB33" s="3327">
        <f t="shared" si="3"/>
        <v>0</v>
      </c>
      <c r="AC33" s="3327">
        <f t="shared" si="4"/>
        <v>0</v>
      </c>
      <c r="AD33" s="3327">
        <f t="shared" si="5"/>
        <v>0</v>
      </c>
      <c r="AE33" s="3327">
        <f t="shared" si="6"/>
        <v>0</v>
      </c>
      <c r="AF33" s="3327">
        <f t="shared" si="7"/>
        <v>0</v>
      </c>
      <c r="AG33" s="3327">
        <f t="shared" si="8"/>
        <v>0</v>
      </c>
      <c r="AH33" s="3327">
        <f t="shared" si="9"/>
        <v>0</v>
      </c>
      <c r="AI33" s="3327">
        <f t="shared" si="10"/>
        <v>0</v>
      </c>
      <c r="AJ33" s="3327">
        <f t="shared" si="11"/>
        <v>0</v>
      </c>
    </row>
    <row r="34" spans="1:36" s="3327" customFormat="1">
      <c r="A34" s="3326"/>
      <c r="B34" s="3328"/>
      <c r="C34" s="3328"/>
      <c r="D34" s="3328"/>
      <c r="E34" s="3328"/>
      <c r="F34" s="3328"/>
      <c r="G34" s="3328"/>
      <c r="H34" s="3328"/>
      <c r="I34" s="3328"/>
      <c r="J34" s="3328"/>
      <c r="K34" s="3328"/>
      <c r="L34" s="3328"/>
      <c r="M34" s="3332"/>
      <c r="N34" s="3325">
        <f>524/30</f>
        <v>17.466666666666665</v>
      </c>
      <c r="O34" s="3322">
        <f t="shared" si="12"/>
        <v>0</v>
      </c>
      <c r="P34" s="3330" t="s">
        <v>3291</v>
      </c>
      <c r="Q34" s="3325" t="s">
        <v>3292</v>
      </c>
      <c r="R34" s="3328"/>
      <c r="S34" s="3328"/>
      <c r="T34" s="3328"/>
      <c r="Y34" s="3327">
        <f t="shared" si="0"/>
        <v>0</v>
      </c>
      <c r="Z34" s="3327">
        <f t="shared" si="1"/>
        <v>0</v>
      </c>
      <c r="AA34" s="3327">
        <f t="shared" si="2"/>
        <v>0</v>
      </c>
      <c r="AB34" s="3327">
        <f t="shared" si="3"/>
        <v>0</v>
      </c>
      <c r="AC34" s="3327">
        <f t="shared" si="4"/>
        <v>0</v>
      </c>
      <c r="AD34" s="3327">
        <f t="shared" si="5"/>
        <v>0</v>
      </c>
      <c r="AE34" s="3327">
        <f t="shared" si="6"/>
        <v>0</v>
      </c>
      <c r="AF34" s="3327">
        <f t="shared" si="7"/>
        <v>0</v>
      </c>
      <c r="AG34" s="3327">
        <f t="shared" si="8"/>
        <v>0</v>
      </c>
      <c r="AH34" s="3327">
        <f t="shared" si="9"/>
        <v>0</v>
      </c>
      <c r="AI34" s="3327">
        <f t="shared" si="10"/>
        <v>0</v>
      </c>
      <c r="AJ34" s="3327">
        <f t="shared" si="11"/>
        <v>0</v>
      </c>
    </row>
    <row r="35" spans="1:36" s="3327" customFormat="1" ht="24">
      <c r="A35" s="3326">
        <v>7</v>
      </c>
      <c r="B35" s="3323" t="s">
        <v>3293</v>
      </c>
      <c r="C35" s="3322" t="s">
        <v>3294</v>
      </c>
      <c r="D35" s="3322" t="s">
        <v>3295</v>
      </c>
      <c r="E35" s="3322"/>
      <c r="F35" s="3324" t="s">
        <v>3166</v>
      </c>
      <c r="G35" s="3322"/>
      <c r="H35" s="3322" t="s">
        <v>3296</v>
      </c>
      <c r="I35" s="3322">
        <v>212.4</v>
      </c>
      <c r="J35" s="3322">
        <v>148.69999999999999</v>
      </c>
      <c r="K35" s="3322" t="s">
        <v>3297</v>
      </c>
      <c r="L35" s="3322" t="s">
        <v>3269</v>
      </c>
      <c r="M35" s="3329">
        <v>6</v>
      </c>
      <c r="N35" s="3325">
        <f>180/30</f>
        <v>6</v>
      </c>
      <c r="O35" s="3322">
        <f t="shared" si="12"/>
        <v>1274.4000000000001</v>
      </c>
      <c r="P35" s="3330" t="s">
        <v>3298</v>
      </c>
      <c r="Q35" s="3325" t="s">
        <v>3299</v>
      </c>
      <c r="R35" s="3325" t="s">
        <v>3300</v>
      </c>
      <c r="S35" s="3322">
        <v>14868</v>
      </c>
      <c r="T35" s="3322">
        <v>2124</v>
      </c>
      <c r="Y35" s="3327">
        <f t="shared" si="0"/>
        <v>224294.40000000002</v>
      </c>
      <c r="Z35" s="3327">
        <f t="shared" si="1"/>
        <v>463881.60000000003</v>
      </c>
      <c r="AA35" s="3327">
        <f t="shared" si="2"/>
        <v>463881.60000000003</v>
      </c>
      <c r="AB35" s="3327">
        <f t="shared" si="3"/>
        <v>463881.60000000003</v>
      </c>
      <c r="AC35" s="3327">
        <f t="shared" si="4"/>
        <v>465156.00000000006</v>
      </c>
      <c r="AD35" s="3327">
        <f t="shared" si="5"/>
        <v>463881.60000000003</v>
      </c>
      <c r="AE35" s="3327">
        <f t="shared" si="6"/>
        <v>463881.60000000003</v>
      </c>
      <c r="AF35" s="3327">
        <f t="shared" si="7"/>
        <v>463881.60000000003</v>
      </c>
      <c r="AG35" s="3327">
        <f t="shared" si="8"/>
        <v>465156.00000000006</v>
      </c>
      <c r="AH35" s="3327">
        <f t="shared" si="9"/>
        <v>463881.60000000003</v>
      </c>
      <c r="AI35" s="3327">
        <f t="shared" si="10"/>
        <v>463881.60000000003</v>
      </c>
      <c r="AJ35" s="3327">
        <f t="shared" si="11"/>
        <v>463881.60000000003</v>
      </c>
    </row>
    <row r="36" spans="1:36" s="3327" customFormat="1">
      <c r="A36" s="3326"/>
      <c r="B36" s="3326"/>
      <c r="C36" s="3326"/>
      <c r="D36" s="3326"/>
      <c r="E36" s="3326"/>
      <c r="F36" s="3326"/>
      <c r="G36" s="3326"/>
      <c r="H36" s="3326" t="s">
        <v>3301</v>
      </c>
      <c r="I36" s="3326"/>
      <c r="J36" s="3326"/>
      <c r="K36" s="3326"/>
      <c r="L36" s="3326"/>
      <c r="M36" s="3331"/>
      <c r="N36" s="3325">
        <f>180/30</f>
        <v>6</v>
      </c>
      <c r="O36" s="3322">
        <f t="shared" si="12"/>
        <v>0</v>
      </c>
      <c r="P36" s="3330" t="s">
        <v>3302</v>
      </c>
      <c r="Q36" s="3325" t="s">
        <v>3303</v>
      </c>
      <c r="R36" s="3325" t="s">
        <v>3304</v>
      </c>
      <c r="S36" s="3326"/>
      <c r="T36" s="3326"/>
      <c r="Y36" s="3327">
        <f t="shared" si="0"/>
        <v>0</v>
      </c>
      <c r="Z36" s="3327">
        <f t="shared" si="1"/>
        <v>0</v>
      </c>
      <c r="AA36" s="3327">
        <f t="shared" si="2"/>
        <v>0</v>
      </c>
      <c r="AB36" s="3327">
        <f t="shared" si="3"/>
        <v>0</v>
      </c>
      <c r="AC36" s="3327">
        <f t="shared" si="4"/>
        <v>0</v>
      </c>
      <c r="AD36" s="3327">
        <f t="shared" si="5"/>
        <v>0</v>
      </c>
      <c r="AE36" s="3327">
        <f t="shared" si="6"/>
        <v>0</v>
      </c>
      <c r="AF36" s="3327">
        <f t="shared" si="7"/>
        <v>0</v>
      </c>
      <c r="AG36" s="3327">
        <f t="shared" si="8"/>
        <v>0</v>
      </c>
      <c r="AH36" s="3327">
        <f t="shared" si="9"/>
        <v>0</v>
      </c>
      <c r="AI36" s="3327">
        <f t="shared" si="10"/>
        <v>0</v>
      </c>
      <c r="AJ36" s="3327">
        <f t="shared" si="11"/>
        <v>0</v>
      </c>
    </row>
    <row r="37" spans="1:36" s="3327" customFormat="1">
      <c r="A37" s="3326"/>
      <c r="B37" s="3326"/>
      <c r="C37" s="3326"/>
      <c r="D37" s="3326"/>
      <c r="E37" s="3326"/>
      <c r="F37" s="3326"/>
      <c r="G37" s="3326"/>
      <c r="H37" s="3326"/>
      <c r="I37" s="3326"/>
      <c r="J37" s="3326"/>
      <c r="K37" s="3326"/>
      <c r="L37" s="3326"/>
      <c r="M37" s="3331"/>
      <c r="N37" s="3325">
        <f>190/30</f>
        <v>6.333333333333333</v>
      </c>
      <c r="O37" s="3322">
        <f t="shared" si="12"/>
        <v>0</v>
      </c>
      <c r="P37" s="3330" t="s">
        <v>3305</v>
      </c>
      <c r="Q37" s="3325" t="s">
        <v>3306</v>
      </c>
      <c r="R37" s="3325" t="s">
        <v>3307</v>
      </c>
      <c r="S37" s="3326"/>
      <c r="T37" s="3326"/>
      <c r="Y37" s="3327">
        <f t="shared" si="0"/>
        <v>0</v>
      </c>
      <c r="Z37" s="3327">
        <f t="shared" si="1"/>
        <v>0</v>
      </c>
      <c r="AA37" s="3327">
        <f t="shared" si="2"/>
        <v>0</v>
      </c>
      <c r="AB37" s="3327">
        <f t="shared" si="3"/>
        <v>0</v>
      </c>
      <c r="AC37" s="3327">
        <f t="shared" si="4"/>
        <v>0</v>
      </c>
      <c r="AD37" s="3327">
        <f t="shared" si="5"/>
        <v>0</v>
      </c>
      <c r="AE37" s="3327">
        <f t="shared" si="6"/>
        <v>0</v>
      </c>
      <c r="AF37" s="3327">
        <f t="shared" si="7"/>
        <v>0</v>
      </c>
      <c r="AG37" s="3327">
        <f t="shared" si="8"/>
        <v>0</v>
      </c>
      <c r="AH37" s="3327">
        <f t="shared" si="9"/>
        <v>0</v>
      </c>
      <c r="AI37" s="3327">
        <f t="shared" si="10"/>
        <v>0</v>
      </c>
      <c r="AJ37" s="3327">
        <f t="shared" si="11"/>
        <v>0</v>
      </c>
    </row>
    <row r="38" spans="1:36" s="3327" customFormat="1">
      <c r="A38" s="3326"/>
      <c r="B38" s="3326"/>
      <c r="C38" s="3326"/>
      <c r="D38" s="3326"/>
      <c r="E38" s="3326"/>
      <c r="F38" s="3326"/>
      <c r="G38" s="3326"/>
      <c r="H38" s="3326"/>
      <c r="I38" s="3326"/>
      <c r="J38" s="3326"/>
      <c r="K38" s="3326"/>
      <c r="L38" s="3326"/>
      <c r="M38" s="3331"/>
      <c r="N38" s="3325">
        <f>190/30</f>
        <v>6.333333333333333</v>
      </c>
      <c r="O38" s="3322">
        <f t="shared" si="12"/>
        <v>0</v>
      </c>
      <c r="P38" s="3330" t="s">
        <v>3308</v>
      </c>
      <c r="Q38" s="3325" t="s">
        <v>3309</v>
      </c>
      <c r="R38" s="3325" t="s">
        <v>3310</v>
      </c>
      <c r="S38" s="3326"/>
      <c r="T38" s="3326"/>
      <c r="Y38" s="3327">
        <f t="shared" si="0"/>
        <v>0</v>
      </c>
      <c r="Z38" s="3327">
        <f t="shared" si="1"/>
        <v>0</v>
      </c>
      <c r="AA38" s="3327">
        <f t="shared" si="2"/>
        <v>0</v>
      </c>
      <c r="AB38" s="3327">
        <f t="shared" si="3"/>
        <v>0</v>
      </c>
      <c r="AC38" s="3327">
        <f t="shared" si="4"/>
        <v>0</v>
      </c>
      <c r="AD38" s="3327">
        <f t="shared" si="5"/>
        <v>0</v>
      </c>
      <c r="AE38" s="3327">
        <f t="shared" si="6"/>
        <v>0</v>
      </c>
      <c r="AF38" s="3327">
        <f t="shared" si="7"/>
        <v>0</v>
      </c>
      <c r="AG38" s="3327">
        <f t="shared" si="8"/>
        <v>0</v>
      </c>
      <c r="AH38" s="3327">
        <f t="shared" si="9"/>
        <v>0</v>
      </c>
      <c r="AI38" s="3327">
        <f t="shared" si="10"/>
        <v>0</v>
      </c>
      <c r="AJ38" s="3327">
        <f t="shared" si="11"/>
        <v>0</v>
      </c>
    </row>
    <row r="39" spans="1:36" s="3327" customFormat="1">
      <c r="A39" s="3326"/>
      <c r="B39" s="3326"/>
      <c r="C39" s="3326"/>
      <c r="D39" s="3326"/>
      <c r="E39" s="3326"/>
      <c r="F39" s="3326"/>
      <c r="G39" s="3326"/>
      <c r="H39" s="3326"/>
      <c r="I39" s="3326"/>
      <c r="J39" s="3326"/>
      <c r="K39" s="3326"/>
      <c r="L39" s="3326"/>
      <c r="M39" s="3331"/>
      <c r="N39" s="3325">
        <f>200/30</f>
        <v>6.666666666666667</v>
      </c>
      <c r="O39" s="3322">
        <f t="shared" si="12"/>
        <v>0</v>
      </c>
      <c r="P39" s="3330" t="s">
        <v>3311</v>
      </c>
      <c r="Q39" s="3325" t="s">
        <v>3312</v>
      </c>
      <c r="R39" s="3325" t="s">
        <v>3313</v>
      </c>
      <c r="S39" s="3326"/>
      <c r="T39" s="3326"/>
      <c r="Y39" s="3327">
        <f t="shared" si="0"/>
        <v>0</v>
      </c>
      <c r="Z39" s="3327">
        <f t="shared" si="1"/>
        <v>0</v>
      </c>
      <c r="AA39" s="3327">
        <f t="shared" si="2"/>
        <v>0</v>
      </c>
      <c r="AB39" s="3327">
        <f t="shared" si="3"/>
        <v>0</v>
      </c>
      <c r="AC39" s="3327">
        <f t="shared" si="4"/>
        <v>0</v>
      </c>
      <c r="AD39" s="3327">
        <f t="shared" si="5"/>
        <v>0</v>
      </c>
      <c r="AE39" s="3327">
        <f t="shared" si="6"/>
        <v>0</v>
      </c>
      <c r="AF39" s="3327">
        <f t="shared" si="7"/>
        <v>0</v>
      </c>
      <c r="AG39" s="3327">
        <f t="shared" si="8"/>
        <v>0</v>
      </c>
      <c r="AH39" s="3327">
        <f t="shared" si="9"/>
        <v>0</v>
      </c>
      <c r="AI39" s="3327">
        <f t="shared" si="10"/>
        <v>0</v>
      </c>
      <c r="AJ39" s="3327">
        <f t="shared" si="11"/>
        <v>0</v>
      </c>
    </row>
    <row r="40" spans="1:36" s="3327" customFormat="1">
      <c r="A40" s="3326"/>
      <c r="B40" s="3328"/>
      <c r="C40" s="3328"/>
      <c r="D40" s="3328"/>
      <c r="E40" s="3328"/>
      <c r="F40" s="3328"/>
      <c r="G40" s="3328"/>
      <c r="H40" s="3328"/>
      <c r="I40" s="3328"/>
      <c r="J40" s="3328"/>
      <c r="K40" s="3328"/>
      <c r="L40" s="3328"/>
      <c r="M40" s="3332"/>
      <c r="N40" s="3325">
        <f>200/30</f>
        <v>6.666666666666667</v>
      </c>
      <c r="O40" s="3322">
        <f t="shared" si="12"/>
        <v>0</v>
      </c>
      <c r="P40" s="3330" t="s">
        <v>3314</v>
      </c>
      <c r="Q40" s="3325" t="s">
        <v>3315</v>
      </c>
      <c r="R40" s="3325" t="s">
        <v>3316</v>
      </c>
      <c r="S40" s="3328"/>
      <c r="T40" s="3328"/>
      <c r="Y40" s="3327">
        <f t="shared" si="0"/>
        <v>0</v>
      </c>
      <c r="Z40" s="3327">
        <f t="shared" si="1"/>
        <v>0</v>
      </c>
      <c r="AA40" s="3327">
        <f t="shared" si="2"/>
        <v>0</v>
      </c>
      <c r="AB40" s="3327">
        <f t="shared" si="3"/>
        <v>0</v>
      </c>
      <c r="AC40" s="3327">
        <f t="shared" si="4"/>
        <v>0</v>
      </c>
      <c r="AD40" s="3327">
        <f t="shared" si="5"/>
        <v>0</v>
      </c>
      <c r="AE40" s="3327">
        <f t="shared" si="6"/>
        <v>0</v>
      </c>
      <c r="AF40" s="3327">
        <f t="shared" si="7"/>
        <v>0</v>
      </c>
      <c r="AG40" s="3327">
        <f t="shared" si="8"/>
        <v>0</v>
      </c>
      <c r="AH40" s="3327">
        <f t="shared" si="9"/>
        <v>0</v>
      </c>
      <c r="AI40" s="3327">
        <f t="shared" si="10"/>
        <v>0</v>
      </c>
      <c r="AJ40" s="3327">
        <f t="shared" si="11"/>
        <v>0</v>
      </c>
    </row>
    <row r="41" spans="1:36" s="3327" customFormat="1" ht="24">
      <c r="A41" s="3326">
        <v>8</v>
      </c>
      <c r="B41" s="3323" t="s">
        <v>3317</v>
      </c>
      <c r="C41" s="3322" t="s">
        <v>3318</v>
      </c>
      <c r="D41" s="3322" t="s">
        <v>3319</v>
      </c>
      <c r="E41" s="3322" t="s">
        <v>3319</v>
      </c>
      <c r="F41" s="3322"/>
      <c r="G41" s="3324" t="s">
        <v>3166</v>
      </c>
      <c r="H41" s="3322" t="s">
        <v>3320</v>
      </c>
      <c r="I41" s="3322">
        <v>53.27</v>
      </c>
      <c r="J41" s="3322">
        <v>37.29</v>
      </c>
      <c r="K41" s="3322" t="s">
        <v>3321</v>
      </c>
      <c r="L41" s="3322" t="s">
        <v>3269</v>
      </c>
      <c r="M41" s="3329">
        <v>2</v>
      </c>
      <c r="N41" s="3325">
        <f>280/30</f>
        <v>9.3333333333333339</v>
      </c>
      <c r="O41" s="3322">
        <f t="shared" si="12"/>
        <v>497.18666666666672</v>
      </c>
      <c r="P41" s="3330" t="s">
        <v>3322</v>
      </c>
      <c r="Q41" s="3325" t="s">
        <v>3323</v>
      </c>
      <c r="R41" s="3325" t="s">
        <v>3324</v>
      </c>
      <c r="S41" s="3322">
        <v>3728.9</v>
      </c>
      <c r="T41" s="3322">
        <v>532.70000000000005</v>
      </c>
      <c r="Y41" s="3327">
        <f t="shared" si="0"/>
        <v>87504.853333333347</v>
      </c>
      <c r="Z41" s="3327">
        <f t="shared" si="1"/>
        <v>180975.94666666668</v>
      </c>
      <c r="AA41" s="3327">
        <f t="shared" si="2"/>
        <v>180975.94666666668</v>
      </c>
      <c r="AB41" s="3327">
        <f t="shared" si="3"/>
        <v>180975.94666666668</v>
      </c>
      <c r="AC41" s="3327">
        <f t="shared" si="4"/>
        <v>181473.13333333336</v>
      </c>
      <c r="AD41" s="3327">
        <f t="shared" si="5"/>
        <v>180975.94666666668</v>
      </c>
      <c r="AE41" s="3327">
        <f t="shared" si="6"/>
        <v>180975.94666666668</v>
      </c>
      <c r="AF41" s="3327">
        <f t="shared" si="7"/>
        <v>180975.94666666668</v>
      </c>
      <c r="AG41" s="3327">
        <f t="shared" si="8"/>
        <v>181473.13333333336</v>
      </c>
      <c r="AH41" s="3327">
        <f t="shared" si="9"/>
        <v>180975.94666666668</v>
      </c>
      <c r="AI41" s="3327">
        <f t="shared" si="10"/>
        <v>180975.94666666668</v>
      </c>
      <c r="AJ41" s="3327">
        <f t="shared" si="11"/>
        <v>180975.94666666668</v>
      </c>
    </row>
    <row r="42" spans="1:36" s="3327" customFormat="1">
      <c r="A42" s="3326"/>
      <c r="B42" s="3328"/>
      <c r="C42" s="3328"/>
      <c r="D42" s="3328"/>
      <c r="E42" s="3328"/>
      <c r="F42" s="3328"/>
      <c r="G42" s="3328"/>
      <c r="H42" s="3328"/>
      <c r="I42" s="3328"/>
      <c r="J42" s="3328"/>
      <c r="K42" s="3328"/>
      <c r="L42" s="3328"/>
      <c r="M42" s="3332"/>
      <c r="N42" s="3325">
        <f>310/30</f>
        <v>10.333333333333334</v>
      </c>
      <c r="O42" s="3322">
        <f t="shared" si="12"/>
        <v>0</v>
      </c>
      <c r="P42" s="3330" t="s">
        <v>3325</v>
      </c>
      <c r="Q42" s="3325" t="s">
        <v>3326</v>
      </c>
      <c r="R42" s="3325" t="s">
        <v>3327</v>
      </c>
      <c r="S42" s="3328"/>
      <c r="T42" s="3328"/>
      <c r="Y42" s="3327">
        <f t="shared" si="0"/>
        <v>0</v>
      </c>
      <c r="Z42" s="3327">
        <f t="shared" si="1"/>
        <v>0</v>
      </c>
      <c r="AA42" s="3327">
        <f t="shared" si="2"/>
        <v>0</v>
      </c>
      <c r="AB42" s="3327">
        <f t="shared" si="3"/>
        <v>0</v>
      </c>
      <c r="AC42" s="3327">
        <f t="shared" si="4"/>
        <v>0</v>
      </c>
      <c r="AD42" s="3327">
        <f t="shared" si="5"/>
        <v>0</v>
      </c>
      <c r="AE42" s="3327">
        <f t="shared" si="6"/>
        <v>0</v>
      </c>
      <c r="AF42" s="3327">
        <f t="shared" si="7"/>
        <v>0</v>
      </c>
      <c r="AG42" s="3327">
        <f t="shared" si="8"/>
        <v>0</v>
      </c>
      <c r="AH42" s="3327">
        <f t="shared" si="9"/>
        <v>0</v>
      </c>
      <c r="AI42" s="3327">
        <f t="shared" si="10"/>
        <v>0</v>
      </c>
      <c r="AJ42" s="3327">
        <f t="shared" si="11"/>
        <v>0</v>
      </c>
    </row>
    <row r="43" spans="1:36" s="3327" customFormat="1" ht="24">
      <c r="A43" s="3326">
        <v>9</v>
      </c>
      <c r="B43" s="3323" t="s">
        <v>3328</v>
      </c>
      <c r="C43" s="3322" t="s">
        <v>3329</v>
      </c>
      <c r="D43" s="3322" t="s">
        <v>3330</v>
      </c>
      <c r="E43" s="3322"/>
      <c r="F43" s="3322"/>
      <c r="G43" s="3324" t="s">
        <v>3166</v>
      </c>
      <c r="H43" s="3322" t="s">
        <v>3331</v>
      </c>
      <c r="I43" s="3322">
        <v>377.66</v>
      </c>
      <c r="J43" s="3322">
        <v>264.36</v>
      </c>
      <c r="K43" s="3322" t="s">
        <v>3332</v>
      </c>
      <c r="L43" s="3322" t="s">
        <v>3269</v>
      </c>
      <c r="M43" s="3329">
        <v>5</v>
      </c>
      <c r="N43" s="3325">
        <f>330/30</f>
        <v>11</v>
      </c>
      <c r="O43" s="3322">
        <f t="shared" si="12"/>
        <v>4154.26</v>
      </c>
      <c r="P43" s="3334" t="s">
        <v>3333</v>
      </c>
      <c r="Q43" s="3326" t="s">
        <v>3334</v>
      </c>
      <c r="R43" s="3326" t="s">
        <v>3211</v>
      </c>
      <c r="S43" s="3322">
        <v>26436</v>
      </c>
      <c r="T43" s="3322">
        <v>3777</v>
      </c>
      <c r="Y43" s="3327">
        <f t="shared" si="0"/>
        <v>731149.76</v>
      </c>
      <c r="Z43" s="3327">
        <f t="shared" si="1"/>
        <v>1512150.6400000001</v>
      </c>
      <c r="AA43" s="3327">
        <f t="shared" si="2"/>
        <v>1512150.6400000001</v>
      </c>
      <c r="AB43" s="3327">
        <f t="shared" si="3"/>
        <v>1512150.6400000001</v>
      </c>
      <c r="AC43" s="3327">
        <f t="shared" si="4"/>
        <v>1516304.9000000001</v>
      </c>
      <c r="AD43" s="3327">
        <f t="shared" si="5"/>
        <v>1512150.6400000001</v>
      </c>
      <c r="AE43" s="3327">
        <f t="shared" si="6"/>
        <v>1512150.6400000001</v>
      </c>
      <c r="AF43" s="3327">
        <f t="shared" si="7"/>
        <v>1512150.6400000001</v>
      </c>
      <c r="AG43" s="3327">
        <f t="shared" si="8"/>
        <v>1516304.9000000001</v>
      </c>
      <c r="AH43" s="3327">
        <f t="shared" si="9"/>
        <v>1512150.6400000001</v>
      </c>
      <c r="AI43" s="3327">
        <f t="shared" si="10"/>
        <v>1512150.6400000001</v>
      </c>
      <c r="AJ43" s="3327">
        <f t="shared" si="11"/>
        <v>1512150.6400000001</v>
      </c>
    </row>
    <row r="44" spans="1:36" s="3327" customFormat="1" ht="24">
      <c r="A44" s="3326"/>
      <c r="B44" s="3326" t="s">
        <v>3335</v>
      </c>
      <c r="C44" s="3326"/>
      <c r="D44" s="3326"/>
      <c r="E44" s="3326"/>
      <c r="F44" s="3326"/>
      <c r="G44" s="3326"/>
      <c r="H44" s="3326"/>
      <c r="I44" s="3326"/>
      <c r="J44" s="3326"/>
      <c r="K44" s="3326"/>
      <c r="L44" s="3326"/>
      <c r="M44" s="3331"/>
      <c r="N44" s="3325">
        <f>330/30</f>
        <v>11</v>
      </c>
      <c r="O44" s="3322">
        <f t="shared" si="12"/>
        <v>0</v>
      </c>
      <c r="P44" s="3334" t="s">
        <v>3336</v>
      </c>
      <c r="Q44" s="3326" t="s">
        <v>3337</v>
      </c>
      <c r="R44" s="3326" t="s">
        <v>3216</v>
      </c>
      <c r="S44" s="3326"/>
      <c r="T44" s="3326"/>
      <c r="Y44" s="3327">
        <f t="shared" si="0"/>
        <v>0</v>
      </c>
      <c r="Z44" s="3327">
        <f t="shared" si="1"/>
        <v>0</v>
      </c>
      <c r="AA44" s="3327">
        <f t="shared" si="2"/>
        <v>0</v>
      </c>
      <c r="AB44" s="3327">
        <f t="shared" si="3"/>
        <v>0</v>
      </c>
      <c r="AC44" s="3327">
        <f t="shared" si="4"/>
        <v>0</v>
      </c>
      <c r="AD44" s="3327">
        <f t="shared" si="5"/>
        <v>0</v>
      </c>
      <c r="AE44" s="3327">
        <f t="shared" si="6"/>
        <v>0</v>
      </c>
      <c r="AF44" s="3327">
        <f t="shared" si="7"/>
        <v>0</v>
      </c>
      <c r="AG44" s="3327">
        <f t="shared" si="8"/>
        <v>0</v>
      </c>
      <c r="AH44" s="3327">
        <f t="shared" si="9"/>
        <v>0</v>
      </c>
      <c r="AI44" s="3327">
        <f t="shared" si="10"/>
        <v>0</v>
      </c>
      <c r="AJ44" s="3327">
        <f t="shared" si="11"/>
        <v>0</v>
      </c>
    </row>
    <row r="45" spans="1:36" s="3327" customFormat="1" ht="24">
      <c r="A45" s="3326"/>
      <c r="B45" s="3326"/>
      <c r="C45" s="3326"/>
      <c r="D45" s="3326"/>
      <c r="E45" s="3326"/>
      <c r="F45" s="3326"/>
      <c r="G45" s="3326"/>
      <c r="H45" s="3326"/>
      <c r="I45" s="3326"/>
      <c r="J45" s="3326"/>
      <c r="K45" s="3326"/>
      <c r="L45" s="3326"/>
      <c r="M45" s="3331"/>
      <c r="N45" s="3325">
        <f>360/30</f>
        <v>12</v>
      </c>
      <c r="O45" s="3322">
        <f t="shared" si="12"/>
        <v>0</v>
      </c>
      <c r="P45" s="3334" t="s">
        <v>3338</v>
      </c>
      <c r="Q45" s="3326" t="s">
        <v>3339</v>
      </c>
      <c r="R45" s="3326" t="s">
        <v>3219</v>
      </c>
      <c r="S45" s="3326"/>
      <c r="T45" s="3326"/>
      <c r="Y45" s="3327">
        <f t="shared" si="0"/>
        <v>0</v>
      </c>
      <c r="Z45" s="3327">
        <f t="shared" si="1"/>
        <v>0</v>
      </c>
      <c r="AA45" s="3327">
        <f t="shared" si="2"/>
        <v>0</v>
      </c>
      <c r="AB45" s="3327">
        <f t="shared" si="3"/>
        <v>0</v>
      </c>
      <c r="AC45" s="3327">
        <f t="shared" si="4"/>
        <v>0</v>
      </c>
      <c r="AD45" s="3327">
        <f t="shared" si="5"/>
        <v>0</v>
      </c>
      <c r="AE45" s="3327">
        <f t="shared" si="6"/>
        <v>0</v>
      </c>
      <c r="AF45" s="3327">
        <f t="shared" si="7"/>
        <v>0</v>
      </c>
      <c r="AG45" s="3327">
        <f t="shared" si="8"/>
        <v>0</v>
      </c>
      <c r="AH45" s="3327">
        <f t="shared" si="9"/>
        <v>0</v>
      </c>
      <c r="AI45" s="3327">
        <f t="shared" si="10"/>
        <v>0</v>
      </c>
      <c r="AJ45" s="3327">
        <f t="shared" si="11"/>
        <v>0</v>
      </c>
    </row>
    <row r="46" spans="1:36" s="3327" customFormat="1" ht="24">
      <c r="A46" s="3326"/>
      <c r="B46" s="3326"/>
      <c r="C46" s="3326"/>
      <c r="D46" s="3326"/>
      <c r="E46" s="3326"/>
      <c r="F46" s="3326"/>
      <c r="G46" s="3326"/>
      <c r="H46" s="3326"/>
      <c r="I46" s="3326"/>
      <c r="J46" s="3326"/>
      <c r="K46" s="3326"/>
      <c r="L46" s="3326"/>
      <c r="M46" s="3331"/>
      <c r="N46" s="3325">
        <f>360/30</f>
        <v>12</v>
      </c>
      <c r="O46" s="3322">
        <f t="shared" si="12"/>
        <v>0</v>
      </c>
      <c r="P46" s="3334" t="s">
        <v>3340</v>
      </c>
      <c r="Q46" s="3326" t="s">
        <v>3341</v>
      </c>
      <c r="R46" s="3326" t="s">
        <v>3342</v>
      </c>
      <c r="S46" s="3326"/>
      <c r="T46" s="3326"/>
      <c r="Y46" s="3327">
        <f t="shared" si="0"/>
        <v>0</v>
      </c>
      <c r="Z46" s="3327">
        <f t="shared" si="1"/>
        <v>0</v>
      </c>
      <c r="AA46" s="3327">
        <f t="shared" si="2"/>
        <v>0</v>
      </c>
      <c r="AB46" s="3327">
        <f t="shared" si="3"/>
        <v>0</v>
      </c>
      <c r="AC46" s="3327">
        <f t="shared" si="4"/>
        <v>0</v>
      </c>
      <c r="AD46" s="3327">
        <f t="shared" si="5"/>
        <v>0</v>
      </c>
      <c r="AE46" s="3327">
        <f t="shared" si="6"/>
        <v>0</v>
      </c>
      <c r="AF46" s="3327">
        <f t="shared" si="7"/>
        <v>0</v>
      </c>
      <c r="AG46" s="3327">
        <f t="shared" si="8"/>
        <v>0</v>
      </c>
      <c r="AH46" s="3327">
        <f t="shared" si="9"/>
        <v>0</v>
      </c>
      <c r="AI46" s="3327">
        <f t="shared" si="10"/>
        <v>0</v>
      </c>
      <c r="AJ46" s="3327">
        <f t="shared" si="11"/>
        <v>0</v>
      </c>
    </row>
    <row r="47" spans="1:36" s="3327" customFormat="1" ht="24">
      <c r="A47" s="3326"/>
      <c r="B47" s="3328"/>
      <c r="C47" s="3328"/>
      <c r="D47" s="3328"/>
      <c r="E47" s="3328"/>
      <c r="F47" s="3328"/>
      <c r="G47" s="3328"/>
      <c r="H47" s="3328"/>
      <c r="I47" s="3328"/>
      <c r="J47" s="3328"/>
      <c r="K47" s="3328"/>
      <c r="L47" s="3328"/>
      <c r="M47" s="3332"/>
      <c r="N47" s="3325">
        <f>360/30</f>
        <v>12</v>
      </c>
      <c r="O47" s="3322">
        <f t="shared" si="12"/>
        <v>0</v>
      </c>
      <c r="P47" s="3334" t="s">
        <v>3343</v>
      </c>
      <c r="Q47" s="3326" t="s">
        <v>3344</v>
      </c>
      <c r="R47" s="3326" t="s">
        <v>3225</v>
      </c>
      <c r="S47" s="3328"/>
      <c r="T47" s="3328"/>
      <c r="Y47" s="3327">
        <f t="shared" si="0"/>
        <v>0</v>
      </c>
      <c r="Z47" s="3327">
        <f t="shared" si="1"/>
        <v>0</v>
      </c>
      <c r="AA47" s="3327">
        <f t="shared" si="2"/>
        <v>0</v>
      </c>
      <c r="AB47" s="3327">
        <f t="shared" si="3"/>
        <v>0</v>
      </c>
      <c r="AC47" s="3327">
        <f t="shared" si="4"/>
        <v>0</v>
      </c>
      <c r="AD47" s="3327">
        <f t="shared" si="5"/>
        <v>0</v>
      </c>
      <c r="AE47" s="3327">
        <f t="shared" si="6"/>
        <v>0</v>
      </c>
      <c r="AF47" s="3327">
        <f t="shared" si="7"/>
        <v>0</v>
      </c>
      <c r="AG47" s="3327">
        <f t="shared" si="8"/>
        <v>0</v>
      </c>
      <c r="AH47" s="3327">
        <f t="shared" si="9"/>
        <v>0</v>
      </c>
      <c r="AI47" s="3327">
        <f t="shared" si="10"/>
        <v>0</v>
      </c>
      <c r="AJ47" s="3327">
        <f t="shared" si="11"/>
        <v>0</v>
      </c>
    </row>
    <row r="48" spans="1:36" s="3327" customFormat="1" ht="24">
      <c r="A48" s="3326">
        <v>10</v>
      </c>
      <c r="B48" s="3323" t="s">
        <v>3345</v>
      </c>
      <c r="C48" s="3322" t="s">
        <v>3346</v>
      </c>
      <c r="D48" s="3322" t="s">
        <v>3346</v>
      </c>
      <c r="E48" s="3322"/>
      <c r="F48" s="3322"/>
      <c r="G48" s="3324" t="s">
        <v>3166</v>
      </c>
      <c r="H48" s="3322" t="s">
        <v>3347</v>
      </c>
      <c r="I48" s="3322">
        <v>63.3</v>
      </c>
      <c r="J48" s="3322">
        <v>44.31</v>
      </c>
      <c r="K48" s="3322" t="s">
        <v>3348</v>
      </c>
      <c r="L48" s="3322" t="s">
        <v>3269</v>
      </c>
      <c r="M48" s="3329">
        <v>2</v>
      </c>
      <c r="N48" s="3325"/>
      <c r="O48" s="3322">
        <f t="shared" si="12"/>
        <v>0</v>
      </c>
      <c r="P48" s="3330" t="s">
        <v>3349</v>
      </c>
      <c r="Q48" s="3325"/>
      <c r="R48" s="3325"/>
      <c r="S48" s="3325">
        <v>4431</v>
      </c>
      <c r="T48" s="3325">
        <v>633</v>
      </c>
      <c r="Y48" s="3327">
        <f t="shared" si="0"/>
        <v>0</v>
      </c>
      <c r="Z48" s="3327">
        <f t="shared" si="1"/>
        <v>0</v>
      </c>
      <c r="AA48" s="3327">
        <f t="shared" si="2"/>
        <v>0</v>
      </c>
      <c r="AB48" s="3327">
        <f t="shared" si="3"/>
        <v>0</v>
      </c>
      <c r="AC48" s="3327">
        <f t="shared" si="4"/>
        <v>0</v>
      </c>
      <c r="AD48" s="3327">
        <f t="shared" si="5"/>
        <v>0</v>
      </c>
      <c r="AE48" s="3327">
        <f t="shared" si="6"/>
        <v>0</v>
      </c>
      <c r="AF48" s="3327">
        <f t="shared" si="7"/>
        <v>0</v>
      </c>
      <c r="AG48" s="3327">
        <f t="shared" si="8"/>
        <v>0</v>
      </c>
      <c r="AH48" s="3327">
        <f t="shared" si="9"/>
        <v>0</v>
      </c>
      <c r="AI48" s="3327">
        <f t="shared" si="10"/>
        <v>0</v>
      </c>
      <c r="AJ48" s="3327">
        <f t="shared" si="11"/>
        <v>0</v>
      </c>
    </row>
    <row r="49" spans="1:36" s="3327" customFormat="1" ht="24">
      <c r="A49" s="3326"/>
      <c r="B49" s="3326"/>
      <c r="C49" s="3326"/>
      <c r="D49" s="3326"/>
      <c r="E49" s="3326"/>
      <c r="F49" s="3326"/>
      <c r="G49" s="3326"/>
      <c r="H49" s="3326"/>
      <c r="I49" s="3326"/>
      <c r="J49" s="3326"/>
      <c r="K49" s="3326"/>
      <c r="L49" s="3326"/>
      <c r="M49" s="3331"/>
      <c r="N49" s="3325">
        <f>220/30</f>
        <v>7.333333333333333</v>
      </c>
      <c r="O49" s="3322">
        <f t="shared" si="12"/>
        <v>0</v>
      </c>
      <c r="P49" s="3330" t="s">
        <v>3350</v>
      </c>
      <c r="Q49" s="3325" t="s">
        <v>3350</v>
      </c>
      <c r="R49" s="3325" t="s">
        <v>3351</v>
      </c>
      <c r="S49" s="3325"/>
      <c r="T49" s="3325"/>
      <c r="Y49" s="3327">
        <f t="shared" si="0"/>
        <v>0</v>
      </c>
      <c r="Z49" s="3327">
        <f t="shared" si="1"/>
        <v>0</v>
      </c>
      <c r="AA49" s="3327">
        <f t="shared" si="2"/>
        <v>0</v>
      </c>
      <c r="AB49" s="3327">
        <f t="shared" si="3"/>
        <v>0</v>
      </c>
      <c r="AC49" s="3327">
        <f t="shared" si="4"/>
        <v>0</v>
      </c>
      <c r="AD49" s="3327">
        <f t="shared" si="5"/>
        <v>0</v>
      </c>
      <c r="AE49" s="3327">
        <f t="shared" si="6"/>
        <v>0</v>
      </c>
      <c r="AF49" s="3327">
        <f t="shared" si="7"/>
        <v>0</v>
      </c>
      <c r="AG49" s="3327">
        <f t="shared" si="8"/>
        <v>0</v>
      </c>
      <c r="AH49" s="3327">
        <f t="shared" si="9"/>
        <v>0</v>
      </c>
      <c r="AI49" s="3327">
        <f t="shared" si="10"/>
        <v>0</v>
      </c>
      <c r="AJ49" s="3327">
        <f t="shared" si="11"/>
        <v>0</v>
      </c>
    </row>
    <row r="50" spans="1:36" s="3327" customFormat="1" ht="24">
      <c r="A50" s="3326"/>
      <c r="B50" s="3328"/>
      <c r="C50" s="3328"/>
      <c r="D50" s="3328"/>
      <c r="E50" s="3328"/>
      <c r="F50" s="3328"/>
      <c r="G50" s="3328"/>
      <c r="H50" s="3328"/>
      <c r="I50" s="3328"/>
      <c r="J50" s="3328"/>
      <c r="K50" s="3328"/>
      <c r="L50" s="3328"/>
      <c r="M50" s="3332"/>
      <c r="N50" s="3325">
        <f>250/30</f>
        <v>8.3333333333333339</v>
      </c>
      <c r="O50" s="3322">
        <f t="shared" si="12"/>
        <v>0</v>
      </c>
      <c r="P50" s="3330" t="s">
        <v>3352</v>
      </c>
      <c r="Q50" s="3325" t="s">
        <v>3353</v>
      </c>
      <c r="R50" s="3325" t="s">
        <v>3354</v>
      </c>
      <c r="S50" s="3325"/>
      <c r="T50" s="3325"/>
      <c r="Y50" s="3327">
        <f t="shared" si="0"/>
        <v>0</v>
      </c>
      <c r="Z50" s="3327">
        <f t="shared" si="1"/>
        <v>0</v>
      </c>
      <c r="AA50" s="3327">
        <f t="shared" si="2"/>
        <v>0</v>
      </c>
      <c r="AB50" s="3327">
        <f t="shared" si="3"/>
        <v>0</v>
      </c>
      <c r="AC50" s="3327">
        <f t="shared" si="4"/>
        <v>0</v>
      </c>
      <c r="AD50" s="3327">
        <f t="shared" si="5"/>
        <v>0</v>
      </c>
      <c r="AE50" s="3327">
        <f t="shared" si="6"/>
        <v>0</v>
      </c>
      <c r="AF50" s="3327">
        <f t="shared" si="7"/>
        <v>0</v>
      </c>
      <c r="AG50" s="3327">
        <f t="shared" si="8"/>
        <v>0</v>
      </c>
      <c r="AH50" s="3327">
        <f t="shared" si="9"/>
        <v>0</v>
      </c>
      <c r="AI50" s="3327">
        <f t="shared" si="10"/>
        <v>0</v>
      </c>
      <c r="AJ50" s="3327">
        <f t="shared" si="11"/>
        <v>0</v>
      </c>
    </row>
    <row r="51" spans="1:36" s="3327" customFormat="1" ht="24">
      <c r="A51" s="3326">
        <v>11</v>
      </c>
      <c r="B51" s="3323" t="s">
        <v>3355</v>
      </c>
      <c r="C51" s="3322" t="s">
        <v>3356</v>
      </c>
      <c r="D51" s="3322" t="s">
        <v>3357</v>
      </c>
      <c r="E51" s="3322" t="s">
        <v>3357</v>
      </c>
      <c r="F51" s="3322"/>
      <c r="G51" s="3324" t="s">
        <v>3166</v>
      </c>
      <c r="H51" s="3322" t="s">
        <v>3358</v>
      </c>
      <c r="I51" s="3322">
        <v>32.1</v>
      </c>
      <c r="J51" s="3322">
        <v>22.5</v>
      </c>
      <c r="K51" s="3322" t="s">
        <v>3332</v>
      </c>
      <c r="L51" s="3322" t="s">
        <v>3269</v>
      </c>
      <c r="M51" s="3329">
        <v>3</v>
      </c>
      <c r="N51" s="3325">
        <f>597/30</f>
        <v>19.899999999999999</v>
      </c>
      <c r="O51" s="3322">
        <f t="shared" si="12"/>
        <v>638.79</v>
      </c>
      <c r="P51" s="3330" t="s">
        <v>3359</v>
      </c>
      <c r="Q51" s="3325" t="s">
        <v>3360</v>
      </c>
      <c r="R51" s="3325" t="s">
        <v>3188</v>
      </c>
      <c r="S51" s="3322">
        <v>2247</v>
      </c>
      <c r="T51" s="3322">
        <v>321</v>
      </c>
      <c r="Y51" s="3327">
        <f t="shared" si="0"/>
        <v>112427.04</v>
      </c>
      <c r="Z51" s="3327">
        <f t="shared" si="1"/>
        <v>232519.56</v>
      </c>
      <c r="AA51" s="3327">
        <f t="shared" si="2"/>
        <v>232519.56</v>
      </c>
      <c r="AB51" s="3327">
        <f t="shared" si="3"/>
        <v>232519.56</v>
      </c>
      <c r="AC51" s="3327">
        <f t="shared" si="4"/>
        <v>233158.34999999998</v>
      </c>
      <c r="AD51" s="3327">
        <f t="shared" si="5"/>
        <v>232519.56</v>
      </c>
      <c r="AE51" s="3327">
        <f t="shared" si="6"/>
        <v>232519.56</v>
      </c>
      <c r="AF51" s="3327">
        <f t="shared" si="7"/>
        <v>232519.56</v>
      </c>
      <c r="AG51" s="3327">
        <f t="shared" si="8"/>
        <v>233158.34999999998</v>
      </c>
      <c r="AH51" s="3327">
        <f t="shared" si="9"/>
        <v>232519.56</v>
      </c>
      <c r="AI51" s="3327">
        <f t="shared" si="10"/>
        <v>232519.56</v>
      </c>
      <c r="AJ51" s="3327">
        <f t="shared" si="11"/>
        <v>232519.56</v>
      </c>
    </row>
    <row r="52" spans="1:36" s="3327" customFormat="1">
      <c r="A52" s="3326"/>
      <c r="B52" s="3326"/>
      <c r="C52" s="3326"/>
      <c r="D52" s="3326"/>
      <c r="E52" s="3326"/>
      <c r="F52" s="3326"/>
      <c r="G52" s="3326"/>
      <c r="H52" s="3326"/>
      <c r="I52" s="3326"/>
      <c r="J52" s="3326"/>
      <c r="K52" s="3326"/>
      <c r="L52" s="3326"/>
      <c r="M52" s="3331"/>
      <c r="N52" s="3325">
        <f>668/30</f>
        <v>22.266666666666666</v>
      </c>
      <c r="O52" s="3322">
        <f t="shared" si="12"/>
        <v>0</v>
      </c>
      <c r="P52" s="3330" t="s">
        <v>3361</v>
      </c>
      <c r="Q52" s="3325" t="s">
        <v>3362</v>
      </c>
      <c r="R52" s="3325" t="s">
        <v>3363</v>
      </c>
      <c r="S52" s="3326"/>
      <c r="T52" s="3326"/>
      <c r="Y52" s="3327">
        <f t="shared" si="0"/>
        <v>0</v>
      </c>
      <c r="Z52" s="3327">
        <f t="shared" si="1"/>
        <v>0</v>
      </c>
      <c r="AA52" s="3327">
        <f t="shared" si="2"/>
        <v>0</v>
      </c>
      <c r="AB52" s="3327">
        <f t="shared" si="3"/>
        <v>0</v>
      </c>
      <c r="AC52" s="3327">
        <f t="shared" si="4"/>
        <v>0</v>
      </c>
      <c r="AD52" s="3327">
        <f t="shared" si="5"/>
        <v>0</v>
      </c>
      <c r="AE52" s="3327">
        <f t="shared" si="6"/>
        <v>0</v>
      </c>
      <c r="AF52" s="3327">
        <f t="shared" si="7"/>
        <v>0</v>
      </c>
      <c r="AG52" s="3327">
        <f t="shared" si="8"/>
        <v>0</v>
      </c>
      <c r="AH52" s="3327">
        <f t="shared" si="9"/>
        <v>0</v>
      </c>
      <c r="AI52" s="3327">
        <f t="shared" si="10"/>
        <v>0</v>
      </c>
      <c r="AJ52" s="3327">
        <f t="shared" si="11"/>
        <v>0</v>
      </c>
    </row>
    <row r="53" spans="1:36" s="3327" customFormat="1">
      <c r="A53" s="3326"/>
      <c r="B53" s="3328"/>
      <c r="C53" s="3328"/>
      <c r="D53" s="3328"/>
      <c r="E53" s="3328"/>
      <c r="F53" s="3328"/>
      <c r="G53" s="3328"/>
      <c r="H53" s="3328"/>
      <c r="I53" s="3328"/>
      <c r="J53" s="3328"/>
      <c r="K53" s="3328"/>
      <c r="L53" s="3328"/>
      <c r="M53" s="3332"/>
      <c r="N53" s="3325">
        <f>668/30</f>
        <v>22.266666666666666</v>
      </c>
      <c r="O53" s="3322">
        <f t="shared" si="12"/>
        <v>0</v>
      </c>
      <c r="P53" s="3330" t="s">
        <v>3364</v>
      </c>
      <c r="Q53" s="3325" t="s">
        <v>3365</v>
      </c>
      <c r="R53" s="3325" t="s">
        <v>3366</v>
      </c>
      <c r="S53" s="3328"/>
      <c r="T53" s="3326"/>
      <c r="Y53" s="3327">
        <f t="shared" si="0"/>
        <v>0</v>
      </c>
      <c r="Z53" s="3327">
        <f t="shared" si="1"/>
        <v>0</v>
      </c>
      <c r="AA53" s="3327">
        <f t="shared" si="2"/>
        <v>0</v>
      </c>
      <c r="AB53" s="3327">
        <f t="shared" si="3"/>
        <v>0</v>
      </c>
      <c r="AC53" s="3327">
        <f t="shared" si="4"/>
        <v>0</v>
      </c>
      <c r="AD53" s="3327">
        <f t="shared" si="5"/>
        <v>0</v>
      </c>
      <c r="AE53" s="3327">
        <f t="shared" si="6"/>
        <v>0</v>
      </c>
      <c r="AF53" s="3327">
        <f t="shared" si="7"/>
        <v>0</v>
      </c>
      <c r="AG53" s="3327">
        <f t="shared" si="8"/>
        <v>0</v>
      </c>
      <c r="AH53" s="3327">
        <f t="shared" si="9"/>
        <v>0</v>
      </c>
      <c r="AI53" s="3327">
        <f t="shared" si="10"/>
        <v>0</v>
      </c>
      <c r="AJ53" s="3327">
        <f t="shared" si="11"/>
        <v>0</v>
      </c>
    </row>
    <row r="54" spans="1:36" s="3327" customFormat="1" ht="24">
      <c r="A54" s="3326">
        <v>12</v>
      </c>
      <c r="B54" s="3323" t="s">
        <v>3367</v>
      </c>
      <c r="C54" s="3322" t="s">
        <v>3368</v>
      </c>
      <c r="D54" s="3322" t="s">
        <v>3369</v>
      </c>
      <c r="E54" s="3322" t="s">
        <v>3368</v>
      </c>
      <c r="F54" s="3322"/>
      <c r="G54" s="3324" t="s">
        <v>3166</v>
      </c>
      <c r="H54" s="3322" t="s">
        <v>3370</v>
      </c>
      <c r="I54" s="3322">
        <v>137.72999999999999</v>
      </c>
      <c r="J54" s="3322">
        <v>96.41</v>
      </c>
      <c r="K54" s="3322" t="s">
        <v>3371</v>
      </c>
      <c r="L54" s="3322" t="s">
        <v>3372</v>
      </c>
      <c r="M54" s="3329">
        <v>3</v>
      </c>
      <c r="N54" s="3325">
        <f>290/30</f>
        <v>9.6666666666666661</v>
      </c>
      <c r="O54" s="3322">
        <f t="shared" si="12"/>
        <v>1331.3899999999999</v>
      </c>
      <c r="P54" s="3330" t="s">
        <v>3373</v>
      </c>
      <c r="Q54" s="3325" t="s">
        <v>3374</v>
      </c>
      <c r="R54" s="3322"/>
      <c r="S54" s="3322">
        <v>9641.1</v>
      </c>
      <c r="T54" s="3322">
        <v>1377.3</v>
      </c>
      <c r="Y54" s="3327">
        <f t="shared" si="0"/>
        <v>234324.63999999998</v>
      </c>
      <c r="Z54" s="3327">
        <f t="shared" si="1"/>
        <v>484625.95999999996</v>
      </c>
      <c r="AA54" s="3327">
        <f t="shared" si="2"/>
        <v>484625.95999999996</v>
      </c>
      <c r="AB54" s="3327">
        <f t="shared" si="3"/>
        <v>484625.95999999996</v>
      </c>
      <c r="AC54" s="3327">
        <f t="shared" si="4"/>
        <v>485957.35</v>
      </c>
      <c r="AD54" s="3327">
        <f t="shared" si="5"/>
        <v>484625.95999999996</v>
      </c>
      <c r="AE54" s="3327">
        <f t="shared" si="6"/>
        <v>484625.95999999996</v>
      </c>
      <c r="AF54" s="3327">
        <f t="shared" si="7"/>
        <v>484625.95999999996</v>
      </c>
      <c r="AG54" s="3327">
        <f t="shared" si="8"/>
        <v>485957.35</v>
      </c>
      <c r="AH54" s="3327">
        <f t="shared" si="9"/>
        <v>484625.95999999996</v>
      </c>
      <c r="AI54" s="3327">
        <f t="shared" si="10"/>
        <v>484625.95999999996</v>
      </c>
      <c r="AJ54" s="3327">
        <f t="shared" si="11"/>
        <v>484625.95999999996</v>
      </c>
    </row>
    <row r="55" spans="1:36" s="3327" customFormat="1" ht="24">
      <c r="A55" s="3326"/>
      <c r="B55" s="3326"/>
      <c r="C55" s="3326"/>
      <c r="D55" s="3326" t="s">
        <v>3375</v>
      </c>
      <c r="E55" s="3326"/>
      <c r="F55" s="3326"/>
      <c r="G55" s="3326"/>
      <c r="H55" s="3326"/>
      <c r="I55" s="3326"/>
      <c r="J55" s="3326"/>
      <c r="K55" s="3326"/>
      <c r="L55" s="3326"/>
      <c r="M55" s="3331"/>
      <c r="N55" s="3325">
        <f>310/30</f>
        <v>10.333333333333334</v>
      </c>
      <c r="O55" s="3322">
        <f t="shared" si="12"/>
        <v>0</v>
      </c>
      <c r="P55" s="3330" t="s">
        <v>3376</v>
      </c>
      <c r="Q55" s="3325" t="s">
        <v>3377</v>
      </c>
      <c r="R55" s="3326"/>
      <c r="S55" s="3326"/>
      <c r="T55" s="3326"/>
      <c r="Y55" s="3327">
        <f t="shared" si="0"/>
        <v>0</v>
      </c>
      <c r="Z55" s="3327">
        <f t="shared" si="1"/>
        <v>0</v>
      </c>
      <c r="AA55" s="3327">
        <f t="shared" si="2"/>
        <v>0</v>
      </c>
      <c r="AB55" s="3327">
        <f t="shared" si="3"/>
        <v>0</v>
      </c>
      <c r="AC55" s="3327">
        <f t="shared" si="4"/>
        <v>0</v>
      </c>
      <c r="AD55" s="3327">
        <f t="shared" si="5"/>
        <v>0</v>
      </c>
      <c r="AE55" s="3327">
        <f t="shared" si="6"/>
        <v>0</v>
      </c>
      <c r="AF55" s="3327">
        <f t="shared" si="7"/>
        <v>0</v>
      </c>
      <c r="AG55" s="3327">
        <f t="shared" si="8"/>
        <v>0</v>
      </c>
      <c r="AH55" s="3327">
        <f t="shared" si="9"/>
        <v>0</v>
      </c>
      <c r="AI55" s="3327">
        <f t="shared" si="10"/>
        <v>0</v>
      </c>
      <c r="AJ55" s="3327">
        <f t="shared" si="11"/>
        <v>0</v>
      </c>
    </row>
    <row r="56" spans="1:36" s="3327" customFormat="1" ht="24">
      <c r="A56" s="3326"/>
      <c r="B56" s="3328"/>
      <c r="C56" s="3328"/>
      <c r="D56" s="3328"/>
      <c r="E56" s="3328"/>
      <c r="F56" s="3328"/>
      <c r="G56" s="3328"/>
      <c r="H56" s="3328"/>
      <c r="I56" s="3328"/>
      <c r="J56" s="3328"/>
      <c r="K56" s="3328"/>
      <c r="L56" s="3328"/>
      <c r="M56" s="3332"/>
      <c r="N56" s="3325">
        <f>330/30</f>
        <v>11</v>
      </c>
      <c r="O56" s="3322">
        <f t="shared" si="12"/>
        <v>0</v>
      </c>
      <c r="P56" s="3330" t="s">
        <v>3378</v>
      </c>
      <c r="Q56" s="3325" t="s">
        <v>3379</v>
      </c>
      <c r="R56" s="3328"/>
      <c r="S56" s="3328"/>
      <c r="T56" s="3328"/>
      <c r="Y56" s="3327">
        <f t="shared" si="0"/>
        <v>0</v>
      </c>
      <c r="Z56" s="3327">
        <f t="shared" si="1"/>
        <v>0</v>
      </c>
      <c r="AA56" s="3327">
        <f t="shared" si="2"/>
        <v>0</v>
      </c>
      <c r="AB56" s="3327">
        <f t="shared" si="3"/>
        <v>0</v>
      </c>
      <c r="AC56" s="3327">
        <f t="shared" si="4"/>
        <v>0</v>
      </c>
      <c r="AD56" s="3327">
        <f t="shared" si="5"/>
        <v>0</v>
      </c>
      <c r="AE56" s="3327">
        <f t="shared" si="6"/>
        <v>0</v>
      </c>
      <c r="AF56" s="3327">
        <f t="shared" si="7"/>
        <v>0</v>
      </c>
      <c r="AG56" s="3327">
        <f t="shared" si="8"/>
        <v>0</v>
      </c>
      <c r="AH56" s="3327">
        <f t="shared" si="9"/>
        <v>0</v>
      </c>
      <c r="AI56" s="3327">
        <f t="shared" si="10"/>
        <v>0</v>
      </c>
      <c r="AJ56" s="3327">
        <f t="shared" si="11"/>
        <v>0</v>
      </c>
    </row>
    <row r="57" spans="1:36" s="3327" customFormat="1" ht="24">
      <c r="A57" s="3326">
        <v>13</v>
      </c>
      <c r="B57" s="3323" t="s">
        <v>3380</v>
      </c>
      <c r="C57" s="3329" t="s">
        <v>3381</v>
      </c>
      <c r="D57" s="3322" t="s">
        <v>3382</v>
      </c>
      <c r="E57" s="3329" t="s">
        <v>3381</v>
      </c>
      <c r="F57" s="3336"/>
      <c r="G57" s="3324" t="s">
        <v>3166</v>
      </c>
      <c r="H57" s="3337" t="s">
        <v>3383</v>
      </c>
      <c r="I57" s="3322">
        <v>1644</v>
      </c>
      <c r="J57" s="3322">
        <v>115.1</v>
      </c>
      <c r="K57" s="3322" t="s">
        <v>3384</v>
      </c>
      <c r="L57" s="3322"/>
      <c r="M57" s="3329">
        <v>3</v>
      </c>
      <c r="N57" s="3325">
        <f>345/30</f>
        <v>11.5</v>
      </c>
      <c r="O57" s="3322">
        <f t="shared" si="12"/>
        <v>18906</v>
      </c>
      <c r="P57" s="3330" t="s">
        <v>3385</v>
      </c>
      <c r="Q57" s="3325" t="s">
        <v>3386</v>
      </c>
      <c r="R57" s="3325" t="s">
        <v>3387</v>
      </c>
      <c r="S57" s="3326"/>
      <c r="T57" s="3326"/>
      <c r="Y57" s="3327">
        <f t="shared" si="0"/>
        <v>3327456</v>
      </c>
      <c r="Z57" s="3327">
        <f t="shared" si="1"/>
        <v>6881784</v>
      </c>
      <c r="AA57" s="3327">
        <f t="shared" si="2"/>
        <v>6881784</v>
      </c>
      <c r="AB57" s="3327">
        <f t="shared" si="3"/>
        <v>6881784</v>
      </c>
      <c r="AC57" s="3327">
        <f t="shared" si="4"/>
        <v>6900690</v>
      </c>
      <c r="AD57" s="3327">
        <f t="shared" si="5"/>
        <v>6881784</v>
      </c>
      <c r="AE57" s="3327">
        <f t="shared" si="6"/>
        <v>6881784</v>
      </c>
      <c r="AF57" s="3327">
        <f t="shared" si="7"/>
        <v>6881784</v>
      </c>
      <c r="AG57" s="3327">
        <f t="shared" si="8"/>
        <v>6900690</v>
      </c>
      <c r="AH57" s="3327">
        <f t="shared" si="9"/>
        <v>6881784</v>
      </c>
      <c r="AI57" s="3327">
        <f t="shared" si="10"/>
        <v>6881784</v>
      </c>
      <c r="AJ57" s="3327">
        <f t="shared" si="11"/>
        <v>6881784</v>
      </c>
    </row>
    <row r="58" spans="1:36" s="3327" customFormat="1">
      <c r="A58" s="3326"/>
      <c r="B58" s="3326"/>
      <c r="C58" s="3331"/>
      <c r="D58" s="3326"/>
      <c r="E58" s="3338"/>
      <c r="F58" s="3338"/>
      <c r="G58" s="3326"/>
      <c r="H58" s="3334"/>
      <c r="I58" s="3326"/>
      <c r="J58" s="3326"/>
      <c r="K58" s="3326"/>
      <c r="L58" s="3326"/>
      <c r="M58" s="3331"/>
      <c r="N58" s="3325">
        <f>345/30</f>
        <v>11.5</v>
      </c>
      <c r="O58" s="3322">
        <f t="shared" si="12"/>
        <v>0</v>
      </c>
      <c r="P58" s="3330" t="s">
        <v>3388</v>
      </c>
      <c r="Q58" s="3325" t="s">
        <v>3389</v>
      </c>
      <c r="R58" s="3325" t="s">
        <v>3390</v>
      </c>
      <c r="S58" s="3326"/>
      <c r="T58" s="3326"/>
      <c r="Y58" s="3327">
        <f t="shared" si="0"/>
        <v>0</v>
      </c>
      <c r="Z58" s="3327">
        <f t="shared" si="1"/>
        <v>0</v>
      </c>
      <c r="AA58" s="3327">
        <f t="shared" si="2"/>
        <v>0</v>
      </c>
      <c r="AB58" s="3327">
        <f t="shared" si="3"/>
        <v>0</v>
      </c>
      <c r="AC58" s="3327">
        <f t="shared" si="4"/>
        <v>0</v>
      </c>
      <c r="AD58" s="3327">
        <f t="shared" si="5"/>
        <v>0</v>
      </c>
      <c r="AE58" s="3327">
        <f t="shared" si="6"/>
        <v>0</v>
      </c>
      <c r="AF58" s="3327">
        <f t="shared" si="7"/>
        <v>0</v>
      </c>
      <c r="AG58" s="3327">
        <f t="shared" si="8"/>
        <v>0</v>
      </c>
      <c r="AH58" s="3327">
        <f t="shared" si="9"/>
        <v>0</v>
      </c>
      <c r="AI58" s="3327">
        <f t="shared" si="10"/>
        <v>0</v>
      </c>
      <c r="AJ58" s="3327">
        <f t="shared" si="11"/>
        <v>0</v>
      </c>
    </row>
    <row r="59" spans="1:36" s="3327" customFormat="1">
      <c r="A59" s="3326"/>
      <c r="B59" s="3326"/>
      <c r="C59" s="3332"/>
      <c r="D59" s="3328"/>
      <c r="E59" s="3338"/>
      <c r="F59" s="3338"/>
      <c r="G59" s="3328"/>
      <c r="H59" s="3335"/>
      <c r="I59" s="3328"/>
      <c r="J59" s="3328"/>
      <c r="K59" s="3328"/>
      <c r="L59" s="3328"/>
      <c r="M59" s="3332"/>
      <c r="N59" s="3325">
        <f>435/30</f>
        <v>14.5</v>
      </c>
      <c r="O59" s="3322">
        <f t="shared" si="12"/>
        <v>0</v>
      </c>
      <c r="P59" s="3330" t="s">
        <v>3391</v>
      </c>
      <c r="Q59" s="3325" t="s">
        <v>3392</v>
      </c>
      <c r="R59" s="3325" t="s">
        <v>3393</v>
      </c>
      <c r="S59" s="3326"/>
      <c r="T59" s="3326"/>
      <c r="Y59" s="3327">
        <f t="shared" si="0"/>
        <v>0</v>
      </c>
      <c r="Z59" s="3327">
        <f t="shared" si="1"/>
        <v>0</v>
      </c>
      <c r="AA59" s="3327">
        <f t="shared" si="2"/>
        <v>0</v>
      </c>
      <c r="AB59" s="3327">
        <f t="shared" si="3"/>
        <v>0</v>
      </c>
      <c r="AC59" s="3327">
        <f t="shared" si="4"/>
        <v>0</v>
      </c>
      <c r="AD59" s="3327">
        <f t="shared" si="5"/>
        <v>0</v>
      </c>
      <c r="AE59" s="3327">
        <f t="shared" si="6"/>
        <v>0</v>
      </c>
      <c r="AF59" s="3327">
        <f t="shared" si="7"/>
        <v>0</v>
      </c>
      <c r="AG59" s="3327">
        <f t="shared" si="8"/>
        <v>0</v>
      </c>
      <c r="AH59" s="3327">
        <f t="shared" si="9"/>
        <v>0</v>
      </c>
      <c r="AI59" s="3327">
        <f t="shared" si="10"/>
        <v>0</v>
      </c>
      <c r="AJ59" s="3327">
        <f t="shared" si="11"/>
        <v>0</v>
      </c>
    </row>
    <row r="60" spans="1:36" s="3327" customFormat="1" ht="24">
      <c r="A60" s="3326">
        <v>14</v>
      </c>
      <c r="B60" s="3323" t="s">
        <v>3394</v>
      </c>
      <c r="C60" s="3322" t="s">
        <v>3395</v>
      </c>
      <c r="D60" s="3322" t="s">
        <v>3396</v>
      </c>
      <c r="E60" s="3322" t="s">
        <v>3396</v>
      </c>
      <c r="F60" s="3322"/>
      <c r="G60" s="3324" t="s">
        <v>3166</v>
      </c>
      <c r="H60" s="3324" t="s">
        <v>3397</v>
      </c>
      <c r="I60" s="3322">
        <v>46.36</v>
      </c>
      <c r="J60" s="3322">
        <v>32.450000000000003</v>
      </c>
      <c r="K60" s="3322" t="s">
        <v>3398</v>
      </c>
      <c r="L60" s="3322" t="s">
        <v>3372</v>
      </c>
      <c r="M60" s="3329">
        <v>3</v>
      </c>
      <c r="N60" s="3325">
        <f>190/30</f>
        <v>6.333333333333333</v>
      </c>
      <c r="O60" s="3322">
        <f t="shared" si="12"/>
        <v>293.61333333333334</v>
      </c>
      <c r="P60" s="3330" t="s">
        <v>3399</v>
      </c>
      <c r="Q60" s="3325" t="s">
        <v>3400</v>
      </c>
      <c r="R60" s="3322"/>
      <c r="S60" s="3322">
        <v>3245.2</v>
      </c>
      <c r="T60" s="3322">
        <v>463.6</v>
      </c>
      <c r="Y60" s="3327">
        <f t="shared" si="0"/>
        <v>51675.94666666667</v>
      </c>
      <c r="Z60" s="3327">
        <f t="shared" si="1"/>
        <v>106875.25333333334</v>
      </c>
      <c r="AA60" s="3327">
        <f t="shared" si="2"/>
        <v>106875.25333333334</v>
      </c>
      <c r="AB60" s="3327">
        <f t="shared" si="3"/>
        <v>106875.25333333334</v>
      </c>
      <c r="AC60" s="3327">
        <f t="shared" si="4"/>
        <v>107168.86666666667</v>
      </c>
      <c r="AD60" s="3327">
        <f t="shared" si="5"/>
        <v>106875.25333333334</v>
      </c>
      <c r="AE60" s="3327">
        <f t="shared" si="6"/>
        <v>106875.25333333334</v>
      </c>
      <c r="AF60" s="3327">
        <f t="shared" si="7"/>
        <v>106875.25333333334</v>
      </c>
      <c r="AG60" s="3327">
        <f t="shared" si="8"/>
        <v>107168.86666666667</v>
      </c>
      <c r="AH60" s="3327">
        <f t="shared" si="9"/>
        <v>106875.25333333334</v>
      </c>
      <c r="AI60" s="3327">
        <f t="shared" si="10"/>
        <v>106875.25333333334</v>
      </c>
      <c r="AJ60" s="3327">
        <f t="shared" si="11"/>
        <v>106875.25333333334</v>
      </c>
    </row>
    <row r="61" spans="1:36" s="3327" customFormat="1">
      <c r="A61" s="3326"/>
      <c r="B61" s="3326"/>
      <c r="C61" s="3326"/>
      <c r="D61" s="3326"/>
      <c r="E61" s="3326"/>
      <c r="F61" s="3326"/>
      <c r="G61" s="3326"/>
      <c r="H61" s="3326"/>
      <c r="I61" s="3326"/>
      <c r="J61" s="3326"/>
      <c r="K61" s="3326"/>
      <c r="L61" s="3326"/>
      <c r="M61" s="3331"/>
      <c r="N61" s="3325">
        <f>220/30</f>
        <v>7.333333333333333</v>
      </c>
      <c r="O61" s="3322">
        <f t="shared" si="12"/>
        <v>0</v>
      </c>
      <c r="P61" s="3330" t="s">
        <v>3401</v>
      </c>
      <c r="Q61" s="3325" t="s">
        <v>3402</v>
      </c>
      <c r="R61" s="3326"/>
      <c r="S61" s="3326"/>
      <c r="T61" s="3326"/>
      <c r="Y61" s="3327">
        <f t="shared" si="0"/>
        <v>0</v>
      </c>
      <c r="Z61" s="3327">
        <f t="shared" si="1"/>
        <v>0</v>
      </c>
      <c r="AA61" s="3327">
        <f t="shared" si="2"/>
        <v>0</v>
      </c>
      <c r="AB61" s="3327">
        <f t="shared" si="3"/>
        <v>0</v>
      </c>
      <c r="AC61" s="3327">
        <f t="shared" si="4"/>
        <v>0</v>
      </c>
      <c r="AD61" s="3327">
        <f t="shared" si="5"/>
        <v>0</v>
      </c>
      <c r="AE61" s="3327">
        <f t="shared" si="6"/>
        <v>0</v>
      </c>
      <c r="AF61" s="3327">
        <f t="shared" si="7"/>
        <v>0</v>
      </c>
      <c r="AG61" s="3327">
        <f t="shared" si="8"/>
        <v>0</v>
      </c>
      <c r="AH61" s="3327">
        <f t="shared" si="9"/>
        <v>0</v>
      </c>
      <c r="AI61" s="3327">
        <f t="shared" si="10"/>
        <v>0</v>
      </c>
      <c r="AJ61" s="3327">
        <f t="shared" si="11"/>
        <v>0</v>
      </c>
    </row>
    <row r="62" spans="1:36" s="3327" customFormat="1">
      <c r="A62" s="3326"/>
      <c r="B62" s="3328"/>
      <c r="C62" s="3328"/>
      <c r="D62" s="3328"/>
      <c r="E62" s="3328"/>
      <c r="F62" s="3328"/>
      <c r="G62" s="3328"/>
      <c r="H62" s="3328"/>
      <c r="I62" s="3328"/>
      <c r="J62" s="3328"/>
      <c r="K62" s="3328"/>
      <c r="L62" s="3328"/>
      <c r="M62" s="3332"/>
      <c r="N62" s="3325">
        <f>250/30</f>
        <v>8.3333333333333339</v>
      </c>
      <c r="O62" s="3322">
        <f t="shared" si="12"/>
        <v>0</v>
      </c>
      <c r="P62" s="3330" t="s">
        <v>3403</v>
      </c>
      <c r="Q62" s="3325" t="s">
        <v>3404</v>
      </c>
      <c r="R62" s="3328"/>
      <c r="S62" s="3328"/>
      <c r="T62" s="3328"/>
      <c r="Y62" s="3327">
        <f t="shared" si="0"/>
        <v>0</v>
      </c>
      <c r="Z62" s="3327">
        <f t="shared" si="1"/>
        <v>0</v>
      </c>
      <c r="AA62" s="3327">
        <f t="shared" si="2"/>
        <v>0</v>
      </c>
      <c r="AB62" s="3327">
        <f t="shared" si="3"/>
        <v>0</v>
      </c>
      <c r="AC62" s="3327">
        <f t="shared" si="4"/>
        <v>0</v>
      </c>
      <c r="AD62" s="3327">
        <f t="shared" si="5"/>
        <v>0</v>
      </c>
      <c r="AE62" s="3327">
        <f t="shared" si="6"/>
        <v>0</v>
      </c>
      <c r="AF62" s="3327">
        <f t="shared" si="7"/>
        <v>0</v>
      </c>
      <c r="AG62" s="3327">
        <f t="shared" si="8"/>
        <v>0</v>
      </c>
      <c r="AH62" s="3327">
        <f t="shared" si="9"/>
        <v>0</v>
      </c>
      <c r="AI62" s="3327">
        <f t="shared" si="10"/>
        <v>0</v>
      </c>
      <c r="AJ62" s="3327">
        <f t="shared" si="11"/>
        <v>0</v>
      </c>
    </row>
    <row r="63" spans="1:36" s="3327" customFormat="1" ht="24">
      <c r="A63" s="3326">
        <v>15</v>
      </c>
      <c r="B63" s="3323" t="s">
        <v>3405</v>
      </c>
      <c r="C63" s="3322" t="s">
        <v>3406</v>
      </c>
      <c r="D63" s="3322" t="s">
        <v>3407</v>
      </c>
      <c r="E63" s="3322" t="s">
        <v>3406</v>
      </c>
      <c r="F63" s="3322"/>
      <c r="G63" s="3324" t="s">
        <v>3166</v>
      </c>
      <c r="H63" s="3322" t="s">
        <v>3408</v>
      </c>
      <c r="I63" s="3322">
        <v>137.72999999999999</v>
      </c>
      <c r="J63" s="3322">
        <v>96.41</v>
      </c>
      <c r="K63" s="3322" t="s">
        <v>3409</v>
      </c>
      <c r="L63" s="3322" t="s">
        <v>3372</v>
      </c>
      <c r="M63" s="3329">
        <v>3</v>
      </c>
      <c r="N63" s="3325">
        <f>70/30</f>
        <v>2.3333333333333335</v>
      </c>
      <c r="O63" s="3322">
        <f t="shared" si="12"/>
        <v>321.37</v>
      </c>
      <c r="P63" s="3330" t="s">
        <v>3410</v>
      </c>
      <c r="Q63" s="3325" t="s">
        <v>3411</v>
      </c>
      <c r="R63" s="3322">
        <v>0.15</v>
      </c>
      <c r="S63" s="3322">
        <v>9641.1</v>
      </c>
      <c r="T63" s="3322">
        <v>1377.3</v>
      </c>
      <c r="Y63" s="3327">
        <f t="shared" si="0"/>
        <v>56561.120000000003</v>
      </c>
      <c r="Z63" s="3327">
        <f t="shared" si="1"/>
        <v>116978.68000000001</v>
      </c>
      <c r="AA63" s="3327">
        <f t="shared" si="2"/>
        <v>116978.68000000001</v>
      </c>
      <c r="AB63" s="3327">
        <f t="shared" si="3"/>
        <v>116978.68000000001</v>
      </c>
      <c r="AC63" s="3327">
        <f t="shared" si="4"/>
        <v>117300.05</v>
      </c>
      <c r="AD63" s="3327">
        <f t="shared" si="5"/>
        <v>116978.68000000001</v>
      </c>
      <c r="AE63" s="3327">
        <f t="shared" si="6"/>
        <v>116978.68000000001</v>
      </c>
      <c r="AF63" s="3327">
        <f t="shared" si="7"/>
        <v>116978.68000000001</v>
      </c>
      <c r="AG63" s="3327">
        <f t="shared" si="8"/>
        <v>117300.05</v>
      </c>
      <c r="AH63" s="3327">
        <f t="shared" si="9"/>
        <v>116978.68000000001</v>
      </c>
      <c r="AI63" s="3327">
        <f t="shared" si="10"/>
        <v>116978.68000000001</v>
      </c>
      <c r="AJ63" s="3327">
        <f t="shared" si="11"/>
        <v>116978.68000000001</v>
      </c>
    </row>
    <row r="64" spans="1:36" s="3327" customFormat="1">
      <c r="A64" s="3326"/>
      <c r="B64" s="3326"/>
      <c r="C64" s="3326"/>
      <c r="D64" s="3326"/>
      <c r="E64" s="3326"/>
      <c r="F64" s="3326"/>
      <c r="G64" s="3326"/>
      <c r="H64" s="3326"/>
      <c r="I64" s="3326"/>
      <c r="J64" s="3326"/>
      <c r="K64" s="3326"/>
      <c r="L64" s="3326"/>
      <c r="M64" s="3331"/>
      <c r="N64" s="3325">
        <f>100/30</f>
        <v>3.3333333333333335</v>
      </c>
      <c r="O64" s="3322">
        <f t="shared" si="12"/>
        <v>0</v>
      </c>
      <c r="P64" s="3330" t="s">
        <v>3412</v>
      </c>
      <c r="Q64" s="3325" t="s">
        <v>3413</v>
      </c>
      <c r="R64" s="3326">
        <v>0.15</v>
      </c>
      <c r="S64" s="3326"/>
      <c r="T64" s="3326"/>
      <c r="Y64" s="3327">
        <f t="shared" si="0"/>
        <v>0</v>
      </c>
      <c r="Z64" s="3327">
        <f t="shared" si="1"/>
        <v>0</v>
      </c>
      <c r="AA64" s="3327">
        <f t="shared" si="2"/>
        <v>0</v>
      </c>
      <c r="AB64" s="3327">
        <f t="shared" si="3"/>
        <v>0</v>
      </c>
      <c r="AC64" s="3327">
        <f t="shared" si="4"/>
        <v>0</v>
      </c>
      <c r="AD64" s="3327">
        <f t="shared" si="5"/>
        <v>0</v>
      </c>
      <c r="AE64" s="3327">
        <f t="shared" si="6"/>
        <v>0</v>
      </c>
      <c r="AF64" s="3327">
        <f t="shared" si="7"/>
        <v>0</v>
      </c>
      <c r="AG64" s="3327">
        <f t="shared" si="8"/>
        <v>0</v>
      </c>
      <c r="AH64" s="3327">
        <f t="shared" si="9"/>
        <v>0</v>
      </c>
      <c r="AI64" s="3327">
        <f t="shared" si="10"/>
        <v>0</v>
      </c>
      <c r="AJ64" s="3327">
        <f t="shared" si="11"/>
        <v>0</v>
      </c>
    </row>
    <row r="65" spans="1:36" s="3327" customFormat="1" ht="24">
      <c r="A65" s="3326"/>
      <c r="B65" s="3328"/>
      <c r="C65" s="3328"/>
      <c r="D65" s="3328"/>
      <c r="E65" s="3328"/>
      <c r="F65" s="3328"/>
      <c r="G65" s="3328"/>
      <c r="H65" s="3328"/>
      <c r="I65" s="3328"/>
      <c r="J65" s="3328"/>
      <c r="K65" s="3328"/>
      <c r="L65" s="3328"/>
      <c r="M65" s="3332"/>
      <c r="N65" s="3325">
        <f>130/30</f>
        <v>4.333333333333333</v>
      </c>
      <c r="O65" s="3322">
        <f t="shared" si="12"/>
        <v>0</v>
      </c>
      <c r="P65" s="3330" t="s">
        <v>3414</v>
      </c>
      <c r="Q65" s="3325" t="s">
        <v>3415</v>
      </c>
      <c r="R65" s="3328">
        <v>0.15</v>
      </c>
      <c r="S65" s="3328"/>
      <c r="T65" s="3328"/>
      <c r="Y65" s="3327">
        <f t="shared" si="0"/>
        <v>0</v>
      </c>
      <c r="Z65" s="3327">
        <f t="shared" si="1"/>
        <v>0</v>
      </c>
      <c r="AA65" s="3327">
        <f t="shared" si="2"/>
        <v>0</v>
      </c>
      <c r="AB65" s="3327">
        <f t="shared" si="3"/>
        <v>0</v>
      </c>
      <c r="AC65" s="3327">
        <f t="shared" si="4"/>
        <v>0</v>
      </c>
      <c r="AD65" s="3327">
        <f t="shared" si="5"/>
        <v>0</v>
      </c>
      <c r="AE65" s="3327">
        <f t="shared" si="6"/>
        <v>0</v>
      </c>
      <c r="AF65" s="3327">
        <f t="shared" si="7"/>
        <v>0</v>
      </c>
      <c r="AG65" s="3327">
        <f t="shared" si="8"/>
        <v>0</v>
      </c>
      <c r="AH65" s="3327">
        <f t="shared" si="9"/>
        <v>0</v>
      </c>
      <c r="AI65" s="3327">
        <f t="shared" si="10"/>
        <v>0</v>
      </c>
      <c r="AJ65" s="3327">
        <f t="shared" si="11"/>
        <v>0</v>
      </c>
    </row>
    <row r="66" spans="1:36" s="3327" customFormat="1" ht="24">
      <c r="A66" s="3326">
        <v>16</v>
      </c>
      <c r="B66" s="3323" t="s">
        <v>3416</v>
      </c>
      <c r="C66" s="3322" t="s">
        <v>3417</v>
      </c>
      <c r="D66" s="3322"/>
      <c r="E66" s="3322"/>
      <c r="F66" s="3324" t="s">
        <v>3166</v>
      </c>
      <c r="G66" s="3322"/>
      <c r="H66" s="3322" t="s">
        <v>3418</v>
      </c>
      <c r="I66" s="3322">
        <v>404.35</v>
      </c>
      <c r="J66" s="3322">
        <v>283.05</v>
      </c>
      <c r="K66" s="3322" t="s">
        <v>3419</v>
      </c>
      <c r="L66" s="3322"/>
      <c r="M66" s="3329">
        <v>6</v>
      </c>
      <c r="N66" s="3325">
        <f>365/30</f>
        <v>12.166666666666666</v>
      </c>
      <c r="O66" s="3322">
        <f t="shared" si="12"/>
        <v>4919.5916666666672</v>
      </c>
      <c r="P66" s="3330" t="s">
        <v>3420</v>
      </c>
      <c r="Q66" s="3325" t="s">
        <v>3421</v>
      </c>
      <c r="R66" s="3325">
        <v>0.08</v>
      </c>
      <c r="S66" s="3326"/>
      <c r="T66" s="3326"/>
      <c r="Y66" s="3327">
        <f t="shared" si="0"/>
        <v>865848.13333333342</v>
      </c>
      <c r="Z66" s="3327">
        <f t="shared" si="1"/>
        <v>1790731.3666666669</v>
      </c>
      <c r="AA66" s="3327">
        <f t="shared" si="2"/>
        <v>1790731.3666666669</v>
      </c>
      <c r="AB66" s="3327">
        <f t="shared" si="3"/>
        <v>1790731.3666666669</v>
      </c>
      <c r="AC66" s="3327">
        <f t="shared" si="4"/>
        <v>1795650.9583333335</v>
      </c>
      <c r="AD66" s="3327">
        <f t="shared" si="5"/>
        <v>1790731.3666666669</v>
      </c>
      <c r="AE66" s="3327">
        <f t="shared" si="6"/>
        <v>1790731.3666666669</v>
      </c>
      <c r="AF66" s="3327">
        <f t="shared" si="7"/>
        <v>1790731.3666666669</v>
      </c>
      <c r="AG66" s="3327">
        <f t="shared" si="8"/>
        <v>1795650.9583333335</v>
      </c>
      <c r="AH66" s="3327">
        <f t="shared" si="9"/>
        <v>1790731.3666666669</v>
      </c>
      <c r="AI66" s="3327">
        <f t="shared" si="10"/>
        <v>1790731.3666666669</v>
      </c>
      <c r="AJ66" s="3327">
        <f t="shared" si="11"/>
        <v>1790731.3666666669</v>
      </c>
    </row>
    <row r="67" spans="1:36" s="3327" customFormat="1">
      <c r="A67" s="3326"/>
      <c r="B67" s="3339"/>
      <c r="C67" s="3326"/>
      <c r="D67" s="3326"/>
      <c r="E67" s="3326"/>
      <c r="F67" s="3326"/>
      <c r="G67" s="3326"/>
      <c r="H67" s="3326"/>
      <c r="I67" s="3326"/>
      <c r="J67" s="3326"/>
      <c r="K67" s="3326"/>
      <c r="L67" s="3326"/>
      <c r="M67" s="3331"/>
      <c r="N67" s="3325">
        <f>365/30</f>
        <v>12.166666666666666</v>
      </c>
      <c r="O67" s="3322">
        <f t="shared" si="12"/>
        <v>0</v>
      </c>
      <c r="P67" s="3330" t="s">
        <v>3422</v>
      </c>
      <c r="Q67" s="3325" t="s">
        <v>3423</v>
      </c>
      <c r="R67" s="3325">
        <v>0.08</v>
      </c>
      <c r="S67" s="3326"/>
      <c r="T67" s="3326"/>
      <c r="Y67" s="3327">
        <f t="shared" ref="Y67:Y82" si="13">I67*N67*($Y$2-$X$2)</f>
        <v>0</v>
      </c>
      <c r="Z67" s="3327">
        <f t="shared" ref="Z67:Z82" si="14">I67*N67*($Z$2-$Z$1)</f>
        <v>0</v>
      </c>
      <c r="AA67" s="3327">
        <f t="shared" ref="AA67:AA82" si="15">I67*N67*($AA$2-$AA$1)</f>
        <v>0</v>
      </c>
      <c r="AB67" s="3327">
        <f t="shared" ref="AB67:AB82" si="16">I67*N67*($AB$2-$AB$1)</f>
        <v>0</v>
      </c>
      <c r="AC67" s="3327">
        <f t="shared" ref="AC67:AC82" si="17">I67*N67*($AC$2-$AC$1)</f>
        <v>0</v>
      </c>
      <c r="AD67" s="3327">
        <f t="shared" ref="AD67:AD82" si="18">I67*N67*($AD$2-$AD$1)</f>
        <v>0</v>
      </c>
      <c r="AE67" s="3327">
        <f t="shared" ref="AE67:AE82" si="19">I67*N67*($AE$2-$AE$1)</f>
        <v>0</v>
      </c>
      <c r="AF67" s="3327">
        <f t="shared" ref="AF67:AF82" si="20">I67*N67*($AF$2-$AF$1)</f>
        <v>0</v>
      </c>
      <c r="AG67" s="3327">
        <f t="shared" ref="AG67:AG82" si="21">I67*N67*($AG$2-$AG$1)</f>
        <v>0</v>
      </c>
      <c r="AH67" s="3327">
        <f t="shared" ref="AH67:AH82" si="22">I67*N67*($AH$2-$AH$1)</f>
        <v>0</v>
      </c>
      <c r="AI67" s="3327">
        <f t="shared" ref="AI67:AI82" si="23">I67*N67*($AI$2-$AI$1)</f>
        <v>0</v>
      </c>
      <c r="AJ67" s="3327">
        <f t="shared" ref="AJ67:AJ82" si="24">I67*N67*($AJ$2-$AJ$1)</f>
        <v>0</v>
      </c>
    </row>
    <row r="68" spans="1:36" s="3327" customFormat="1">
      <c r="A68" s="3326"/>
      <c r="B68" s="3339"/>
      <c r="C68" s="3326"/>
      <c r="D68" s="3326"/>
      <c r="E68" s="3326"/>
      <c r="F68" s="3326"/>
      <c r="G68" s="3326"/>
      <c r="H68" s="3326"/>
      <c r="I68" s="3326"/>
      <c r="J68" s="3326"/>
      <c r="K68" s="3326"/>
      <c r="L68" s="3326"/>
      <c r="M68" s="3331"/>
      <c r="N68" s="3325">
        <f>395/30</f>
        <v>13.166666666666666</v>
      </c>
      <c r="O68" s="3322">
        <f t="shared" ref="O68:O83" si="25">I68*N68</f>
        <v>0</v>
      </c>
      <c r="P68" s="3330" t="s">
        <v>3424</v>
      </c>
      <c r="Q68" s="3325" t="s">
        <v>3425</v>
      </c>
      <c r="R68" s="3325">
        <v>0.09</v>
      </c>
      <c r="S68" s="3326"/>
      <c r="T68" s="3326"/>
      <c r="Y68" s="3327">
        <f t="shared" si="13"/>
        <v>0</v>
      </c>
      <c r="Z68" s="3327">
        <f t="shared" si="14"/>
        <v>0</v>
      </c>
      <c r="AA68" s="3327">
        <f t="shared" si="15"/>
        <v>0</v>
      </c>
      <c r="AB68" s="3327">
        <f t="shared" si="16"/>
        <v>0</v>
      </c>
      <c r="AC68" s="3327">
        <f t="shared" si="17"/>
        <v>0</v>
      </c>
      <c r="AD68" s="3327">
        <f t="shared" si="18"/>
        <v>0</v>
      </c>
      <c r="AE68" s="3327">
        <f t="shared" si="19"/>
        <v>0</v>
      </c>
      <c r="AF68" s="3327">
        <f t="shared" si="20"/>
        <v>0</v>
      </c>
      <c r="AG68" s="3327">
        <f t="shared" si="21"/>
        <v>0</v>
      </c>
      <c r="AH68" s="3327">
        <f t="shared" si="22"/>
        <v>0</v>
      </c>
      <c r="AI68" s="3327">
        <f t="shared" si="23"/>
        <v>0</v>
      </c>
      <c r="AJ68" s="3327">
        <f t="shared" si="24"/>
        <v>0</v>
      </c>
    </row>
    <row r="69" spans="1:36" s="3327" customFormat="1">
      <c r="A69" s="3326"/>
      <c r="B69" s="3339"/>
      <c r="C69" s="3326"/>
      <c r="D69" s="3326"/>
      <c r="E69" s="3326"/>
      <c r="F69" s="3326"/>
      <c r="G69" s="3326"/>
      <c r="H69" s="3326"/>
      <c r="I69" s="3326"/>
      <c r="J69" s="3326"/>
      <c r="K69" s="3326"/>
      <c r="L69" s="3326"/>
      <c r="M69" s="3331"/>
      <c r="N69" s="3325">
        <f>395/30</f>
        <v>13.166666666666666</v>
      </c>
      <c r="O69" s="3322">
        <f t="shared" si="25"/>
        <v>0</v>
      </c>
      <c r="P69" s="3330" t="s">
        <v>3426</v>
      </c>
      <c r="Q69" s="3325" t="s">
        <v>3427</v>
      </c>
      <c r="R69" s="3325">
        <v>0.09</v>
      </c>
      <c r="S69" s="3326"/>
      <c r="T69" s="3326"/>
      <c r="Y69" s="3327">
        <f t="shared" si="13"/>
        <v>0</v>
      </c>
      <c r="Z69" s="3327">
        <f t="shared" si="14"/>
        <v>0</v>
      </c>
      <c r="AA69" s="3327">
        <f t="shared" si="15"/>
        <v>0</v>
      </c>
      <c r="AB69" s="3327">
        <f t="shared" si="16"/>
        <v>0</v>
      </c>
      <c r="AC69" s="3327">
        <f t="shared" si="17"/>
        <v>0</v>
      </c>
      <c r="AD69" s="3327">
        <f t="shared" si="18"/>
        <v>0</v>
      </c>
      <c r="AE69" s="3327">
        <f t="shared" si="19"/>
        <v>0</v>
      </c>
      <c r="AF69" s="3327">
        <f t="shared" si="20"/>
        <v>0</v>
      </c>
      <c r="AG69" s="3327">
        <f t="shared" si="21"/>
        <v>0</v>
      </c>
      <c r="AH69" s="3327">
        <f t="shared" si="22"/>
        <v>0</v>
      </c>
      <c r="AI69" s="3327">
        <f t="shared" si="23"/>
        <v>0</v>
      </c>
      <c r="AJ69" s="3327">
        <f t="shared" si="24"/>
        <v>0</v>
      </c>
    </row>
    <row r="70" spans="1:36" s="3327" customFormat="1">
      <c r="A70" s="3326"/>
      <c r="B70" s="3339"/>
      <c r="C70" s="3326"/>
      <c r="D70" s="3326"/>
      <c r="E70" s="3326"/>
      <c r="F70" s="3326"/>
      <c r="G70" s="3326"/>
      <c r="H70" s="3326"/>
      <c r="I70" s="3326"/>
      <c r="J70" s="3326"/>
      <c r="K70" s="3326"/>
      <c r="L70" s="3326"/>
      <c r="M70" s="3331"/>
      <c r="N70" s="3325">
        <f>425/30</f>
        <v>14.166666666666666</v>
      </c>
      <c r="O70" s="3322">
        <f t="shared" si="25"/>
        <v>0</v>
      </c>
      <c r="P70" s="3330" t="s">
        <v>3428</v>
      </c>
      <c r="Q70" s="3325" t="s">
        <v>3429</v>
      </c>
      <c r="R70" s="3325">
        <v>0.1</v>
      </c>
      <c r="S70" s="3326"/>
      <c r="T70" s="3326"/>
      <c r="Y70" s="3327">
        <f t="shared" si="13"/>
        <v>0</v>
      </c>
      <c r="Z70" s="3327">
        <f t="shared" si="14"/>
        <v>0</v>
      </c>
      <c r="AA70" s="3327">
        <f t="shared" si="15"/>
        <v>0</v>
      </c>
      <c r="AB70" s="3327">
        <f t="shared" si="16"/>
        <v>0</v>
      </c>
      <c r="AC70" s="3327">
        <f t="shared" si="17"/>
        <v>0</v>
      </c>
      <c r="AD70" s="3327">
        <f t="shared" si="18"/>
        <v>0</v>
      </c>
      <c r="AE70" s="3327">
        <f t="shared" si="19"/>
        <v>0</v>
      </c>
      <c r="AF70" s="3327">
        <f t="shared" si="20"/>
        <v>0</v>
      </c>
      <c r="AG70" s="3327">
        <f t="shared" si="21"/>
        <v>0</v>
      </c>
      <c r="AH70" s="3327">
        <f t="shared" si="22"/>
        <v>0</v>
      </c>
      <c r="AI70" s="3327">
        <f t="shared" si="23"/>
        <v>0</v>
      </c>
      <c r="AJ70" s="3327">
        <f t="shared" si="24"/>
        <v>0</v>
      </c>
    </row>
    <row r="71" spans="1:36" s="3327" customFormat="1">
      <c r="A71" s="3326"/>
      <c r="B71" s="3340"/>
      <c r="C71" s="3328"/>
      <c r="D71" s="3328"/>
      <c r="E71" s="3328"/>
      <c r="F71" s="3328"/>
      <c r="G71" s="3328"/>
      <c r="H71" s="3328"/>
      <c r="I71" s="3328"/>
      <c r="J71" s="3328"/>
      <c r="K71" s="3328"/>
      <c r="L71" s="3328"/>
      <c r="M71" s="3332"/>
      <c r="N71" s="3325">
        <f>425/30</f>
        <v>14.166666666666666</v>
      </c>
      <c r="O71" s="3322">
        <f t="shared" si="25"/>
        <v>0</v>
      </c>
      <c r="P71" s="3330" t="s">
        <v>3430</v>
      </c>
      <c r="Q71" s="3325" t="s">
        <v>3431</v>
      </c>
      <c r="R71" s="3325">
        <v>0.1</v>
      </c>
      <c r="S71" s="3326"/>
      <c r="T71" s="3326"/>
      <c r="Y71" s="3327">
        <f t="shared" si="13"/>
        <v>0</v>
      </c>
      <c r="Z71" s="3327">
        <f t="shared" si="14"/>
        <v>0</v>
      </c>
      <c r="AA71" s="3327">
        <f t="shared" si="15"/>
        <v>0</v>
      </c>
      <c r="AB71" s="3327">
        <f t="shared" si="16"/>
        <v>0</v>
      </c>
      <c r="AC71" s="3327">
        <f t="shared" si="17"/>
        <v>0</v>
      </c>
      <c r="AD71" s="3327">
        <f t="shared" si="18"/>
        <v>0</v>
      </c>
      <c r="AE71" s="3327">
        <f t="shared" si="19"/>
        <v>0</v>
      </c>
      <c r="AF71" s="3327">
        <f t="shared" si="20"/>
        <v>0</v>
      </c>
      <c r="AG71" s="3327">
        <f t="shared" si="21"/>
        <v>0</v>
      </c>
      <c r="AH71" s="3327">
        <f t="shared" si="22"/>
        <v>0</v>
      </c>
      <c r="AI71" s="3327">
        <f t="shared" si="23"/>
        <v>0</v>
      </c>
      <c r="AJ71" s="3327">
        <f t="shared" si="24"/>
        <v>0</v>
      </c>
    </row>
    <row r="72" spans="1:36" s="3327" customFormat="1" ht="24">
      <c r="A72" s="3326"/>
      <c r="B72" s="3323" t="s">
        <v>3432</v>
      </c>
      <c r="C72" s="3322" t="s">
        <v>3417</v>
      </c>
      <c r="D72" s="3322"/>
      <c r="E72" s="3322"/>
      <c r="F72" s="3324" t="s">
        <v>3166</v>
      </c>
      <c r="G72" s="3322"/>
      <c r="H72" s="3322" t="s">
        <v>3433</v>
      </c>
      <c r="I72" s="3322">
        <v>199.22</v>
      </c>
      <c r="J72" s="3322">
        <v>139.46</v>
      </c>
      <c r="K72" s="3322" t="s">
        <v>3419</v>
      </c>
      <c r="L72" s="3322"/>
      <c r="M72" s="3329">
        <v>6</v>
      </c>
      <c r="N72" s="3325">
        <f>426/30</f>
        <v>14.2</v>
      </c>
      <c r="O72" s="3322">
        <f t="shared" si="25"/>
        <v>2828.924</v>
      </c>
      <c r="P72" s="3330" t="s">
        <v>3434</v>
      </c>
      <c r="Q72" s="3325" t="s">
        <v>3435</v>
      </c>
      <c r="R72" s="3325">
        <v>0.08</v>
      </c>
      <c r="S72" s="3326"/>
      <c r="T72" s="3326"/>
      <c r="Y72" s="3327">
        <f t="shared" si="13"/>
        <v>497890.62400000001</v>
      </c>
      <c r="Z72" s="3327">
        <f t="shared" si="14"/>
        <v>1029728.336</v>
      </c>
      <c r="AA72" s="3327">
        <f t="shared" si="15"/>
        <v>1029728.336</v>
      </c>
      <c r="AB72" s="3327">
        <f t="shared" si="16"/>
        <v>1029728.336</v>
      </c>
      <c r="AC72" s="3327">
        <f t="shared" si="17"/>
        <v>1032557.26</v>
      </c>
      <c r="AD72" s="3327">
        <f t="shared" si="18"/>
        <v>1029728.336</v>
      </c>
      <c r="AE72" s="3327">
        <f t="shared" si="19"/>
        <v>1029728.336</v>
      </c>
      <c r="AF72" s="3327">
        <f t="shared" si="20"/>
        <v>1029728.336</v>
      </c>
      <c r="AG72" s="3327">
        <f t="shared" si="21"/>
        <v>1032557.26</v>
      </c>
      <c r="AH72" s="3327">
        <f t="shared" si="22"/>
        <v>1029728.336</v>
      </c>
      <c r="AI72" s="3327">
        <f t="shared" si="23"/>
        <v>1029728.336</v>
      </c>
      <c r="AJ72" s="3327">
        <f t="shared" si="24"/>
        <v>1029728.336</v>
      </c>
    </row>
    <row r="73" spans="1:36" s="3327" customFormat="1">
      <c r="A73" s="3326"/>
      <c r="B73" s="3339"/>
      <c r="C73" s="3326"/>
      <c r="D73" s="3326"/>
      <c r="E73" s="3326"/>
      <c r="F73" s="3326"/>
      <c r="G73" s="3326"/>
      <c r="H73" s="3326"/>
      <c r="I73" s="3326"/>
      <c r="J73" s="3326"/>
      <c r="K73" s="3326"/>
      <c r="L73" s="3326"/>
      <c r="M73" s="3331"/>
      <c r="N73" s="3325">
        <f>426/30</f>
        <v>14.2</v>
      </c>
      <c r="O73" s="3322">
        <f t="shared" si="25"/>
        <v>0</v>
      </c>
      <c r="P73" s="3330" t="s">
        <v>3436</v>
      </c>
      <c r="Q73" s="3325" t="s">
        <v>3437</v>
      </c>
      <c r="R73" s="3325">
        <v>0.08</v>
      </c>
      <c r="S73" s="3326"/>
      <c r="T73" s="3326"/>
      <c r="Y73" s="3327">
        <f t="shared" si="13"/>
        <v>0</v>
      </c>
      <c r="Z73" s="3327">
        <f t="shared" si="14"/>
        <v>0</v>
      </c>
      <c r="AA73" s="3327">
        <f t="shared" si="15"/>
        <v>0</v>
      </c>
      <c r="AB73" s="3327">
        <f t="shared" si="16"/>
        <v>0</v>
      </c>
      <c r="AC73" s="3327">
        <f t="shared" si="17"/>
        <v>0</v>
      </c>
      <c r="AD73" s="3327">
        <f t="shared" si="18"/>
        <v>0</v>
      </c>
      <c r="AE73" s="3327">
        <f t="shared" si="19"/>
        <v>0</v>
      </c>
      <c r="AF73" s="3327">
        <f t="shared" si="20"/>
        <v>0</v>
      </c>
      <c r="AG73" s="3327">
        <f t="shared" si="21"/>
        <v>0</v>
      </c>
      <c r="AH73" s="3327">
        <f t="shared" si="22"/>
        <v>0</v>
      </c>
      <c r="AI73" s="3327">
        <f t="shared" si="23"/>
        <v>0</v>
      </c>
      <c r="AJ73" s="3327">
        <f t="shared" si="24"/>
        <v>0</v>
      </c>
    </row>
    <row r="74" spans="1:36" s="3327" customFormat="1">
      <c r="A74" s="3326"/>
      <c r="B74" s="3339"/>
      <c r="C74" s="3326"/>
      <c r="D74" s="3326"/>
      <c r="E74" s="3326"/>
      <c r="F74" s="3326"/>
      <c r="G74" s="3326"/>
      <c r="H74" s="3326"/>
      <c r="I74" s="3326"/>
      <c r="J74" s="3326"/>
      <c r="K74" s="3326"/>
      <c r="L74" s="3326"/>
      <c r="M74" s="3331"/>
      <c r="N74" s="3325">
        <f>456/30</f>
        <v>15.2</v>
      </c>
      <c r="O74" s="3322">
        <f t="shared" si="25"/>
        <v>0</v>
      </c>
      <c r="P74" s="3330" t="s">
        <v>3438</v>
      </c>
      <c r="Q74" s="3325" t="s">
        <v>3439</v>
      </c>
      <c r="R74" s="3325">
        <v>0.09</v>
      </c>
      <c r="S74" s="3326"/>
      <c r="T74" s="3326"/>
      <c r="Y74" s="3327">
        <f t="shared" si="13"/>
        <v>0</v>
      </c>
      <c r="Z74" s="3327">
        <f t="shared" si="14"/>
        <v>0</v>
      </c>
      <c r="AA74" s="3327">
        <f t="shared" si="15"/>
        <v>0</v>
      </c>
      <c r="AB74" s="3327">
        <f t="shared" si="16"/>
        <v>0</v>
      </c>
      <c r="AC74" s="3327">
        <f t="shared" si="17"/>
        <v>0</v>
      </c>
      <c r="AD74" s="3327">
        <f t="shared" si="18"/>
        <v>0</v>
      </c>
      <c r="AE74" s="3327">
        <f t="shared" si="19"/>
        <v>0</v>
      </c>
      <c r="AF74" s="3327">
        <f t="shared" si="20"/>
        <v>0</v>
      </c>
      <c r="AG74" s="3327">
        <f t="shared" si="21"/>
        <v>0</v>
      </c>
      <c r="AH74" s="3327">
        <f t="shared" si="22"/>
        <v>0</v>
      </c>
      <c r="AI74" s="3327">
        <f t="shared" si="23"/>
        <v>0</v>
      </c>
      <c r="AJ74" s="3327">
        <f t="shared" si="24"/>
        <v>0</v>
      </c>
    </row>
    <row r="75" spans="1:36" s="3327" customFormat="1">
      <c r="A75" s="3326"/>
      <c r="B75" s="3339"/>
      <c r="C75" s="3326"/>
      <c r="D75" s="3326"/>
      <c r="E75" s="3326"/>
      <c r="F75" s="3326"/>
      <c r="G75" s="3326"/>
      <c r="H75" s="3326"/>
      <c r="I75" s="3326"/>
      <c r="J75" s="3326"/>
      <c r="K75" s="3326"/>
      <c r="L75" s="3326"/>
      <c r="M75" s="3331"/>
      <c r="N75" s="3325">
        <f>456/30</f>
        <v>15.2</v>
      </c>
      <c r="O75" s="3322">
        <f t="shared" si="25"/>
        <v>0</v>
      </c>
      <c r="P75" s="3330" t="s">
        <v>3440</v>
      </c>
      <c r="Q75" s="3325" t="s">
        <v>3441</v>
      </c>
      <c r="R75" s="3325">
        <v>0.09</v>
      </c>
      <c r="S75" s="3326"/>
      <c r="T75" s="3326"/>
      <c r="Y75" s="3327">
        <f t="shared" si="13"/>
        <v>0</v>
      </c>
      <c r="Z75" s="3327">
        <f t="shared" si="14"/>
        <v>0</v>
      </c>
      <c r="AA75" s="3327">
        <f t="shared" si="15"/>
        <v>0</v>
      </c>
      <c r="AB75" s="3327">
        <f t="shared" si="16"/>
        <v>0</v>
      </c>
      <c r="AC75" s="3327">
        <f t="shared" si="17"/>
        <v>0</v>
      </c>
      <c r="AD75" s="3327">
        <f t="shared" si="18"/>
        <v>0</v>
      </c>
      <c r="AE75" s="3327">
        <f t="shared" si="19"/>
        <v>0</v>
      </c>
      <c r="AF75" s="3327">
        <f t="shared" si="20"/>
        <v>0</v>
      </c>
      <c r="AG75" s="3327">
        <f t="shared" si="21"/>
        <v>0</v>
      </c>
      <c r="AH75" s="3327">
        <f t="shared" si="22"/>
        <v>0</v>
      </c>
      <c r="AI75" s="3327">
        <f t="shared" si="23"/>
        <v>0</v>
      </c>
      <c r="AJ75" s="3327">
        <f t="shared" si="24"/>
        <v>0</v>
      </c>
    </row>
    <row r="76" spans="1:36" s="3327" customFormat="1">
      <c r="A76" s="3326"/>
      <c r="B76" s="3339"/>
      <c r="C76" s="3326"/>
      <c r="D76" s="3326"/>
      <c r="E76" s="3326"/>
      <c r="F76" s="3326"/>
      <c r="G76" s="3326"/>
      <c r="H76" s="3326"/>
      <c r="I76" s="3326"/>
      <c r="J76" s="3326"/>
      <c r="K76" s="3326"/>
      <c r="L76" s="3326"/>
      <c r="M76" s="3331"/>
      <c r="N76" s="3325">
        <f>486/30</f>
        <v>16.2</v>
      </c>
      <c r="O76" s="3322">
        <f t="shared" si="25"/>
        <v>0</v>
      </c>
      <c r="P76" s="3330" t="s">
        <v>3442</v>
      </c>
      <c r="Q76" s="3325" t="s">
        <v>3443</v>
      </c>
      <c r="R76" s="3325">
        <v>0.1</v>
      </c>
      <c r="S76" s="3326"/>
      <c r="T76" s="3326"/>
      <c r="Y76" s="3327">
        <f t="shared" si="13"/>
        <v>0</v>
      </c>
      <c r="Z76" s="3327">
        <f t="shared" si="14"/>
        <v>0</v>
      </c>
      <c r="AA76" s="3327">
        <f t="shared" si="15"/>
        <v>0</v>
      </c>
      <c r="AB76" s="3327">
        <f t="shared" si="16"/>
        <v>0</v>
      </c>
      <c r="AC76" s="3327">
        <f t="shared" si="17"/>
        <v>0</v>
      </c>
      <c r="AD76" s="3327">
        <f t="shared" si="18"/>
        <v>0</v>
      </c>
      <c r="AE76" s="3327">
        <f t="shared" si="19"/>
        <v>0</v>
      </c>
      <c r="AF76" s="3327">
        <f t="shared" si="20"/>
        <v>0</v>
      </c>
      <c r="AG76" s="3327">
        <f t="shared" si="21"/>
        <v>0</v>
      </c>
      <c r="AH76" s="3327">
        <f t="shared" si="22"/>
        <v>0</v>
      </c>
      <c r="AI76" s="3327">
        <f t="shared" si="23"/>
        <v>0</v>
      </c>
      <c r="AJ76" s="3327">
        <f t="shared" si="24"/>
        <v>0</v>
      </c>
    </row>
    <row r="77" spans="1:36" s="3327" customFormat="1">
      <c r="A77" s="3326"/>
      <c r="B77" s="3340"/>
      <c r="C77" s="3328"/>
      <c r="D77" s="3328"/>
      <c r="E77" s="3328"/>
      <c r="F77" s="3328"/>
      <c r="G77" s="3328"/>
      <c r="H77" s="3328"/>
      <c r="I77" s="3328"/>
      <c r="J77" s="3328"/>
      <c r="K77" s="3328"/>
      <c r="L77" s="3328"/>
      <c r="M77" s="3332"/>
      <c r="N77" s="3325">
        <f>486/30</f>
        <v>16.2</v>
      </c>
      <c r="O77" s="3322">
        <f t="shared" si="25"/>
        <v>0</v>
      </c>
      <c r="P77" s="3330" t="s">
        <v>3444</v>
      </c>
      <c r="Q77" s="3325" t="s">
        <v>3445</v>
      </c>
      <c r="R77" s="3325">
        <v>0.1</v>
      </c>
      <c r="S77" s="3326"/>
      <c r="T77" s="3326"/>
      <c r="Y77" s="3327">
        <f t="shared" si="13"/>
        <v>0</v>
      </c>
      <c r="Z77" s="3327">
        <f t="shared" si="14"/>
        <v>0</v>
      </c>
      <c r="AA77" s="3327">
        <f t="shared" si="15"/>
        <v>0</v>
      </c>
      <c r="AB77" s="3327">
        <f t="shared" si="16"/>
        <v>0</v>
      </c>
      <c r="AC77" s="3327">
        <f t="shared" si="17"/>
        <v>0</v>
      </c>
      <c r="AD77" s="3327">
        <f t="shared" si="18"/>
        <v>0</v>
      </c>
      <c r="AE77" s="3327">
        <f t="shared" si="19"/>
        <v>0</v>
      </c>
      <c r="AF77" s="3327">
        <f t="shared" si="20"/>
        <v>0</v>
      </c>
      <c r="AG77" s="3327">
        <f t="shared" si="21"/>
        <v>0</v>
      </c>
      <c r="AH77" s="3327">
        <f t="shared" si="22"/>
        <v>0</v>
      </c>
      <c r="AI77" s="3327">
        <f t="shared" si="23"/>
        <v>0</v>
      </c>
      <c r="AJ77" s="3327">
        <f t="shared" si="24"/>
        <v>0</v>
      </c>
    </row>
    <row r="78" spans="1:36" s="3327" customFormat="1">
      <c r="A78" s="3326">
        <v>17</v>
      </c>
      <c r="B78" s="3323" t="s">
        <v>3446</v>
      </c>
      <c r="C78" s="3322" t="s">
        <v>3447</v>
      </c>
      <c r="D78" s="3322"/>
      <c r="E78" s="3322"/>
      <c r="F78" s="3322"/>
      <c r="G78" s="3324" t="s">
        <v>3166</v>
      </c>
      <c r="H78" s="3322" t="s">
        <v>3448</v>
      </c>
      <c r="I78" s="3322">
        <v>97.75</v>
      </c>
      <c r="J78" s="3322">
        <v>68.430000000000007</v>
      </c>
      <c r="K78" s="3322" t="s">
        <v>3449</v>
      </c>
      <c r="L78" s="3322"/>
      <c r="M78" s="3329">
        <v>3</v>
      </c>
      <c r="N78" s="3325">
        <f>310/30</f>
        <v>10.333333333333334</v>
      </c>
      <c r="O78" s="3322">
        <f t="shared" si="25"/>
        <v>1010.0833333333334</v>
      </c>
      <c r="P78" s="3330" t="s">
        <v>3450</v>
      </c>
      <c r="Q78" s="3325" t="s">
        <v>3451</v>
      </c>
      <c r="R78" s="3325">
        <v>0.1</v>
      </c>
      <c r="S78" s="3322">
        <v>6842.5</v>
      </c>
      <c r="T78" s="3322">
        <v>977.5</v>
      </c>
      <c r="Y78" s="3327">
        <f t="shared" si="13"/>
        <v>177774.66666666669</v>
      </c>
      <c r="Z78" s="3327">
        <f t="shared" si="14"/>
        <v>367670.33333333337</v>
      </c>
      <c r="AA78" s="3327">
        <f t="shared" si="15"/>
        <v>367670.33333333337</v>
      </c>
      <c r="AB78" s="3327">
        <f t="shared" si="16"/>
        <v>367670.33333333337</v>
      </c>
      <c r="AC78" s="3327">
        <f t="shared" si="17"/>
        <v>368680.41666666669</v>
      </c>
      <c r="AD78" s="3327">
        <f t="shared" si="18"/>
        <v>367670.33333333337</v>
      </c>
      <c r="AE78" s="3327">
        <f t="shared" si="19"/>
        <v>367670.33333333337</v>
      </c>
      <c r="AF78" s="3327">
        <f t="shared" si="20"/>
        <v>367670.33333333337</v>
      </c>
      <c r="AG78" s="3327">
        <f t="shared" si="21"/>
        <v>368680.41666666669</v>
      </c>
      <c r="AH78" s="3327">
        <f t="shared" si="22"/>
        <v>367670.33333333337</v>
      </c>
      <c r="AI78" s="3327">
        <f t="shared" si="23"/>
        <v>367670.33333333337</v>
      </c>
      <c r="AJ78" s="3327">
        <f t="shared" si="24"/>
        <v>367670.33333333337</v>
      </c>
    </row>
    <row r="79" spans="1:36" s="3327" customFormat="1">
      <c r="A79" s="3326"/>
      <c r="B79" s="3339" t="s">
        <v>3452</v>
      </c>
      <c r="C79" s="3326"/>
      <c r="D79" s="3326"/>
      <c r="E79" s="3326"/>
      <c r="F79" s="3326"/>
      <c r="G79" s="3326"/>
      <c r="H79" s="3326"/>
      <c r="I79" s="3326"/>
      <c r="J79" s="3326"/>
      <c r="K79" s="3326"/>
      <c r="L79" s="3326"/>
      <c r="M79" s="3331"/>
      <c r="N79" s="3325">
        <f>330/30</f>
        <v>11</v>
      </c>
      <c r="O79" s="3322">
        <f t="shared" si="25"/>
        <v>0</v>
      </c>
      <c r="P79" s="3330" t="s">
        <v>3453</v>
      </c>
      <c r="Q79" s="3325" t="s">
        <v>3454</v>
      </c>
      <c r="R79" s="3325">
        <v>0.11</v>
      </c>
      <c r="S79" s="3326"/>
      <c r="T79" s="3326"/>
      <c r="Y79" s="3327">
        <f t="shared" si="13"/>
        <v>0</v>
      </c>
      <c r="Z79" s="3327">
        <f t="shared" si="14"/>
        <v>0</v>
      </c>
      <c r="AA79" s="3327">
        <f t="shared" si="15"/>
        <v>0</v>
      </c>
      <c r="AB79" s="3327">
        <f t="shared" si="16"/>
        <v>0</v>
      </c>
      <c r="AC79" s="3327">
        <f t="shared" si="17"/>
        <v>0</v>
      </c>
      <c r="AD79" s="3327">
        <f t="shared" si="18"/>
        <v>0</v>
      </c>
      <c r="AE79" s="3327">
        <f t="shared" si="19"/>
        <v>0</v>
      </c>
      <c r="AF79" s="3327">
        <f t="shared" si="20"/>
        <v>0</v>
      </c>
      <c r="AG79" s="3327">
        <f t="shared" si="21"/>
        <v>0</v>
      </c>
      <c r="AH79" s="3327">
        <f t="shared" si="22"/>
        <v>0</v>
      </c>
      <c r="AI79" s="3327">
        <f t="shared" si="23"/>
        <v>0</v>
      </c>
      <c r="AJ79" s="3327">
        <f t="shared" si="24"/>
        <v>0</v>
      </c>
    </row>
    <row r="80" spans="1:36" s="3327" customFormat="1">
      <c r="A80" s="3326"/>
      <c r="B80" s="3340"/>
      <c r="C80" s="3328"/>
      <c r="D80" s="3328"/>
      <c r="E80" s="3328"/>
      <c r="F80" s="3328"/>
      <c r="G80" s="3328"/>
      <c r="H80" s="3328"/>
      <c r="I80" s="3328"/>
      <c r="J80" s="3328"/>
      <c r="K80" s="3328"/>
      <c r="L80" s="3328"/>
      <c r="M80" s="3332"/>
      <c r="N80" s="3325">
        <f>360/30</f>
        <v>12</v>
      </c>
      <c r="O80" s="3322">
        <f t="shared" si="25"/>
        <v>0</v>
      </c>
      <c r="P80" s="3330" t="s">
        <v>3455</v>
      </c>
      <c r="Q80" s="3325" t="s">
        <v>3456</v>
      </c>
      <c r="R80" s="3325">
        <v>0.12</v>
      </c>
      <c r="S80" s="3328"/>
      <c r="T80" s="3328"/>
      <c r="Y80" s="3327">
        <f t="shared" si="13"/>
        <v>0</v>
      </c>
      <c r="Z80" s="3327">
        <f t="shared" si="14"/>
        <v>0</v>
      </c>
      <c r="AA80" s="3327">
        <f t="shared" si="15"/>
        <v>0</v>
      </c>
      <c r="AB80" s="3327">
        <f t="shared" si="16"/>
        <v>0</v>
      </c>
      <c r="AC80" s="3327">
        <f t="shared" si="17"/>
        <v>0</v>
      </c>
      <c r="AD80" s="3327">
        <f t="shared" si="18"/>
        <v>0</v>
      </c>
      <c r="AE80" s="3327">
        <f t="shared" si="19"/>
        <v>0</v>
      </c>
      <c r="AF80" s="3327">
        <f t="shared" si="20"/>
        <v>0</v>
      </c>
      <c r="AG80" s="3327">
        <f t="shared" si="21"/>
        <v>0</v>
      </c>
      <c r="AH80" s="3327">
        <f t="shared" si="22"/>
        <v>0</v>
      </c>
      <c r="AI80" s="3327">
        <f t="shared" si="23"/>
        <v>0</v>
      </c>
      <c r="AJ80" s="3327">
        <f t="shared" si="24"/>
        <v>0</v>
      </c>
    </row>
    <row r="81" spans="1:37" s="3327" customFormat="1">
      <c r="A81" s="3326">
        <v>18</v>
      </c>
      <c r="B81" s="3323" t="s">
        <v>3457</v>
      </c>
      <c r="C81" s="3322" t="s">
        <v>3458</v>
      </c>
      <c r="D81" s="3322"/>
      <c r="E81" s="3322"/>
      <c r="F81" s="3324" t="s">
        <v>3166</v>
      </c>
      <c r="G81" s="3322"/>
      <c r="H81" s="3322" t="s">
        <v>3459</v>
      </c>
      <c r="I81" s="3322">
        <v>112.9</v>
      </c>
      <c r="J81" s="3322">
        <v>79.069999999999993</v>
      </c>
      <c r="K81" s="3322" t="s">
        <v>3460</v>
      </c>
      <c r="L81" s="3322"/>
      <c r="M81" s="3329">
        <v>3</v>
      </c>
      <c r="N81" s="3325">
        <f>430/30</f>
        <v>14.333333333333334</v>
      </c>
      <c r="O81" s="3322">
        <f t="shared" si="25"/>
        <v>1618.2333333333336</v>
      </c>
      <c r="P81" s="3330" t="s">
        <v>3461</v>
      </c>
      <c r="Q81" s="3325" t="s">
        <v>3462</v>
      </c>
      <c r="R81" s="3325">
        <v>0.14000000000000001</v>
      </c>
      <c r="S81" s="3322">
        <v>7903</v>
      </c>
      <c r="T81" s="3322">
        <v>1129</v>
      </c>
      <c r="Y81" s="3327">
        <f t="shared" si="13"/>
        <v>284809.06666666671</v>
      </c>
      <c r="Z81" s="3327">
        <f t="shared" si="14"/>
        <v>589036.93333333347</v>
      </c>
      <c r="AA81" s="3327">
        <f t="shared" si="15"/>
        <v>589036.93333333347</v>
      </c>
      <c r="AB81" s="3327">
        <f t="shared" si="16"/>
        <v>589036.93333333347</v>
      </c>
      <c r="AC81" s="3327">
        <f t="shared" si="17"/>
        <v>590655.16666666674</v>
      </c>
      <c r="AD81" s="3327">
        <f t="shared" si="18"/>
        <v>589036.93333333347</v>
      </c>
      <c r="AE81" s="3327">
        <f t="shared" si="19"/>
        <v>589036.93333333347</v>
      </c>
      <c r="AF81" s="3327">
        <f t="shared" si="20"/>
        <v>589036.93333333347</v>
      </c>
      <c r="AG81" s="3327">
        <f t="shared" si="21"/>
        <v>590655.16666666674</v>
      </c>
      <c r="AH81" s="3327">
        <f t="shared" si="22"/>
        <v>589036.93333333347</v>
      </c>
      <c r="AI81" s="3327">
        <f t="shared" si="23"/>
        <v>589036.93333333347</v>
      </c>
      <c r="AJ81" s="3327">
        <f t="shared" si="24"/>
        <v>589036.93333333347</v>
      </c>
    </row>
    <row r="82" spans="1:37" s="3327" customFormat="1">
      <c r="A82" s="3326"/>
      <c r="B82" s="3339"/>
      <c r="C82" s="3326"/>
      <c r="D82" s="3326"/>
      <c r="E82" s="3326"/>
      <c r="F82" s="3326"/>
      <c r="G82" s="3326"/>
      <c r="H82" s="3326"/>
      <c r="I82" s="3326"/>
      <c r="J82" s="3326"/>
      <c r="K82" s="3326"/>
      <c r="L82" s="3326"/>
      <c r="M82" s="3331"/>
      <c r="N82" s="3325">
        <f>460/30</f>
        <v>15.333333333333334</v>
      </c>
      <c r="O82" s="3322">
        <f t="shared" si="25"/>
        <v>0</v>
      </c>
      <c r="P82" s="3330" t="s">
        <v>3463</v>
      </c>
      <c r="Q82" s="3325" t="s">
        <v>3464</v>
      </c>
      <c r="R82" s="3325">
        <v>0.15</v>
      </c>
      <c r="S82" s="3326"/>
      <c r="T82" s="3326"/>
      <c r="Y82" s="3327">
        <f t="shared" si="13"/>
        <v>0</v>
      </c>
      <c r="Z82" s="3327">
        <f t="shared" si="14"/>
        <v>0</v>
      </c>
      <c r="AA82" s="3327">
        <f t="shared" si="15"/>
        <v>0</v>
      </c>
      <c r="AB82" s="3327">
        <f t="shared" si="16"/>
        <v>0</v>
      </c>
      <c r="AC82" s="3327">
        <f t="shared" si="17"/>
        <v>0</v>
      </c>
      <c r="AD82" s="3327">
        <f t="shared" si="18"/>
        <v>0</v>
      </c>
      <c r="AE82" s="3327">
        <f t="shared" si="19"/>
        <v>0</v>
      </c>
      <c r="AF82" s="3327">
        <f t="shared" si="20"/>
        <v>0</v>
      </c>
      <c r="AG82" s="3327">
        <f t="shared" si="21"/>
        <v>0</v>
      </c>
      <c r="AH82" s="3327">
        <f t="shared" si="22"/>
        <v>0</v>
      </c>
      <c r="AI82" s="3327">
        <f t="shared" si="23"/>
        <v>0</v>
      </c>
      <c r="AJ82" s="3327">
        <f t="shared" si="24"/>
        <v>0</v>
      </c>
    </row>
    <row r="83" spans="1:37" s="3327" customFormat="1">
      <c r="A83" s="3326"/>
      <c r="B83" s="3328"/>
      <c r="C83" s="3328"/>
      <c r="D83" s="3328"/>
      <c r="E83" s="3328"/>
      <c r="F83" s="3328"/>
      <c r="G83" s="3328"/>
      <c r="H83" s="3328"/>
      <c r="I83" s="3328"/>
      <c r="J83" s="3328"/>
      <c r="K83" s="3328"/>
      <c r="L83" s="3328"/>
      <c r="M83" s="3332"/>
      <c r="N83" s="3325">
        <f>490/30</f>
        <v>16.333333333333332</v>
      </c>
      <c r="O83" s="3322">
        <f t="shared" si="25"/>
        <v>0</v>
      </c>
      <c r="P83" s="3330" t="s">
        <v>3465</v>
      </c>
      <c r="Q83" s="3325" t="s">
        <v>3466</v>
      </c>
      <c r="R83" s="3325">
        <v>0.16</v>
      </c>
      <c r="S83" s="3328"/>
      <c r="T83" s="3328"/>
      <c r="Y83" s="3327">
        <f>SUM(Y3:Y82)</f>
        <v>9608494.0151963457</v>
      </c>
      <c r="Z83" s="3327">
        <f t="shared" ref="Z83:AJ83" si="26">SUM(Z3:Z82)</f>
        <v>19872112.6223379</v>
      </c>
      <c r="AA83" s="3327">
        <f t="shared" si="26"/>
        <v>19872112.6223379</v>
      </c>
      <c r="AB83" s="3327">
        <f t="shared" si="26"/>
        <v>19872112.6223379</v>
      </c>
      <c r="AC83" s="3327">
        <f t="shared" si="26"/>
        <v>19926706.338333338</v>
      </c>
      <c r="AD83" s="3327">
        <f t="shared" si="26"/>
        <v>19872112.6223379</v>
      </c>
      <c r="AE83" s="3327">
        <f t="shared" si="26"/>
        <v>19872112.6223379</v>
      </c>
      <c r="AF83" s="3327">
        <f t="shared" si="26"/>
        <v>19872112.6223379</v>
      </c>
      <c r="AG83" s="3327">
        <f t="shared" si="26"/>
        <v>19926706.338333338</v>
      </c>
      <c r="AH83" s="3327">
        <f t="shared" si="26"/>
        <v>19872112.6223379</v>
      </c>
      <c r="AI83" s="3327">
        <f t="shared" si="26"/>
        <v>19872112.6223379</v>
      </c>
      <c r="AJ83" s="3327">
        <f t="shared" si="26"/>
        <v>19872112.6223379</v>
      </c>
      <c r="AK83" s="3327">
        <f>SUM(Y83:AJ83)</f>
        <v>228310920.29290417</v>
      </c>
    </row>
    <row r="84" spans="1:37" s="3346" customFormat="1">
      <c r="A84" s="3341"/>
      <c r="B84" s="3341"/>
      <c r="C84" s="3341"/>
      <c r="D84" s="3341"/>
      <c r="E84" s="3341"/>
      <c r="F84" s="3341"/>
      <c r="G84" s="3341"/>
      <c r="H84" s="3341"/>
      <c r="I84" s="3341">
        <f>SUM(I3:I82)</f>
        <v>4714.87</v>
      </c>
      <c r="J84" s="3341"/>
      <c r="K84" s="3341"/>
      <c r="L84" s="3341"/>
      <c r="M84" s="3342"/>
      <c r="N84" s="3343"/>
      <c r="O84" s="3344">
        <f>SUM(O3:O83)</f>
        <v>54593.715995433799</v>
      </c>
      <c r="P84" s="3345"/>
      <c r="Q84" s="3343"/>
      <c r="R84" s="3343"/>
      <c r="S84" s="3341"/>
      <c r="T84" s="3341"/>
    </row>
    <row r="85" spans="1:37" s="3346" customFormat="1" ht="24">
      <c r="A85" s="3341"/>
      <c r="B85" s="3341" t="s">
        <v>3467</v>
      </c>
      <c r="C85" s="3341"/>
      <c r="D85" s="3341"/>
      <c r="E85" s="3341"/>
      <c r="F85" s="3341"/>
      <c r="G85" s="3341"/>
      <c r="H85" s="3341"/>
      <c r="I85" s="3341"/>
      <c r="J85" s="3341"/>
      <c r="K85" s="3341"/>
      <c r="L85" s="3341"/>
      <c r="M85" s="3342"/>
      <c r="N85" s="3343">
        <f>O84/'[1]数据-汇总表'!F19</f>
        <v>12.628401443281032</v>
      </c>
      <c r="O85" s="3344"/>
      <c r="P85" s="3345"/>
      <c r="Q85" s="3343"/>
      <c r="R85" s="3343">
        <v>0.1</v>
      </c>
      <c r="S85" s="3341">
        <f>N85*(1+R85)</f>
        <v>13.891241587609136</v>
      </c>
      <c r="T85" s="3341"/>
    </row>
    <row r="86" spans="1:37" s="3352" customFormat="1" ht="24">
      <c r="A86" s="3347">
        <v>19</v>
      </c>
      <c r="B86" s="3347" t="s">
        <v>3468</v>
      </c>
      <c r="C86" s="3347" t="s">
        <v>3469</v>
      </c>
      <c r="D86" s="3347" t="s">
        <v>3470</v>
      </c>
      <c r="E86" s="3347" t="s">
        <v>3470</v>
      </c>
      <c r="F86" s="3348" t="s">
        <v>3166</v>
      </c>
      <c r="G86" s="3347"/>
      <c r="H86" s="3347" t="s">
        <v>3471</v>
      </c>
      <c r="I86" s="3347">
        <v>119.9</v>
      </c>
      <c r="J86" s="3347">
        <v>86.93</v>
      </c>
      <c r="K86" s="3347" t="s">
        <v>3472</v>
      </c>
      <c r="L86" s="3347" t="s">
        <v>3473</v>
      </c>
      <c r="M86" s="3349" t="s">
        <v>3474</v>
      </c>
      <c r="N86" s="3350">
        <f>456/30</f>
        <v>15.2</v>
      </c>
      <c r="O86" s="3351">
        <f>I86*N86</f>
        <v>1822.48</v>
      </c>
      <c r="P86" s="3351" t="s">
        <v>3475</v>
      </c>
      <c r="Q86" s="3350" t="s">
        <v>3476</v>
      </c>
      <c r="R86" s="3350" t="s">
        <v>3477</v>
      </c>
      <c r="S86" s="3347">
        <v>8393</v>
      </c>
      <c r="T86" s="3347" t="s">
        <v>3478</v>
      </c>
      <c r="V86" s="3352" t="s">
        <v>3479</v>
      </c>
      <c r="Y86" s="3352">
        <f t="shared" ref="Y86:Y149" si="27">I86*N86*($Y$2-$X$2)</f>
        <v>320756.47999999998</v>
      </c>
      <c r="Z86" s="3352">
        <f t="shared" ref="Z86:Z149" si="28">I86*N86*($Z$2-$Z$1)</f>
        <v>663382.72</v>
      </c>
      <c r="AA86" s="3352">
        <f t="shared" ref="AA86:AA149" si="29">I86*N86*($AA$2-$AA$1)</f>
        <v>663382.72</v>
      </c>
      <c r="AB86" s="3352">
        <f t="shared" ref="AB86:AB149" si="30">I86*N86*($AB$2-$AB$1)</f>
        <v>663382.72</v>
      </c>
      <c r="AC86" s="3352">
        <f t="shared" ref="AC86:AC149" si="31">I86*N86*($AC$2-$AC$1)</f>
        <v>665205.19999999995</v>
      </c>
      <c r="AD86" s="3352">
        <f t="shared" ref="AD86:AD149" si="32">I86*N86*($AD$2-$AD$1)</f>
        <v>663382.72</v>
      </c>
      <c r="AE86" s="3352">
        <f t="shared" ref="AE86:AE149" si="33">I86*N86*($AE$2-$AE$1)</f>
        <v>663382.72</v>
      </c>
      <c r="AF86" s="3352">
        <f t="shared" ref="AF86:AF149" si="34">I86*N86*($AF$2-$AF$1)</f>
        <v>663382.72</v>
      </c>
      <c r="AG86" s="3352">
        <f t="shared" ref="AG86:AG149" si="35">I86*N86*($AG$2-$AG$1)</f>
        <v>665205.19999999995</v>
      </c>
      <c r="AH86" s="3352">
        <f t="shared" ref="AH86:AH149" si="36">I86*N86*($AH$2-$AH$1)</f>
        <v>663382.72</v>
      </c>
      <c r="AI86" s="3352">
        <f t="shared" ref="AI86:AI149" si="37">I86*N86*($AI$2-$AI$1)</f>
        <v>663382.72</v>
      </c>
      <c r="AJ86" s="3352">
        <f t="shared" ref="AJ86:AJ149" si="38">I86*N86*($AJ$2-$AJ$1)</f>
        <v>663382.72</v>
      </c>
    </row>
    <row r="87" spans="1:37" s="3352" customFormat="1">
      <c r="A87" s="3353"/>
      <c r="B87" s="3353"/>
      <c r="C87" s="3353"/>
      <c r="D87" s="3353"/>
      <c r="E87" s="3353"/>
      <c r="F87" s="3353"/>
      <c r="G87" s="3353"/>
      <c r="H87" s="3353"/>
      <c r="I87" s="3353"/>
      <c r="J87" s="3353"/>
      <c r="K87" s="3353"/>
      <c r="L87" s="3353"/>
      <c r="M87" s="3354"/>
      <c r="N87" s="3350">
        <f>487/30</f>
        <v>16.233333333333334</v>
      </c>
      <c r="O87" s="3351">
        <f t="shared" ref="O87:O150" si="39">I87*N87</f>
        <v>0</v>
      </c>
      <c r="P87" s="3351" t="s">
        <v>3480</v>
      </c>
      <c r="Q87" s="3350" t="s">
        <v>3481</v>
      </c>
      <c r="R87" s="3350" t="s">
        <v>3304</v>
      </c>
      <c r="S87" s="3353"/>
      <c r="T87" s="3353"/>
      <c r="Y87" s="3352">
        <f t="shared" si="27"/>
        <v>0</v>
      </c>
      <c r="Z87" s="3352">
        <f t="shared" si="28"/>
        <v>0</v>
      </c>
      <c r="AA87" s="3352">
        <f t="shared" si="29"/>
        <v>0</v>
      </c>
      <c r="AB87" s="3352">
        <f t="shared" si="30"/>
        <v>0</v>
      </c>
      <c r="AC87" s="3352">
        <f t="shared" si="31"/>
        <v>0</v>
      </c>
      <c r="AD87" s="3352">
        <f t="shared" si="32"/>
        <v>0</v>
      </c>
      <c r="AE87" s="3352">
        <f t="shared" si="33"/>
        <v>0</v>
      </c>
      <c r="AF87" s="3352">
        <f t="shared" si="34"/>
        <v>0</v>
      </c>
      <c r="AG87" s="3352">
        <f t="shared" si="35"/>
        <v>0</v>
      </c>
      <c r="AH87" s="3352">
        <f t="shared" si="36"/>
        <v>0</v>
      </c>
      <c r="AI87" s="3352">
        <f t="shared" si="37"/>
        <v>0</v>
      </c>
      <c r="AJ87" s="3352">
        <f t="shared" si="38"/>
        <v>0</v>
      </c>
    </row>
    <row r="88" spans="1:37" s="3352" customFormat="1">
      <c r="A88" s="3353"/>
      <c r="B88" s="3353"/>
      <c r="C88" s="3353"/>
      <c r="D88" s="3353"/>
      <c r="E88" s="3353"/>
      <c r="F88" s="3353"/>
      <c r="G88" s="3353"/>
      <c r="H88" s="3353"/>
      <c r="I88" s="3353"/>
      <c r="J88" s="3353"/>
      <c r="K88" s="3353"/>
      <c r="L88" s="3353"/>
      <c r="M88" s="3354"/>
      <c r="N88" s="3350">
        <f>487/30</f>
        <v>16.233333333333334</v>
      </c>
      <c r="O88" s="3351">
        <f t="shared" si="39"/>
        <v>0</v>
      </c>
      <c r="P88" s="3351" t="s">
        <v>3482</v>
      </c>
      <c r="Q88" s="3350" t="s">
        <v>3483</v>
      </c>
      <c r="R88" s="3350" t="s">
        <v>3484</v>
      </c>
      <c r="S88" s="3353"/>
      <c r="T88" s="3353"/>
      <c r="Y88" s="3352">
        <f t="shared" si="27"/>
        <v>0</v>
      </c>
      <c r="Z88" s="3352">
        <f t="shared" si="28"/>
        <v>0</v>
      </c>
      <c r="AA88" s="3352">
        <f t="shared" si="29"/>
        <v>0</v>
      </c>
      <c r="AB88" s="3352">
        <f t="shared" si="30"/>
        <v>0</v>
      </c>
      <c r="AC88" s="3352">
        <f t="shared" si="31"/>
        <v>0</v>
      </c>
      <c r="AD88" s="3352">
        <f t="shared" si="32"/>
        <v>0</v>
      </c>
      <c r="AE88" s="3352">
        <f t="shared" si="33"/>
        <v>0</v>
      </c>
      <c r="AF88" s="3352">
        <f t="shared" si="34"/>
        <v>0</v>
      </c>
      <c r="AG88" s="3352">
        <f t="shared" si="35"/>
        <v>0</v>
      </c>
      <c r="AH88" s="3352">
        <f t="shared" si="36"/>
        <v>0</v>
      </c>
      <c r="AI88" s="3352">
        <f t="shared" si="37"/>
        <v>0</v>
      </c>
      <c r="AJ88" s="3352">
        <f t="shared" si="38"/>
        <v>0</v>
      </c>
    </row>
    <row r="89" spans="1:37" s="3352" customFormat="1">
      <c r="A89" s="3355"/>
      <c r="B89" s="3355"/>
      <c r="C89" s="3355"/>
      <c r="D89" s="3355"/>
      <c r="E89" s="3355"/>
      <c r="F89" s="3355"/>
      <c r="G89" s="3355"/>
      <c r="H89" s="3355"/>
      <c r="I89" s="3355"/>
      <c r="J89" s="3355"/>
      <c r="K89" s="3355"/>
      <c r="L89" s="3355"/>
      <c r="M89" s="3356"/>
      <c r="N89" s="3350">
        <f>517/30</f>
        <v>17.233333333333334</v>
      </c>
      <c r="O89" s="3351">
        <f t="shared" si="39"/>
        <v>0</v>
      </c>
      <c r="P89" s="3351" t="s">
        <v>3485</v>
      </c>
      <c r="Q89" s="3350" t="s">
        <v>3486</v>
      </c>
      <c r="R89" s="3350" t="s">
        <v>3487</v>
      </c>
      <c r="S89" s="3355"/>
      <c r="T89" s="3355"/>
      <c r="Y89" s="3352">
        <f t="shared" si="27"/>
        <v>0</v>
      </c>
      <c r="Z89" s="3352">
        <f t="shared" si="28"/>
        <v>0</v>
      </c>
      <c r="AA89" s="3352">
        <f t="shared" si="29"/>
        <v>0</v>
      </c>
      <c r="AB89" s="3352">
        <f t="shared" si="30"/>
        <v>0</v>
      </c>
      <c r="AC89" s="3352">
        <f t="shared" si="31"/>
        <v>0</v>
      </c>
      <c r="AD89" s="3352">
        <f t="shared" si="32"/>
        <v>0</v>
      </c>
      <c r="AE89" s="3352">
        <f t="shared" si="33"/>
        <v>0</v>
      </c>
      <c r="AF89" s="3352">
        <f t="shared" si="34"/>
        <v>0</v>
      </c>
      <c r="AG89" s="3352">
        <f t="shared" si="35"/>
        <v>0</v>
      </c>
      <c r="AH89" s="3352">
        <f t="shared" si="36"/>
        <v>0</v>
      </c>
      <c r="AI89" s="3352">
        <f t="shared" si="37"/>
        <v>0</v>
      </c>
      <c r="AJ89" s="3352">
        <f t="shared" si="38"/>
        <v>0</v>
      </c>
    </row>
    <row r="90" spans="1:37" s="3352" customFormat="1" ht="24">
      <c r="A90" s="3347">
        <v>20</v>
      </c>
      <c r="B90" s="3347" t="s">
        <v>3488</v>
      </c>
      <c r="C90" s="3347" t="s">
        <v>3489</v>
      </c>
      <c r="D90" s="3347" t="s">
        <v>3490</v>
      </c>
      <c r="E90" s="3347" t="s">
        <v>3490</v>
      </c>
      <c r="F90" s="3348" t="s">
        <v>3166</v>
      </c>
      <c r="G90" s="3347"/>
      <c r="H90" s="3347" t="s">
        <v>3491</v>
      </c>
      <c r="I90" s="3347">
        <v>40.32</v>
      </c>
      <c r="J90" s="3347">
        <v>28.23</v>
      </c>
      <c r="K90" s="3347" t="s">
        <v>3472</v>
      </c>
      <c r="L90" s="3347" t="s">
        <v>3492</v>
      </c>
      <c r="M90" s="3349" t="s">
        <v>3493</v>
      </c>
      <c r="N90" s="3350">
        <f>630/30</f>
        <v>21</v>
      </c>
      <c r="O90" s="3351">
        <f t="shared" si="39"/>
        <v>846.72</v>
      </c>
      <c r="P90" s="3351" t="s">
        <v>3494</v>
      </c>
      <c r="Q90" s="3350" t="s">
        <v>3495</v>
      </c>
      <c r="R90" s="3350" t="s">
        <v>3496</v>
      </c>
      <c r="S90" s="3347" t="s">
        <v>3497</v>
      </c>
      <c r="T90" s="3347" t="s">
        <v>3498</v>
      </c>
      <c r="Y90" s="3352">
        <f t="shared" si="27"/>
        <v>149022.72</v>
      </c>
      <c r="Z90" s="3352">
        <f t="shared" si="28"/>
        <v>308206.08000000002</v>
      </c>
      <c r="AA90" s="3352">
        <f t="shared" si="29"/>
        <v>308206.08000000002</v>
      </c>
      <c r="AB90" s="3352">
        <f t="shared" si="30"/>
        <v>308206.08000000002</v>
      </c>
      <c r="AC90" s="3352">
        <f t="shared" si="31"/>
        <v>309052.79999999999</v>
      </c>
      <c r="AD90" s="3352">
        <f t="shared" si="32"/>
        <v>308206.08000000002</v>
      </c>
      <c r="AE90" s="3352">
        <f t="shared" si="33"/>
        <v>308206.08000000002</v>
      </c>
      <c r="AF90" s="3352">
        <f t="shared" si="34"/>
        <v>308206.08000000002</v>
      </c>
      <c r="AG90" s="3352">
        <f t="shared" si="35"/>
        <v>309052.79999999999</v>
      </c>
      <c r="AH90" s="3352">
        <f t="shared" si="36"/>
        <v>308206.08000000002</v>
      </c>
      <c r="AI90" s="3352">
        <f t="shared" si="37"/>
        <v>308206.08000000002</v>
      </c>
      <c r="AJ90" s="3352">
        <f t="shared" si="38"/>
        <v>308206.08000000002</v>
      </c>
    </row>
    <row r="91" spans="1:37" s="3352" customFormat="1" ht="20.100000000000001" customHeight="1">
      <c r="A91" s="3353"/>
      <c r="B91" s="3353"/>
      <c r="C91" s="3353"/>
      <c r="D91" s="3353"/>
      <c r="E91" s="3353"/>
      <c r="F91" s="3353"/>
      <c r="G91" s="3353"/>
      <c r="H91" s="3353"/>
      <c r="I91" s="3353"/>
      <c r="J91" s="3353"/>
      <c r="K91" s="3353"/>
      <c r="L91" s="3353"/>
      <c r="M91" s="3354"/>
      <c r="N91" s="3350">
        <f>660/30</f>
        <v>22</v>
      </c>
      <c r="O91" s="3351">
        <f t="shared" si="39"/>
        <v>0</v>
      </c>
      <c r="P91" s="3351" t="s">
        <v>3499</v>
      </c>
      <c r="Q91" s="3350" t="s">
        <v>3500</v>
      </c>
      <c r="R91" s="3350" t="s">
        <v>3304</v>
      </c>
      <c r="S91" s="3353"/>
      <c r="T91" s="3353"/>
      <c r="Y91" s="3352">
        <f t="shared" si="27"/>
        <v>0</v>
      </c>
      <c r="Z91" s="3352">
        <f t="shared" si="28"/>
        <v>0</v>
      </c>
      <c r="AA91" s="3352">
        <f t="shared" si="29"/>
        <v>0</v>
      </c>
      <c r="AB91" s="3352">
        <f t="shared" si="30"/>
        <v>0</v>
      </c>
      <c r="AC91" s="3352">
        <f t="shared" si="31"/>
        <v>0</v>
      </c>
      <c r="AD91" s="3352">
        <f t="shared" si="32"/>
        <v>0</v>
      </c>
      <c r="AE91" s="3352">
        <f t="shared" si="33"/>
        <v>0</v>
      </c>
      <c r="AF91" s="3352">
        <f t="shared" si="34"/>
        <v>0</v>
      </c>
      <c r="AG91" s="3352">
        <f t="shared" si="35"/>
        <v>0</v>
      </c>
      <c r="AH91" s="3352">
        <f t="shared" si="36"/>
        <v>0</v>
      </c>
      <c r="AI91" s="3352">
        <f t="shared" si="37"/>
        <v>0</v>
      </c>
      <c r="AJ91" s="3352">
        <f t="shared" si="38"/>
        <v>0</v>
      </c>
    </row>
    <row r="92" spans="1:37" s="3352" customFormat="1" ht="20.100000000000001" customHeight="1">
      <c r="A92" s="3347">
        <v>22</v>
      </c>
      <c r="B92" s="3347" t="s">
        <v>3501</v>
      </c>
      <c r="C92" s="3347" t="s">
        <v>3502</v>
      </c>
      <c r="D92" s="3347" t="s">
        <v>3503</v>
      </c>
      <c r="E92" s="3347"/>
      <c r="F92" s="3348" t="s">
        <v>3166</v>
      </c>
      <c r="G92" s="3347"/>
      <c r="H92" s="3347" t="s">
        <v>3504</v>
      </c>
      <c r="I92" s="3347">
        <v>62.88</v>
      </c>
      <c r="J92" s="3347">
        <v>44.02</v>
      </c>
      <c r="K92" s="3347"/>
      <c r="L92" s="3347" t="s">
        <v>3492</v>
      </c>
      <c r="M92" s="3349" t="s">
        <v>3493</v>
      </c>
      <c r="N92" s="3350">
        <f>630/30</f>
        <v>21</v>
      </c>
      <c r="O92" s="3351">
        <f t="shared" si="39"/>
        <v>1320.48</v>
      </c>
      <c r="P92" s="3351" t="s">
        <v>3505</v>
      </c>
      <c r="Q92" s="3350" t="s">
        <v>3506</v>
      </c>
      <c r="R92" s="3350" t="s">
        <v>3477</v>
      </c>
      <c r="S92" s="3347" t="s">
        <v>3507</v>
      </c>
      <c r="T92" s="3347" t="s">
        <v>3508</v>
      </c>
      <c r="Y92" s="3352">
        <f t="shared" si="27"/>
        <v>232404.48000000001</v>
      </c>
      <c r="Z92" s="3352">
        <f t="shared" si="28"/>
        <v>480654.72000000003</v>
      </c>
      <c r="AA92" s="3352">
        <f t="shared" si="29"/>
        <v>480654.72000000003</v>
      </c>
      <c r="AB92" s="3352">
        <f t="shared" si="30"/>
        <v>480654.72000000003</v>
      </c>
      <c r="AC92" s="3352">
        <f t="shared" si="31"/>
        <v>481975.2</v>
      </c>
      <c r="AD92" s="3352">
        <f t="shared" si="32"/>
        <v>480654.72000000003</v>
      </c>
      <c r="AE92" s="3352">
        <f t="shared" si="33"/>
        <v>480654.72000000003</v>
      </c>
      <c r="AF92" s="3352">
        <f t="shared" si="34"/>
        <v>480654.72000000003</v>
      </c>
      <c r="AG92" s="3352">
        <f t="shared" si="35"/>
        <v>481975.2</v>
      </c>
      <c r="AH92" s="3352">
        <f t="shared" si="36"/>
        <v>480654.72000000003</v>
      </c>
      <c r="AI92" s="3352">
        <f t="shared" si="37"/>
        <v>480654.72000000003</v>
      </c>
      <c r="AJ92" s="3352">
        <f t="shared" si="38"/>
        <v>480654.72000000003</v>
      </c>
    </row>
    <row r="93" spans="1:37" s="3352" customFormat="1">
      <c r="A93" s="3353"/>
      <c r="B93" s="3353"/>
      <c r="C93" s="3353"/>
      <c r="D93" s="3353"/>
      <c r="E93" s="3353"/>
      <c r="F93" s="3353"/>
      <c r="G93" s="3353"/>
      <c r="H93" s="3353"/>
      <c r="I93" s="3353"/>
      <c r="J93" s="3353"/>
      <c r="K93" s="3353"/>
      <c r="L93" s="3353"/>
      <c r="M93" s="3354"/>
      <c r="N93" s="3350">
        <f>616/30</f>
        <v>20.533333333333335</v>
      </c>
      <c r="O93" s="3351">
        <f t="shared" si="39"/>
        <v>0</v>
      </c>
      <c r="P93" s="3351" t="s">
        <v>3509</v>
      </c>
      <c r="Q93" s="3350" t="s">
        <v>3510</v>
      </c>
      <c r="R93" s="3350" t="s">
        <v>3304</v>
      </c>
      <c r="S93" s="3353"/>
      <c r="T93" s="3353"/>
      <c r="Y93" s="3352">
        <f t="shared" si="27"/>
        <v>0</v>
      </c>
      <c r="Z93" s="3352">
        <f t="shared" si="28"/>
        <v>0</v>
      </c>
      <c r="AA93" s="3352">
        <f t="shared" si="29"/>
        <v>0</v>
      </c>
      <c r="AB93" s="3352">
        <f t="shared" si="30"/>
        <v>0</v>
      </c>
      <c r="AC93" s="3352">
        <f t="shared" si="31"/>
        <v>0</v>
      </c>
      <c r="AD93" s="3352">
        <f t="shared" si="32"/>
        <v>0</v>
      </c>
      <c r="AE93" s="3352">
        <f t="shared" si="33"/>
        <v>0</v>
      </c>
      <c r="AF93" s="3352">
        <f t="shared" si="34"/>
        <v>0</v>
      </c>
      <c r="AG93" s="3352">
        <f t="shared" si="35"/>
        <v>0</v>
      </c>
      <c r="AH93" s="3352">
        <f t="shared" si="36"/>
        <v>0</v>
      </c>
      <c r="AI93" s="3352">
        <f t="shared" si="37"/>
        <v>0</v>
      </c>
      <c r="AJ93" s="3352">
        <f t="shared" si="38"/>
        <v>0</v>
      </c>
    </row>
    <row r="94" spans="1:37" s="3352" customFormat="1">
      <c r="A94" s="3355"/>
      <c r="B94" s="3355"/>
      <c r="C94" s="3355"/>
      <c r="D94" s="3355"/>
      <c r="E94" s="3355"/>
      <c r="F94" s="3355"/>
      <c r="G94" s="3355"/>
      <c r="H94" s="3355"/>
      <c r="I94" s="3355"/>
      <c r="J94" s="3355"/>
      <c r="K94" s="3355"/>
      <c r="L94" s="3355"/>
      <c r="M94" s="3356"/>
      <c r="N94" s="3350">
        <f>660/30</f>
        <v>22</v>
      </c>
      <c r="O94" s="3351">
        <f t="shared" si="39"/>
        <v>0</v>
      </c>
      <c r="P94" s="3351" t="s">
        <v>3511</v>
      </c>
      <c r="Q94" s="3350" t="s">
        <v>3512</v>
      </c>
      <c r="R94" s="3350" t="s">
        <v>3513</v>
      </c>
      <c r="S94" s="3355"/>
      <c r="T94" s="3355"/>
      <c r="Y94" s="3352">
        <f t="shared" si="27"/>
        <v>0</v>
      </c>
      <c r="Z94" s="3352">
        <f t="shared" si="28"/>
        <v>0</v>
      </c>
      <c r="AA94" s="3352">
        <f t="shared" si="29"/>
        <v>0</v>
      </c>
      <c r="AB94" s="3352">
        <f t="shared" si="30"/>
        <v>0</v>
      </c>
      <c r="AC94" s="3352">
        <f t="shared" si="31"/>
        <v>0</v>
      </c>
      <c r="AD94" s="3352">
        <f t="shared" si="32"/>
        <v>0</v>
      </c>
      <c r="AE94" s="3352">
        <f t="shared" si="33"/>
        <v>0</v>
      </c>
      <c r="AF94" s="3352">
        <f t="shared" si="34"/>
        <v>0</v>
      </c>
      <c r="AG94" s="3352">
        <f t="shared" si="35"/>
        <v>0</v>
      </c>
      <c r="AH94" s="3352">
        <f t="shared" si="36"/>
        <v>0</v>
      </c>
      <c r="AI94" s="3352">
        <f t="shared" si="37"/>
        <v>0</v>
      </c>
      <c r="AJ94" s="3352">
        <f t="shared" si="38"/>
        <v>0</v>
      </c>
    </row>
    <row r="95" spans="1:37" s="3352" customFormat="1" ht="24">
      <c r="A95" s="3347">
        <v>23</v>
      </c>
      <c r="B95" s="3347" t="s">
        <v>3514</v>
      </c>
      <c r="C95" s="3347" t="s">
        <v>3515</v>
      </c>
      <c r="D95" s="3347" t="s">
        <v>3516</v>
      </c>
      <c r="E95" s="3347" t="s">
        <v>3516</v>
      </c>
      <c r="F95" s="3348" t="s">
        <v>3166</v>
      </c>
      <c r="G95" s="3347"/>
      <c r="H95" s="3347" t="s">
        <v>3517</v>
      </c>
      <c r="I95" s="3347">
        <v>59.86</v>
      </c>
      <c r="J95" s="3347">
        <v>41.9</v>
      </c>
      <c r="K95" s="3347" t="s">
        <v>3472</v>
      </c>
      <c r="L95" s="3347" t="s">
        <v>3518</v>
      </c>
      <c r="M95" s="3349" t="s">
        <v>3519</v>
      </c>
      <c r="N95" s="3350">
        <f>760/30</f>
        <v>25.333333333333332</v>
      </c>
      <c r="O95" s="3351">
        <f t="shared" si="39"/>
        <v>1516.4533333333331</v>
      </c>
      <c r="P95" s="3351" t="s">
        <v>3520</v>
      </c>
      <c r="Q95" s="3350" t="s">
        <v>3521</v>
      </c>
      <c r="R95" s="3350" t="s">
        <v>3522</v>
      </c>
      <c r="S95" s="3347" t="s">
        <v>3523</v>
      </c>
      <c r="T95" s="3347" t="s">
        <v>3524</v>
      </c>
      <c r="Y95" s="3352">
        <f t="shared" si="27"/>
        <v>266895.78666666662</v>
      </c>
      <c r="Z95" s="3352">
        <f t="shared" si="28"/>
        <v>551989.01333333331</v>
      </c>
      <c r="AA95" s="3352">
        <f t="shared" si="29"/>
        <v>551989.01333333331</v>
      </c>
      <c r="AB95" s="3352">
        <f t="shared" si="30"/>
        <v>551989.01333333331</v>
      </c>
      <c r="AC95" s="3352">
        <f t="shared" si="31"/>
        <v>553505.46666666656</v>
      </c>
      <c r="AD95" s="3352">
        <f t="shared" si="32"/>
        <v>551989.01333333331</v>
      </c>
      <c r="AE95" s="3352">
        <f t="shared" si="33"/>
        <v>551989.01333333331</v>
      </c>
      <c r="AF95" s="3352">
        <f t="shared" si="34"/>
        <v>551989.01333333331</v>
      </c>
      <c r="AG95" s="3352">
        <f t="shared" si="35"/>
        <v>553505.46666666656</v>
      </c>
      <c r="AH95" s="3352">
        <f t="shared" si="36"/>
        <v>551989.01333333331</v>
      </c>
      <c r="AI95" s="3352">
        <f t="shared" si="37"/>
        <v>551989.01333333331</v>
      </c>
      <c r="AJ95" s="3352">
        <f t="shared" si="38"/>
        <v>551989.01333333331</v>
      </c>
    </row>
    <row r="96" spans="1:37" s="3352" customFormat="1">
      <c r="A96" s="3355"/>
      <c r="B96" s="3355"/>
      <c r="C96" s="3355"/>
      <c r="D96" s="3355"/>
      <c r="E96" s="3355"/>
      <c r="F96" s="3355"/>
      <c r="G96" s="3355"/>
      <c r="H96" s="3355"/>
      <c r="I96" s="3355"/>
      <c r="J96" s="3355"/>
      <c r="K96" s="3355"/>
      <c r="L96" s="3355"/>
      <c r="M96" s="3356"/>
      <c r="N96" s="3350">
        <f>760/30</f>
        <v>25.333333333333332</v>
      </c>
      <c r="O96" s="3351">
        <f t="shared" si="39"/>
        <v>0</v>
      </c>
      <c r="P96" s="3351" t="s">
        <v>3525</v>
      </c>
      <c r="Q96" s="3350" t="s">
        <v>3526</v>
      </c>
      <c r="R96" s="3350" t="s">
        <v>3527</v>
      </c>
      <c r="S96" s="3355"/>
      <c r="T96" s="3355"/>
      <c r="Y96" s="3352">
        <f t="shared" si="27"/>
        <v>0</v>
      </c>
      <c r="Z96" s="3352">
        <f t="shared" si="28"/>
        <v>0</v>
      </c>
      <c r="AA96" s="3352">
        <f t="shared" si="29"/>
        <v>0</v>
      </c>
      <c r="AB96" s="3352">
        <f t="shared" si="30"/>
        <v>0</v>
      </c>
      <c r="AC96" s="3352">
        <f t="shared" si="31"/>
        <v>0</v>
      </c>
      <c r="AD96" s="3352">
        <f t="shared" si="32"/>
        <v>0</v>
      </c>
      <c r="AE96" s="3352">
        <f t="shared" si="33"/>
        <v>0</v>
      </c>
      <c r="AF96" s="3352">
        <f t="shared" si="34"/>
        <v>0</v>
      </c>
      <c r="AG96" s="3352">
        <f t="shared" si="35"/>
        <v>0</v>
      </c>
      <c r="AH96" s="3352">
        <f t="shared" si="36"/>
        <v>0</v>
      </c>
      <c r="AI96" s="3352">
        <f t="shared" si="37"/>
        <v>0</v>
      </c>
      <c r="AJ96" s="3352">
        <f t="shared" si="38"/>
        <v>0</v>
      </c>
    </row>
    <row r="97" spans="1:36" s="3352" customFormat="1" ht="24">
      <c r="A97" s="3347">
        <v>24</v>
      </c>
      <c r="B97" s="3347" t="s">
        <v>3528</v>
      </c>
      <c r="C97" s="3347" t="s">
        <v>3529</v>
      </c>
      <c r="D97" s="3347" t="s">
        <v>3530</v>
      </c>
      <c r="E97" s="3347" t="s">
        <v>3530</v>
      </c>
      <c r="F97" s="3348" t="s">
        <v>3166</v>
      </c>
      <c r="G97" s="3347"/>
      <c r="H97" s="3347" t="s">
        <v>3531</v>
      </c>
      <c r="I97" s="3347">
        <v>129.69999999999999</v>
      </c>
      <c r="J97" s="3347">
        <v>90.77</v>
      </c>
      <c r="K97" s="3347" t="s">
        <v>3532</v>
      </c>
      <c r="L97" s="3347" t="s">
        <v>3533</v>
      </c>
      <c r="M97" s="3349" t="s">
        <v>3534</v>
      </c>
      <c r="N97" s="3350">
        <f>410/30</f>
        <v>13.666666666666666</v>
      </c>
      <c r="O97" s="3351">
        <f t="shared" si="39"/>
        <v>1772.5666666666664</v>
      </c>
      <c r="P97" s="3351" t="s">
        <v>3535</v>
      </c>
      <c r="Q97" s="3350" t="s">
        <v>3536</v>
      </c>
      <c r="R97" s="3350" t="s">
        <v>3324</v>
      </c>
      <c r="S97" s="3347" t="s">
        <v>3537</v>
      </c>
      <c r="T97" s="3347" t="s">
        <v>3538</v>
      </c>
      <c r="Y97" s="3352">
        <f t="shared" si="27"/>
        <v>311971.73333333328</v>
      </c>
      <c r="Z97" s="3352">
        <f t="shared" si="28"/>
        <v>645214.2666666666</v>
      </c>
      <c r="AA97" s="3352">
        <f t="shared" si="29"/>
        <v>645214.2666666666</v>
      </c>
      <c r="AB97" s="3352">
        <f t="shared" si="30"/>
        <v>645214.2666666666</v>
      </c>
      <c r="AC97" s="3352">
        <f t="shared" si="31"/>
        <v>646986.83333333326</v>
      </c>
      <c r="AD97" s="3352">
        <f t="shared" si="32"/>
        <v>645214.2666666666</v>
      </c>
      <c r="AE97" s="3352">
        <f t="shared" si="33"/>
        <v>645214.2666666666</v>
      </c>
      <c r="AF97" s="3352">
        <f t="shared" si="34"/>
        <v>645214.2666666666</v>
      </c>
      <c r="AG97" s="3352">
        <f t="shared" si="35"/>
        <v>646986.83333333326</v>
      </c>
      <c r="AH97" s="3352">
        <f t="shared" si="36"/>
        <v>645214.2666666666</v>
      </c>
      <c r="AI97" s="3352">
        <f t="shared" si="37"/>
        <v>645214.2666666666</v>
      </c>
      <c r="AJ97" s="3352">
        <f t="shared" si="38"/>
        <v>645214.2666666666</v>
      </c>
    </row>
    <row r="98" spans="1:36" s="3352" customFormat="1">
      <c r="A98" s="3353"/>
      <c r="B98" s="3353"/>
      <c r="C98" s="3353"/>
      <c r="D98" s="3353"/>
      <c r="E98" s="3353"/>
      <c r="F98" s="3353"/>
      <c r="G98" s="3353"/>
      <c r="H98" s="3353"/>
      <c r="I98" s="3353"/>
      <c r="J98" s="3353"/>
      <c r="K98" s="3353"/>
      <c r="L98" s="3353"/>
      <c r="M98" s="3354"/>
      <c r="N98" s="3350">
        <f>410/30</f>
        <v>13.666666666666666</v>
      </c>
      <c r="O98" s="3351">
        <f t="shared" si="39"/>
        <v>0</v>
      </c>
      <c r="P98" s="3351" t="s">
        <v>3539</v>
      </c>
      <c r="Q98" s="3350" t="s">
        <v>3540</v>
      </c>
      <c r="R98" s="3350" t="s">
        <v>3354</v>
      </c>
      <c r="S98" s="3353"/>
      <c r="T98" s="3353"/>
      <c r="Y98" s="3352">
        <f t="shared" si="27"/>
        <v>0</v>
      </c>
      <c r="Z98" s="3352">
        <f t="shared" si="28"/>
        <v>0</v>
      </c>
      <c r="AA98" s="3352">
        <f t="shared" si="29"/>
        <v>0</v>
      </c>
      <c r="AB98" s="3352">
        <f t="shared" si="30"/>
        <v>0</v>
      </c>
      <c r="AC98" s="3352">
        <f t="shared" si="31"/>
        <v>0</v>
      </c>
      <c r="AD98" s="3352">
        <f t="shared" si="32"/>
        <v>0</v>
      </c>
      <c r="AE98" s="3352">
        <f t="shared" si="33"/>
        <v>0</v>
      </c>
      <c r="AF98" s="3352">
        <f t="shared" si="34"/>
        <v>0</v>
      </c>
      <c r="AG98" s="3352">
        <f t="shared" si="35"/>
        <v>0</v>
      </c>
      <c r="AH98" s="3352">
        <f t="shared" si="36"/>
        <v>0</v>
      </c>
      <c r="AI98" s="3352">
        <f t="shared" si="37"/>
        <v>0</v>
      </c>
      <c r="AJ98" s="3352">
        <f t="shared" si="38"/>
        <v>0</v>
      </c>
    </row>
    <row r="99" spans="1:36" s="3352" customFormat="1">
      <c r="A99" s="3353"/>
      <c r="B99" s="3353"/>
      <c r="C99" s="3353"/>
      <c r="D99" s="3353"/>
      <c r="E99" s="3353"/>
      <c r="F99" s="3353"/>
      <c r="G99" s="3353"/>
      <c r="H99" s="3353"/>
      <c r="I99" s="3353"/>
      <c r="J99" s="3353"/>
      <c r="K99" s="3353"/>
      <c r="L99" s="3353"/>
      <c r="M99" s="3354"/>
      <c r="N99" s="3350">
        <f>430/30</f>
        <v>14.333333333333334</v>
      </c>
      <c r="O99" s="3351">
        <f t="shared" si="39"/>
        <v>0</v>
      </c>
      <c r="P99" s="3351" t="s">
        <v>3541</v>
      </c>
      <c r="Q99" s="3350" t="s">
        <v>3542</v>
      </c>
      <c r="R99" s="3350" t="s">
        <v>3543</v>
      </c>
      <c r="S99" s="3353"/>
      <c r="T99" s="3353"/>
      <c r="Y99" s="3352">
        <f t="shared" si="27"/>
        <v>0</v>
      </c>
      <c r="Z99" s="3352">
        <f t="shared" si="28"/>
        <v>0</v>
      </c>
      <c r="AA99" s="3352">
        <f t="shared" si="29"/>
        <v>0</v>
      </c>
      <c r="AB99" s="3352">
        <f t="shared" si="30"/>
        <v>0</v>
      </c>
      <c r="AC99" s="3352">
        <f t="shared" si="31"/>
        <v>0</v>
      </c>
      <c r="AD99" s="3352">
        <f t="shared" si="32"/>
        <v>0</v>
      </c>
      <c r="AE99" s="3352">
        <f t="shared" si="33"/>
        <v>0</v>
      </c>
      <c r="AF99" s="3352">
        <f t="shared" si="34"/>
        <v>0</v>
      </c>
      <c r="AG99" s="3352">
        <f t="shared" si="35"/>
        <v>0</v>
      </c>
      <c r="AH99" s="3352">
        <f t="shared" si="36"/>
        <v>0</v>
      </c>
      <c r="AI99" s="3352">
        <f t="shared" si="37"/>
        <v>0</v>
      </c>
      <c r="AJ99" s="3352">
        <f t="shared" si="38"/>
        <v>0</v>
      </c>
    </row>
    <row r="100" spans="1:36" s="3352" customFormat="1">
      <c r="A100" s="3355"/>
      <c r="B100" s="3355"/>
      <c r="C100" s="3355"/>
      <c r="D100" s="3355"/>
      <c r="E100" s="3355"/>
      <c r="F100" s="3355"/>
      <c r="G100" s="3355"/>
      <c r="H100" s="3355"/>
      <c r="I100" s="3355"/>
      <c r="J100" s="3355"/>
      <c r="K100" s="3355"/>
      <c r="L100" s="3355"/>
      <c r="M100" s="3356"/>
      <c r="N100" s="3350">
        <f>460/30</f>
        <v>15.333333333333334</v>
      </c>
      <c r="O100" s="3351">
        <f t="shared" si="39"/>
        <v>0</v>
      </c>
      <c r="P100" s="3351" t="s">
        <v>3544</v>
      </c>
      <c r="Q100" s="3350" t="s">
        <v>3545</v>
      </c>
      <c r="R100" s="3350" t="s">
        <v>3310</v>
      </c>
      <c r="S100" s="3355"/>
      <c r="T100" s="3355"/>
      <c r="Y100" s="3352">
        <f t="shared" si="27"/>
        <v>0</v>
      </c>
      <c r="Z100" s="3352">
        <f t="shared" si="28"/>
        <v>0</v>
      </c>
      <c r="AA100" s="3352">
        <f t="shared" si="29"/>
        <v>0</v>
      </c>
      <c r="AB100" s="3352">
        <f t="shared" si="30"/>
        <v>0</v>
      </c>
      <c r="AC100" s="3352">
        <f t="shared" si="31"/>
        <v>0</v>
      </c>
      <c r="AD100" s="3352">
        <f t="shared" si="32"/>
        <v>0</v>
      </c>
      <c r="AE100" s="3352">
        <f t="shared" si="33"/>
        <v>0</v>
      </c>
      <c r="AF100" s="3352">
        <f t="shared" si="34"/>
        <v>0</v>
      </c>
      <c r="AG100" s="3352">
        <f t="shared" si="35"/>
        <v>0</v>
      </c>
      <c r="AH100" s="3352">
        <f t="shared" si="36"/>
        <v>0</v>
      </c>
      <c r="AI100" s="3352">
        <f t="shared" si="37"/>
        <v>0</v>
      </c>
      <c r="AJ100" s="3352">
        <f t="shared" si="38"/>
        <v>0</v>
      </c>
    </row>
    <row r="101" spans="1:36" s="3352" customFormat="1" ht="24">
      <c r="A101" s="3347">
        <v>25</v>
      </c>
      <c r="B101" s="3347" t="s">
        <v>3546</v>
      </c>
      <c r="C101" s="3347" t="s">
        <v>3547</v>
      </c>
      <c r="D101" s="3347" t="s">
        <v>3548</v>
      </c>
      <c r="E101" s="3347"/>
      <c r="F101" s="3348" t="s">
        <v>3166</v>
      </c>
      <c r="G101" s="3347"/>
      <c r="H101" s="3347" t="s">
        <v>3549</v>
      </c>
      <c r="I101" s="3347">
        <v>63.21</v>
      </c>
      <c r="J101" s="3347">
        <v>44.25</v>
      </c>
      <c r="K101" s="3347" t="s">
        <v>3550</v>
      </c>
      <c r="L101" s="3347" t="s">
        <v>3492</v>
      </c>
      <c r="M101" s="3349" t="s">
        <v>3493</v>
      </c>
      <c r="N101" s="3350">
        <f>630/30</f>
        <v>21</v>
      </c>
      <c r="O101" s="3351">
        <f t="shared" si="39"/>
        <v>1327.41</v>
      </c>
      <c r="P101" s="3351" t="s">
        <v>3494</v>
      </c>
      <c r="Q101" s="3350" t="s">
        <v>3551</v>
      </c>
      <c r="R101" s="3350" t="s">
        <v>3250</v>
      </c>
      <c r="S101" s="3347" t="s">
        <v>3552</v>
      </c>
      <c r="T101" s="3347" t="s">
        <v>3553</v>
      </c>
      <c r="Y101" s="3352">
        <f t="shared" si="27"/>
        <v>233624.16</v>
      </c>
      <c r="Z101" s="3352">
        <f t="shared" si="28"/>
        <v>483177.24000000005</v>
      </c>
      <c r="AA101" s="3352">
        <f t="shared" si="29"/>
        <v>483177.24000000005</v>
      </c>
      <c r="AB101" s="3352">
        <f t="shared" si="30"/>
        <v>483177.24000000005</v>
      </c>
      <c r="AC101" s="3352">
        <f t="shared" si="31"/>
        <v>484504.65</v>
      </c>
      <c r="AD101" s="3352">
        <f t="shared" si="32"/>
        <v>483177.24000000005</v>
      </c>
      <c r="AE101" s="3352">
        <f t="shared" si="33"/>
        <v>483177.24000000005</v>
      </c>
      <c r="AF101" s="3352">
        <f t="shared" si="34"/>
        <v>483177.24000000005</v>
      </c>
      <c r="AG101" s="3352">
        <f t="shared" si="35"/>
        <v>484504.65</v>
      </c>
      <c r="AH101" s="3352">
        <f t="shared" si="36"/>
        <v>483177.24000000005</v>
      </c>
      <c r="AI101" s="3352">
        <f t="shared" si="37"/>
        <v>483177.24000000005</v>
      </c>
      <c r="AJ101" s="3352">
        <f t="shared" si="38"/>
        <v>483177.24000000005</v>
      </c>
    </row>
    <row r="102" spans="1:36" s="3352" customFormat="1">
      <c r="A102" s="3353"/>
      <c r="B102" s="3353"/>
      <c r="C102" s="3353"/>
      <c r="D102" s="3353"/>
      <c r="E102" s="3353"/>
      <c r="F102" s="3353"/>
      <c r="G102" s="3353"/>
      <c r="H102" s="3353"/>
      <c r="I102" s="3353"/>
      <c r="J102" s="3353"/>
      <c r="K102" s="3353"/>
      <c r="L102" s="3353"/>
      <c r="M102" s="3354"/>
      <c r="N102" s="3350">
        <f>690/30</f>
        <v>23</v>
      </c>
      <c r="O102" s="3351">
        <f t="shared" si="39"/>
        <v>0</v>
      </c>
      <c r="P102" s="3351" t="s">
        <v>3554</v>
      </c>
      <c r="Q102" s="3350" t="s">
        <v>3555</v>
      </c>
      <c r="R102" s="3350" t="s">
        <v>3556</v>
      </c>
      <c r="S102" s="3353"/>
      <c r="T102" s="3353"/>
      <c r="Y102" s="3352">
        <f t="shared" si="27"/>
        <v>0</v>
      </c>
      <c r="Z102" s="3352">
        <f t="shared" si="28"/>
        <v>0</v>
      </c>
      <c r="AA102" s="3352">
        <f t="shared" si="29"/>
        <v>0</v>
      </c>
      <c r="AB102" s="3352">
        <f t="shared" si="30"/>
        <v>0</v>
      </c>
      <c r="AC102" s="3352">
        <f t="shared" si="31"/>
        <v>0</v>
      </c>
      <c r="AD102" s="3352">
        <f t="shared" si="32"/>
        <v>0</v>
      </c>
      <c r="AE102" s="3352">
        <f t="shared" si="33"/>
        <v>0</v>
      </c>
      <c r="AF102" s="3352">
        <f t="shared" si="34"/>
        <v>0</v>
      </c>
      <c r="AG102" s="3352">
        <f t="shared" si="35"/>
        <v>0</v>
      </c>
      <c r="AH102" s="3352">
        <f t="shared" si="36"/>
        <v>0</v>
      </c>
      <c r="AI102" s="3352">
        <f t="shared" si="37"/>
        <v>0</v>
      </c>
      <c r="AJ102" s="3352">
        <f t="shared" si="38"/>
        <v>0</v>
      </c>
    </row>
    <row r="103" spans="1:36" s="3352" customFormat="1">
      <c r="A103" s="3355"/>
      <c r="B103" s="3355"/>
      <c r="C103" s="3355"/>
      <c r="D103" s="3355"/>
      <c r="E103" s="3355"/>
      <c r="F103" s="3355"/>
      <c r="G103" s="3355"/>
      <c r="H103" s="3355"/>
      <c r="I103" s="3355"/>
      <c r="J103" s="3355"/>
      <c r="K103" s="3355"/>
      <c r="L103" s="3355"/>
      <c r="M103" s="3356"/>
      <c r="N103" s="3350">
        <f>690/30</f>
        <v>23</v>
      </c>
      <c r="O103" s="3351">
        <f t="shared" si="39"/>
        <v>0</v>
      </c>
      <c r="P103" s="3351" t="s">
        <v>3557</v>
      </c>
      <c r="Q103" s="3350" t="s">
        <v>3558</v>
      </c>
      <c r="R103" s="3350" t="s">
        <v>3559</v>
      </c>
      <c r="S103" s="3355"/>
      <c r="T103" s="3355"/>
      <c r="Y103" s="3352">
        <f t="shared" si="27"/>
        <v>0</v>
      </c>
      <c r="Z103" s="3352">
        <f t="shared" si="28"/>
        <v>0</v>
      </c>
      <c r="AA103" s="3352">
        <f t="shared" si="29"/>
        <v>0</v>
      </c>
      <c r="AB103" s="3352">
        <f t="shared" si="30"/>
        <v>0</v>
      </c>
      <c r="AC103" s="3352">
        <f t="shared" si="31"/>
        <v>0</v>
      </c>
      <c r="AD103" s="3352">
        <f t="shared" si="32"/>
        <v>0</v>
      </c>
      <c r="AE103" s="3352">
        <f t="shared" si="33"/>
        <v>0</v>
      </c>
      <c r="AF103" s="3352">
        <f t="shared" si="34"/>
        <v>0</v>
      </c>
      <c r="AG103" s="3352">
        <f t="shared" si="35"/>
        <v>0</v>
      </c>
      <c r="AH103" s="3352">
        <f t="shared" si="36"/>
        <v>0</v>
      </c>
      <c r="AI103" s="3352">
        <f t="shared" si="37"/>
        <v>0</v>
      </c>
      <c r="AJ103" s="3352">
        <f t="shared" si="38"/>
        <v>0</v>
      </c>
    </row>
    <row r="104" spans="1:36" s="3352" customFormat="1" ht="24">
      <c r="A104" s="3347">
        <v>26</v>
      </c>
      <c r="B104" s="3347" t="s">
        <v>3560</v>
      </c>
      <c r="C104" s="3347" t="s">
        <v>3561</v>
      </c>
      <c r="D104" s="3347" t="s">
        <v>3562</v>
      </c>
      <c r="E104" s="3347" t="s">
        <v>3562</v>
      </c>
      <c r="F104" s="3348" t="s">
        <v>3166</v>
      </c>
      <c r="G104" s="3347"/>
      <c r="H104" s="3347" t="s">
        <v>3563</v>
      </c>
      <c r="I104" s="3347">
        <v>22.4</v>
      </c>
      <c r="J104" s="3347">
        <v>15.7</v>
      </c>
      <c r="K104" s="3347" t="s">
        <v>3472</v>
      </c>
      <c r="L104" s="3347" t="s">
        <v>3518</v>
      </c>
      <c r="M104" s="3349" t="s">
        <v>3519</v>
      </c>
      <c r="N104" s="3350">
        <f>800/30</f>
        <v>26.666666666666668</v>
      </c>
      <c r="O104" s="3351">
        <f t="shared" si="39"/>
        <v>597.33333333333337</v>
      </c>
      <c r="P104" s="3351" t="s">
        <v>3564</v>
      </c>
      <c r="Q104" s="3350" t="s">
        <v>3565</v>
      </c>
      <c r="R104" s="3357" t="s">
        <v>3188</v>
      </c>
      <c r="S104" s="3347" t="s">
        <v>3566</v>
      </c>
      <c r="T104" s="3358" t="s">
        <v>3567</v>
      </c>
      <c r="Y104" s="3352">
        <f t="shared" si="27"/>
        <v>105130.66666666667</v>
      </c>
      <c r="Z104" s="3352">
        <f t="shared" si="28"/>
        <v>217429.33333333334</v>
      </c>
      <c r="AA104" s="3352">
        <f t="shared" si="29"/>
        <v>217429.33333333334</v>
      </c>
      <c r="AB104" s="3352">
        <f t="shared" si="30"/>
        <v>217429.33333333334</v>
      </c>
      <c r="AC104" s="3352">
        <f t="shared" si="31"/>
        <v>218026.66666666669</v>
      </c>
      <c r="AD104" s="3352">
        <f t="shared" si="32"/>
        <v>217429.33333333334</v>
      </c>
      <c r="AE104" s="3352">
        <f t="shared" si="33"/>
        <v>217429.33333333334</v>
      </c>
      <c r="AF104" s="3352">
        <f t="shared" si="34"/>
        <v>217429.33333333334</v>
      </c>
      <c r="AG104" s="3352">
        <f t="shared" si="35"/>
        <v>218026.66666666669</v>
      </c>
      <c r="AH104" s="3352">
        <f t="shared" si="36"/>
        <v>217429.33333333334</v>
      </c>
      <c r="AI104" s="3352">
        <f t="shared" si="37"/>
        <v>217429.33333333334</v>
      </c>
      <c r="AJ104" s="3352">
        <f t="shared" si="38"/>
        <v>217429.33333333334</v>
      </c>
    </row>
    <row r="105" spans="1:36" s="3352" customFormat="1">
      <c r="A105" s="3355"/>
      <c r="B105" s="3355"/>
      <c r="C105" s="3355"/>
      <c r="D105" s="3355"/>
      <c r="E105" s="3355"/>
      <c r="F105" s="3355"/>
      <c r="G105" s="3355"/>
      <c r="H105" s="3355"/>
      <c r="I105" s="3355"/>
      <c r="J105" s="3355"/>
      <c r="K105" s="3355"/>
      <c r="L105" s="3355"/>
      <c r="M105" s="3356"/>
      <c r="N105" s="3350">
        <f>830/30</f>
        <v>27.666666666666668</v>
      </c>
      <c r="O105" s="3351">
        <f t="shared" si="39"/>
        <v>0</v>
      </c>
      <c r="P105" s="3351" t="s">
        <v>3568</v>
      </c>
      <c r="Q105" s="3350" t="s">
        <v>3569</v>
      </c>
      <c r="R105" s="3357" t="s">
        <v>3363</v>
      </c>
      <c r="S105" s="3355"/>
      <c r="T105" s="3359"/>
      <c r="Y105" s="3352">
        <f t="shared" si="27"/>
        <v>0</v>
      </c>
      <c r="Z105" s="3352">
        <f t="shared" si="28"/>
        <v>0</v>
      </c>
      <c r="AA105" s="3352">
        <f t="shared" si="29"/>
        <v>0</v>
      </c>
      <c r="AB105" s="3352">
        <f t="shared" si="30"/>
        <v>0</v>
      </c>
      <c r="AC105" s="3352">
        <f t="shared" si="31"/>
        <v>0</v>
      </c>
      <c r="AD105" s="3352">
        <f t="shared" si="32"/>
        <v>0</v>
      </c>
      <c r="AE105" s="3352">
        <f t="shared" si="33"/>
        <v>0</v>
      </c>
      <c r="AF105" s="3352">
        <f t="shared" si="34"/>
        <v>0</v>
      </c>
      <c r="AG105" s="3352">
        <f t="shared" si="35"/>
        <v>0</v>
      </c>
      <c r="AH105" s="3352">
        <f t="shared" si="36"/>
        <v>0</v>
      </c>
      <c r="AI105" s="3352">
        <f t="shared" si="37"/>
        <v>0</v>
      </c>
      <c r="AJ105" s="3352">
        <f t="shared" si="38"/>
        <v>0</v>
      </c>
    </row>
    <row r="106" spans="1:36" s="3352" customFormat="1" ht="24">
      <c r="A106" s="3347">
        <v>27</v>
      </c>
      <c r="B106" s="3347" t="s">
        <v>3570</v>
      </c>
      <c r="C106" s="3347" t="s">
        <v>3571</v>
      </c>
      <c r="D106" s="3347" t="s">
        <v>3572</v>
      </c>
      <c r="E106" s="3347" t="s">
        <v>3572</v>
      </c>
      <c r="F106" s="3348" t="s">
        <v>3166</v>
      </c>
      <c r="G106" s="3347"/>
      <c r="H106" s="3347" t="s">
        <v>3573</v>
      </c>
      <c r="I106" s="3347">
        <v>63</v>
      </c>
      <c r="J106" s="3347">
        <v>44</v>
      </c>
      <c r="K106" s="3347" t="s">
        <v>3574</v>
      </c>
      <c r="L106" s="3347" t="s">
        <v>3492</v>
      </c>
      <c r="M106" s="3349" t="s">
        <v>3493</v>
      </c>
      <c r="N106" s="3350">
        <f>660/30</f>
        <v>22</v>
      </c>
      <c r="O106" s="3351">
        <f t="shared" si="39"/>
        <v>1386</v>
      </c>
      <c r="P106" s="3351" t="s">
        <v>3575</v>
      </c>
      <c r="Q106" s="3350" t="s">
        <v>3576</v>
      </c>
      <c r="R106" s="3350" t="s">
        <v>3300</v>
      </c>
      <c r="S106" s="3353" t="s">
        <v>3577</v>
      </c>
      <c r="T106" s="3347" t="s">
        <v>3578</v>
      </c>
      <c r="Y106" s="3352">
        <f t="shared" si="27"/>
        <v>243936</v>
      </c>
      <c r="Z106" s="3352">
        <f t="shared" si="28"/>
        <v>504504</v>
      </c>
      <c r="AA106" s="3352">
        <f t="shared" si="29"/>
        <v>504504</v>
      </c>
      <c r="AB106" s="3352">
        <f t="shared" si="30"/>
        <v>504504</v>
      </c>
      <c r="AC106" s="3352">
        <f t="shared" si="31"/>
        <v>505890</v>
      </c>
      <c r="AD106" s="3352">
        <f t="shared" si="32"/>
        <v>504504</v>
      </c>
      <c r="AE106" s="3352">
        <f t="shared" si="33"/>
        <v>504504</v>
      </c>
      <c r="AF106" s="3352">
        <f t="shared" si="34"/>
        <v>504504</v>
      </c>
      <c r="AG106" s="3352">
        <f t="shared" si="35"/>
        <v>505890</v>
      </c>
      <c r="AH106" s="3352">
        <f t="shared" si="36"/>
        <v>504504</v>
      </c>
      <c r="AI106" s="3352">
        <f t="shared" si="37"/>
        <v>504504</v>
      </c>
      <c r="AJ106" s="3352">
        <f t="shared" si="38"/>
        <v>504504</v>
      </c>
    </row>
    <row r="107" spans="1:36" s="3352" customFormat="1">
      <c r="A107" s="3353"/>
      <c r="B107" s="3353"/>
      <c r="C107" s="3353"/>
      <c r="D107" s="3353"/>
      <c r="E107" s="3353"/>
      <c r="F107" s="3353"/>
      <c r="G107" s="3353"/>
      <c r="H107" s="3353"/>
      <c r="I107" s="3353"/>
      <c r="J107" s="3353"/>
      <c r="K107" s="3353"/>
      <c r="L107" s="3353"/>
      <c r="M107" s="3354"/>
      <c r="N107" s="3350">
        <f>690/30</f>
        <v>23</v>
      </c>
      <c r="O107" s="3351">
        <f t="shared" si="39"/>
        <v>0</v>
      </c>
      <c r="P107" s="3351" t="s">
        <v>3554</v>
      </c>
      <c r="Q107" s="3350" t="s">
        <v>3579</v>
      </c>
      <c r="R107" s="3350" t="s">
        <v>3255</v>
      </c>
      <c r="S107" s="3353"/>
      <c r="T107" s="3353"/>
      <c r="Y107" s="3352">
        <f t="shared" si="27"/>
        <v>0</v>
      </c>
      <c r="Z107" s="3352">
        <f t="shared" si="28"/>
        <v>0</v>
      </c>
      <c r="AA107" s="3352">
        <f t="shared" si="29"/>
        <v>0</v>
      </c>
      <c r="AB107" s="3352">
        <f t="shared" si="30"/>
        <v>0</v>
      </c>
      <c r="AC107" s="3352">
        <f t="shared" si="31"/>
        <v>0</v>
      </c>
      <c r="AD107" s="3352">
        <f t="shared" si="32"/>
        <v>0</v>
      </c>
      <c r="AE107" s="3352">
        <f t="shared" si="33"/>
        <v>0</v>
      </c>
      <c r="AF107" s="3352">
        <f t="shared" si="34"/>
        <v>0</v>
      </c>
      <c r="AG107" s="3352">
        <f t="shared" si="35"/>
        <v>0</v>
      </c>
      <c r="AH107" s="3352">
        <f t="shared" si="36"/>
        <v>0</v>
      </c>
      <c r="AI107" s="3352">
        <f t="shared" si="37"/>
        <v>0</v>
      </c>
      <c r="AJ107" s="3352">
        <f t="shared" si="38"/>
        <v>0</v>
      </c>
    </row>
    <row r="108" spans="1:36" s="3352" customFormat="1">
      <c r="A108" s="3355"/>
      <c r="B108" s="3355"/>
      <c r="C108" s="3355"/>
      <c r="D108" s="3355"/>
      <c r="E108" s="3355"/>
      <c r="F108" s="3355"/>
      <c r="G108" s="3355"/>
      <c r="H108" s="3355"/>
      <c r="I108" s="3355"/>
      <c r="J108" s="3355"/>
      <c r="K108" s="3355"/>
      <c r="L108" s="3355"/>
      <c r="M108" s="3356"/>
      <c r="N108" s="3350">
        <f>720/30</f>
        <v>24</v>
      </c>
      <c r="O108" s="3351">
        <f t="shared" si="39"/>
        <v>0</v>
      </c>
      <c r="P108" s="3351" t="s">
        <v>3580</v>
      </c>
      <c r="Q108" s="3350" t="s">
        <v>3581</v>
      </c>
      <c r="R108" s="3350" t="s">
        <v>3582</v>
      </c>
      <c r="S108" s="3355"/>
      <c r="T108" s="3355"/>
      <c r="Y108" s="3352">
        <f t="shared" si="27"/>
        <v>0</v>
      </c>
      <c r="Z108" s="3352">
        <f t="shared" si="28"/>
        <v>0</v>
      </c>
      <c r="AA108" s="3352">
        <f t="shared" si="29"/>
        <v>0</v>
      </c>
      <c r="AB108" s="3352">
        <f t="shared" si="30"/>
        <v>0</v>
      </c>
      <c r="AC108" s="3352">
        <f t="shared" si="31"/>
        <v>0</v>
      </c>
      <c r="AD108" s="3352">
        <f t="shared" si="32"/>
        <v>0</v>
      </c>
      <c r="AE108" s="3352">
        <f t="shared" si="33"/>
        <v>0</v>
      </c>
      <c r="AF108" s="3352">
        <f t="shared" si="34"/>
        <v>0</v>
      </c>
      <c r="AG108" s="3352">
        <f t="shared" si="35"/>
        <v>0</v>
      </c>
      <c r="AH108" s="3352">
        <f t="shared" si="36"/>
        <v>0</v>
      </c>
      <c r="AI108" s="3352">
        <f t="shared" si="37"/>
        <v>0</v>
      </c>
      <c r="AJ108" s="3352">
        <f t="shared" si="38"/>
        <v>0</v>
      </c>
    </row>
    <row r="109" spans="1:36" s="3352" customFormat="1" ht="24">
      <c r="A109" s="3353">
        <v>28</v>
      </c>
      <c r="B109" s="3347" t="s">
        <v>3583</v>
      </c>
      <c r="C109" s="3347" t="s">
        <v>3584</v>
      </c>
      <c r="D109" s="3347" t="s">
        <v>3585</v>
      </c>
      <c r="E109" s="3347" t="s">
        <v>3584</v>
      </c>
      <c r="F109" s="3348" t="s">
        <v>3166</v>
      </c>
      <c r="G109" s="3347"/>
      <c r="H109" s="3347" t="s">
        <v>3586</v>
      </c>
      <c r="I109" s="3347">
        <v>193.34</v>
      </c>
      <c r="J109" s="3347">
        <v>135.34</v>
      </c>
      <c r="K109" s="3347" t="s">
        <v>3587</v>
      </c>
      <c r="L109" s="3347" t="s">
        <v>3372</v>
      </c>
      <c r="M109" s="3349">
        <v>4</v>
      </c>
      <c r="N109" s="3350">
        <f>380/30</f>
        <v>12.666666666666666</v>
      </c>
      <c r="O109" s="3351">
        <f t="shared" si="39"/>
        <v>2448.9733333333334</v>
      </c>
      <c r="P109" s="3351" t="s">
        <v>3588</v>
      </c>
      <c r="Q109" s="3350" t="s">
        <v>3589</v>
      </c>
      <c r="R109" s="3350" t="s">
        <v>3590</v>
      </c>
      <c r="S109" s="3347" t="s">
        <v>3591</v>
      </c>
      <c r="T109" s="3347">
        <v>1933.4</v>
      </c>
      <c r="Y109" s="3352">
        <f t="shared" si="27"/>
        <v>431019.30666666664</v>
      </c>
      <c r="Z109" s="3352">
        <f t="shared" si="28"/>
        <v>891426.29333333333</v>
      </c>
      <c r="AA109" s="3352">
        <f t="shared" si="29"/>
        <v>891426.29333333333</v>
      </c>
      <c r="AB109" s="3352">
        <f t="shared" si="30"/>
        <v>891426.29333333333</v>
      </c>
      <c r="AC109" s="3352">
        <f t="shared" si="31"/>
        <v>893875.26666666672</v>
      </c>
      <c r="AD109" s="3352">
        <f t="shared" si="32"/>
        <v>891426.29333333333</v>
      </c>
      <c r="AE109" s="3352">
        <f t="shared" si="33"/>
        <v>891426.29333333333</v>
      </c>
      <c r="AF109" s="3352">
        <f t="shared" si="34"/>
        <v>891426.29333333333</v>
      </c>
      <c r="AG109" s="3352">
        <f t="shared" si="35"/>
        <v>893875.26666666672</v>
      </c>
      <c r="AH109" s="3352">
        <f t="shared" si="36"/>
        <v>891426.29333333333</v>
      </c>
      <c r="AI109" s="3352">
        <f t="shared" si="37"/>
        <v>891426.29333333333</v>
      </c>
      <c r="AJ109" s="3352">
        <f t="shared" si="38"/>
        <v>891426.29333333333</v>
      </c>
    </row>
    <row r="110" spans="1:36" s="3352" customFormat="1">
      <c r="A110" s="3353"/>
      <c r="B110" s="3353"/>
      <c r="C110" s="3353"/>
      <c r="D110" s="3353"/>
      <c r="E110" s="3353"/>
      <c r="F110" s="3353"/>
      <c r="G110" s="3353"/>
      <c r="H110" s="3353"/>
      <c r="I110" s="3353"/>
      <c r="J110" s="3353"/>
      <c r="K110" s="3353"/>
      <c r="L110" s="3353"/>
      <c r="M110" s="3354"/>
      <c r="N110" s="3350">
        <f>380/30</f>
        <v>12.666666666666666</v>
      </c>
      <c r="O110" s="3351">
        <f t="shared" si="39"/>
        <v>0</v>
      </c>
      <c r="P110" s="3351" t="s">
        <v>3592</v>
      </c>
      <c r="Q110" s="3350" t="s">
        <v>3593</v>
      </c>
      <c r="R110" s="3350" t="s">
        <v>3594</v>
      </c>
      <c r="S110" s="3353"/>
      <c r="T110" s="3353"/>
      <c r="Y110" s="3352">
        <f t="shared" si="27"/>
        <v>0</v>
      </c>
      <c r="Z110" s="3352">
        <f t="shared" si="28"/>
        <v>0</v>
      </c>
      <c r="AA110" s="3352">
        <f t="shared" si="29"/>
        <v>0</v>
      </c>
      <c r="AB110" s="3352">
        <f t="shared" si="30"/>
        <v>0</v>
      </c>
      <c r="AC110" s="3352">
        <f t="shared" si="31"/>
        <v>0</v>
      </c>
      <c r="AD110" s="3352">
        <f t="shared" si="32"/>
        <v>0</v>
      </c>
      <c r="AE110" s="3352">
        <f t="shared" si="33"/>
        <v>0</v>
      </c>
      <c r="AF110" s="3352">
        <f t="shared" si="34"/>
        <v>0</v>
      </c>
      <c r="AG110" s="3352">
        <f t="shared" si="35"/>
        <v>0</v>
      </c>
      <c r="AH110" s="3352">
        <f t="shared" si="36"/>
        <v>0</v>
      </c>
      <c r="AI110" s="3352">
        <f t="shared" si="37"/>
        <v>0</v>
      </c>
      <c r="AJ110" s="3352">
        <f t="shared" si="38"/>
        <v>0</v>
      </c>
    </row>
    <row r="111" spans="1:36" s="3352" customFormat="1">
      <c r="A111" s="3353"/>
      <c r="B111" s="3353"/>
      <c r="C111" s="3353"/>
      <c r="D111" s="3353"/>
      <c r="E111" s="3353"/>
      <c r="F111" s="3353"/>
      <c r="G111" s="3353"/>
      <c r="H111" s="3353"/>
      <c r="I111" s="3353"/>
      <c r="J111" s="3353"/>
      <c r="K111" s="3353"/>
      <c r="L111" s="3353"/>
      <c r="M111" s="3354"/>
      <c r="N111" s="3350">
        <f>395/30</f>
        <v>13.166666666666666</v>
      </c>
      <c r="O111" s="3351">
        <f t="shared" si="39"/>
        <v>0</v>
      </c>
      <c r="P111" s="3351" t="s">
        <v>3595</v>
      </c>
      <c r="Q111" s="3350" t="s">
        <v>3596</v>
      </c>
      <c r="R111" s="3350" t="s">
        <v>3597</v>
      </c>
      <c r="S111" s="3353"/>
      <c r="T111" s="3353"/>
      <c r="Y111" s="3352">
        <f t="shared" si="27"/>
        <v>0</v>
      </c>
      <c r="Z111" s="3352">
        <f t="shared" si="28"/>
        <v>0</v>
      </c>
      <c r="AA111" s="3352">
        <f t="shared" si="29"/>
        <v>0</v>
      </c>
      <c r="AB111" s="3352">
        <f t="shared" si="30"/>
        <v>0</v>
      </c>
      <c r="AC111" s="3352">
        <f t="shared" si="31"/>
        <v>0</v>
      </c>
      <c r="AD111" s="3352">
        <f t="shared" si="32"/>
        <v>0</v>
      </c>
      <c r="AE111" s="3352">
        <f t="shared" si="33"/>
        <v>0</v>
      </c>
      <c r="AF111" s="3352">
        <f t="shared" si="34"/>
        <v>0</v>
      </c>
      <c r="AG111" s="3352">
        <f t="shared" si="35"/>
        <v>0</v>
      </c>
      <c r="AH111" s="3352">
        <f t="shared" si="36"/>
        <v>0</v>
      </c>
      <c r="AI111" s="3352">
        <f t="shared" si="37"/>
        <v>0</v>
      </c>
      <c r="AJ111" s="3352">
        <f t="shared" si="38"/>
        <v>0</v>
      </c>
    </row>
    <row r="112" spans="1:36" s="3352" customFormat="1">
      <c r="A112" s="3355"/>
      <c r="B112" s="3355"/>
      <c r="C112" s="3355"/>
      <c r="D112" s="3355"/>
      <c r="E112" s="3355"/>
      <c r="F112" s="3355"/>
      <c r="G112" s="3355"/>
      <c r="H112" s="3355"/>
      <c r="I112" s="3355"/>
      <c r="J112" s="3355"/>
      <c r="K112" s="3355"/>
      <c r="L112" s="3355"/>
      <c r="M112" s="3356"/>
      <c r="N112" s="3350">
        <f>395/30</f>
        <v>13.166666666666666</v>
      </c>
      <c r="O112" s="3351">
        <f t="shared" si="39"/>
        <v>0</v>
      </c>
      <c r="P112" s="3351" t="s">
        <v>3598</v>
      </c>
      <c r="Q112" s="3350" t="s">
        <v>3599</v>
      </c>
      <c r="R112" s="3350" t="s">
        <v>3600</v>
      </c>
      <c r="S112" s="3355"/>
      <c r="T112" s="3355"/>
      <c r="Y112" s="3352">
        <f t="shared" si="27"/>
        <v>0</v>
      </c>
      <c r="Z112" s="3352">
        <f t="shared" si="28"/>
        <v>0</v>
      </c>
      <c r="AA112" s="3352">
        <f t="shared" si="29"/>
        <v>0</v>
      </c>
      <c r="AB112" s="3352">
        <f t="shared" si="30"/>
        <v>0</v>
      </c>
      <c r="AC112" s="3352">
        <f t="shared" si="31"/>
        <v>0</v>
      </c>
      <c r="AD112" s="3352">
        <f t="shared" si="32"/>
        <v>0</v>
      </c>
      <c r="AE112" s="3352">
        <f t="shared" si="33"/>
        <v>0</v>
      </c>
      <c r="AF112" s="3352">
        <f t="shared" si="34"/>
        <v>0</v>
      </c>
      <c r="AG112" s="3352">
        <f t="shared" si="35"/>
        <v>0</v>
      </c>
      <c r="AH112" s="3352">
        <f t="shared" si="36"/>
        <v>0</v>
      </c>
      <c r="AI112" s="3352">
        <f t="shared" si="37"/>
        <v>0</v>
      </c>
      <c r="AJ112" s="3352">
        <f t="shared" si="38"/>
        <v>0</v>
      </c>
    </row>
    <row r="113" spans="1:36" s="3352" customFormat="1" ht="24">
      <c r="A113" s="3347">
        <v>29</v>
      </c>
      <c r="B113" s="3347" t="s">
        <v>3601</v>
      </c>
      <c r="C113" s="3347" t="s">
        <v>3602</v>
      </c>
      <c r="D113" s="3347" t="s">
        <v>3603</v>
      </c>
      <c r="E113" s="3347"/>
      <c r="F113" s="3348" t="s">
        <v>3166</v>
      </c>
      <c r="G113" s="3347"/>
      <c r="H113" s="3347" t="s">
        <v>3604</v>
      </c>
      <c r="I113" s="3347">
        <v>24.59</v>
      </c>
      <c r="J113" s="3347">
        <v>17.21</v>
      </c>
      <c r="K113" s="3347" t="s">
        <v>3605</v>
      </c>
      <c r="L113" s="3347" t="s">
        <v>3372</v>
      </c>
      <c r="M113" s="3349">
        <v>2</v>
      </c>
      <c r="N113" s="3350">
        <f>912/30</f>
        <v>30.4</v>
      </c>
      <c r="O113" s="3351">
        <f t="shared" si="39"/>
        <v>747.53599999999994</v>
      </c>
      <c r="P113" s="3351" t="s">
        <v>3606</v>
      </c>
      <c r="Q113" s="3350" t="s">
        <v>3607</v>
      </c>
      <c r="R113" s="3350" t="s">
        <v>3250</v>
      </c>
      <c r="S113" s="3347" t="s">
        <v>3608</v>
      </c>
      <c r="T113" s="3347" t="s">
        <v>3609</v>
      </c>
      <c r="Y113" s="3352">
        <f t="shared" si="27"/>
        <v>131566.33599999998</v>
      </c>
      <c r="Z113" s="3352">
        <f t="shared" si="28"/>
        <v>272103.10399999999</v>
      </c>
      <c r="AA113" s="3352">
        <f t="shared" si="29"/>
        <v>272103.10399999999</v>
      </c>
      <c r="AB113" s="3352">
        <f t="shared" si="30"/>
        <v>272103.10399999999</v>
      </c>
      <c r="AC113" s="3352">
        <f t="shared" si="31"/>
        <v>272850.63999999996</v>
      </c>
      <c r="AD113" s="3352">
        <f t="shared" si="32"/>
        <v>272103.10399999999</v>
      </c>
      <c r="AE113" s="3352">
        <f t="shared" si="33"/>
        <v>272103.10399999999</v>
      </c>
      <c r="AF113" s="3352">
        <f t="shared" si="34"/>
        <v>272103.10399999999</v>
      </c>
      <c r="AG113" s="3352">
        <f t="shared" si="35"/>
        <v>272850.63999999996</v>
      </c>
      <c r="AH113" s="3352">
        <f t="shared" si="36"/>
        <v>272103.10399999999</v>
      </c>
      <c r="AI113" s="3352">
        <f t="shared" si="37"/>
        <v>272103.10399999999</v>
      </c>
      <c r="AJ113" s="3352">
        <f t="shared" si="38"/>
        <v>272103.10399999999</v>
      </c>
    </row>
    <row r="114" spans="1:36" s="3352" customFormat="1">
      <c r="A114" s="3355"/>
      <c r="B114" s="3355"/>
      <c r="C114" s="3355"/>
      <c r="D114" s="3355"/>
      <c r="E114" s="3355"/>
      <c r="F114" s="3355"/>
      <c r="G114" s="3355"/>
      <c r="H114" s="3355"/>
      <c r="I114" s="3355"/>
      <c r="J114" s="3355"/>
      <c r="K114" s="3355"/>
      <c r="L114" s="3355"/>
      <c r="M114" s="3356"/>
      <c r="N114" s="3350">
        <f>942/30</f>
        <v>31.4</v>
      </c>
      <c r="O114" s="3351">
        <f t="shared" si="39"/>
        <v>0</v>
      </c>
      <c r="P114" s="3351" t="s">
        <v>3610</v>
      </c>
      <c r="Q114" s="3350" t="s">
        <v>3611</v>
      </c>
      <c r="R114" s="3350" t="s">
        <v>3556</v>
      </c>
      <c r="S114" s="3355"/>
      <c r="T114" s="3355"/>
      <c r="Y114" s="3352">
        <f t="shared" si="27"/>
        <v>0</v>
      </c>
      <c r="Z114" s="3352">
        <f t="shared" si="28"/>
        <v>0</v>
      </c>
      <c r="AA114" s="3352">
        <f t="shared" si="29"/>
        <v>0</v>
      </c>
      <c r="AB114" s="3352">
        <f t="shared" si="30"/>
        <v>0</v>
      </c>
      <c r="AC114" s="3352">
        <f t="shared" si="31"/>
        <v>0</v>
      </c>
      <c r="AD114" s="3352">
        <f t="shared" si="32"/>
        <v>0</v>
      </c>
      <c r="AE114" s="3352">
        <f t="shared" si="33"/>
        <v>0</v>
      </c>
      <c r="AF114" s="3352">
        <f t="shared" si="34"/>
        <v>0</v>
      </c>
      <c r="AG114" s="3352">
        <f t="shared" si="35"/>
        <v>0</v>
      </c>
      <c r="AH114" s="3352">
        <f t="shared" si="36"/>
        <v>0</v>
      </c>
      <c r="AI114" s="3352">
        <f t="shared" si="37"/>
        <v>0</v>
      </c>
      <c r="AJ114" s="3352">
        <f t="shared" si="38"/>
        <v>0</v>
      </c>
    </row>
    <row r="115" spans="1:36" s="3352" customFormat="1" ht="24">
      <c r="A115" s="3347">
        <v>30</v>
      </c>
      <c r="B115" s="3347" t="s">
        <v>3612</v>
      </c>
      <c r="C115" s="3347" t="s">
        <v>3613</v>
      </c>
      <c r="D115" s="3347" t="s">
        <v>3614</v>
      </c>
      <c r="E115" s="3347" t="s">
        <v>3614</v>
      </c>
      <c r="F115" s="3348" t="s">
        <v>3166</v>
      </c>
      <c r="G115" s="3347"/>
      <c r="H115" s="3347" t="s">
        <v>3615</v>
      </c>
      <c r="I115" s="3347">
        <v>115.6</v>
      </c>
      <c r="J115" s="3347">
        <v>80.930000000000007</v>
      </c>
      <c r="K115" s="3347" t="s">
        <v>3616</v>
      </c>
      <c r="L115" s="3347" t="s">
        <v>3372</v>
      </c>
      <c r="M115" s="3349">
        <v>3</v>
      </c>
      <c r="N115" s="3350">
        <f>480/30</f>
        <v>16</v>
      </c>
      <c r="O115" s="3351">
        <f t="shared" si="39"/>
        <v>1849.6</v>
      </c>
      <c r="P115" s="3351" t="s">
        <v>3617</v>
      </c>
      <c r="Q115" s="3350" t="s">
        <v>3618</v>
      </c>
      <c r="R115" s="3350" t="s">
        <v>3324</v>
      </c>
      <c r="S115" s="3347" t="s">
        <v>3619</v>
      </c>
      <c r="T115" s="3347" t="s">
        <v>3620</v>
      </c>
      <c r="Y115" s="3352">
        <f t="shared" si="27"/>
        <v>325529.59999999998</v>
      </c>
      <c r="Z115" s="3352">
        <f t="shared" si="28"/>
        <v>673254.40000000002</v>
      </c>
      <c r="AA115" s="3352">
        <f t="shared" si="29"/>
        <v>673254.40000000002</v>
      </c>
      <c r="AB115" s="3352">
        <f t="shared" si="30"/>
        <v>673254.40000000002</v>
      </c>
      <c r="AC115" s="3352">
        <f t="shared" si="31"/>
        <v>675104</v>
      </c>
      <c r="AD115" s="3352">
        <f t="shared" si="32"/>
        <v>673254.40000000002</v>
      </c>
      <c r="AE115" s="3352">
        <f t="shared" si="33"/>
        <v>673254.40000000002</v>
      </c>
      <c r="AF115" s="3352">
        <f t="shared" si="34"/>
        <v>673254.40000000002</v>
      </c>
      <c r="AG115" s="3352">
        <f t="shared" si="35"/>
        <v>675104</v>
      </c>
      <c r="AH115" s="3352">
        <f t="shared" si="36"/>
        <v>673254.40000000002</v>
      </c>
      <c r="AI115" s="3352">
        <f t="shared" si="37"/>
        <v>673254.40000000002</v>
      </c>
      <c r="AJ115" s="3352">
        <f t="shared" si="38"/>
        <v>673254.40000000002</v>
      </c>
    </row>
    <row r="116" spans="1:36" s="3352" customFormat="1">
      <c r="A116" s="3353"/>
      <c r="B116" s="3353"/>
      <c r="C116" s="3353"/>
      <c r="D116" s="3353"/>
      <c r="E116" s="3353"/>
      <c r="F116" s="3353"/>
      <c r="G116" s="3353"/>
      <c r="H116" s="3353"/>
      <c r="I116" s="3353"/>
      <c r="J116" s="3353"/>
      <c r="K116" s="3353"/>
      <c r="L116" s="3353"/>
      <c r="M116" s="3354"/>
      <c r="N116" s="3350">
        <f>480/30</f>
        <v>16</v>
      </c>
      <c r="O116" s="3351">
        <f t="shared" si="39"/>
        <v>0</v>
      </c>
      <c r="P116" s="3351" t="s">
        <v>3621</v>
      </c>
      <c r="Q116" s="3350" t="s">
        <v>3622</v>
      </c>
      <c r="R116" s="3350" t="s">
        <v>3354</v>
      </c>
      <c r="S116" s="3353"/>
      <c r="T116" s="3353"/>
      <c r="Y116" s="3352">
        <f t="shared" si="27"/>
        <v>0</v>
      </c>
      <c r="Z116" s="3352">
        <f t="shared" si="28"/>
        <v>0</v>
      </c>
      <c r="AA116" s="3352">
        <f t="shared" si="29"/>
        <v>0</v>
      </c>
      <c r="AB116" s="3352">
        <f t="shared" si="30"/>
        <v>0</v>
      </c>
      <c r="AC116" s="3352">
        <f t="shared" si="31"/>
        <v>0</v>
      </c>
      <c r="AD116" s="3352">
        <f t="shared" si="32"/>
        <v>0</v>
      </c>
      <c r="AE116" s="3352">
        <f t="shared" si="33"/>
        <v>0</v>
      </c>
      <c r="AF116" s="3352">
        <f t="shared" si="34"/>
        <v>0</v>
      </c>
      <c r="AG116" s="3352">
        <f t="shared" si="35"/>
        <v>0</v>
      </c>
      <c r="AH116" s="3352">
        <f t="shared" si="36"/>
        <v>0</v>
      </c>
      <c r="AI116" s="3352">
        <f t="shared" si="37"/>
        <v>0</v>
      </c>
      <c r="AJ116" s="3352">
        <f t="shared" si="38"/>
        <v>0</v>
      </c>
    </row>
    <row r="117" spans="1:36" s="3352" customFormat="1">
      <c r="A117" s="3355"/>
      <c r="B117" s="3355"/>
      <c r="C117" s="3355"/>
      <c r="D117" s="3355"/>
      <c r="E117" s="3355"/>
      <c r="F117" s="3355"/>
      <c r="G117" s="3355"/>
      <c r="H117" s="3355"/>
      <c r="I117" s="3355"/>
      <c r="J117" s="3355"/>
      <c r="K117" s="3355"/>
      <c r="L117" s="3355"/>
      <c r="M117" s="3356"/>
      <c r="N117" s="3350">
        <f>510/30</f>
        <v>17</v>
      </c>
      <c r="O117" s="3351">
        <f t="shared" si="39"/>
        <v>0</v>
      </c>
      <c r="P117" s="3351" t="s">
        <v>3623</v>
      </c>
      <c r="Q117" s="3350" t="s">
        <v>3624</v>
      </c>
      <c r="R117" s="3350" t="s">
        <v>3543</v>
      </c>
      <c r="S117" s="3355"/>
      <c r="T117" s="3355"/>
      <c r="Y117" s="3352">
        <f t="shared" si="27"/>
        <v>0</v>
      </c>
      <c r="Z117" s="3352">
        <f t="shared" si="28"/>
        <v>0</v>
      </c>
      <c r="AA117" s="3352">
        <f t="shared" si="29"/>
        <v>0</v>
      </c>
      <c r="AB117" s="3352">
        <f t="shared" si="30"/>
        <v>0</v>
      </c>
      <c r="AC117" s="3352">
        <f t="shared" si="31"/>
        <v>0</v>
      </c>
      <c r="AD117" s="3352">
        <f t="shared" si="32"/>
        <v>0</v>
      </c>
      <c r="AE117" s="3352">
        <f t="shared" si="33"/>
        <v>0</v>
      </c>
      <c r="AF117" s="3352">
        <f t="shared" si="34"/>
        <v>0</v>
      </c>
      <c r="AG117" s="3352">
        <f t="shared" si="35"/>
        <v>0</v>
      </c>
      <c r="AH117" s="3352">
        <f t="shared" si="36"/>
        <v>0</v>
      </c>
      <c r="AI117" s="3352">
        <f t="shared" si="37"/>
        <v>0</v>
      </c>
      <c r="AJ117" s="3352">
        <f t="shared" si="38"/>
        <v>0</v>
      </c>
    </row>
    <row r="118" spans="1:36" s="3352" customFormat="1" ht="24">
      <c r="A118" s="3347">
        <v>31</v>
      </c>
      <c r="B118" s="3347" t="s">
        <v>3625</v>
      </c>
      <c r="C118" s="3347" t="s">
        <v>3626</v>
      </c>
      <c r="D118" s="3347" t="s">
        <v>3627</v>
      </c>
      <c r="E118" s="3347" t="s">
        <v>3627</v>
      </c>
      <c r="F118" s="3348" t="s">
        <v>3166</v>
      </c>
      <c r="G118" s="3347"/>
      <c r="H118" s="3347" t="s">
        <v>3628</v>
      </c>
      <c r="I118" s="3347">
        <v>63</v>
      </c>
      <c r="J118" s="3347">
        <v>44</v>
      </c>
      <c r="K118" s="3347" t="s">
        <v>3616</v>
      </c>
      <c r="L118" s="3347" t="s">
        <v>3372</v>
      </c>
      <c r="M118" s="3349">
        <v>5</v>
      </c>
      <c r="N118" s="3350">
        <f>500/30</f>
        <v>16.666666666666668</v>
      </c>
      <c r="O118" s="3351">
        <f t="shared" si="39"/>
        <v>1050</v>
      </c>
      <c r="P118" s="3351" t="s">
        <v>3629</v>
      </c>
      <c r="Q118" s="3350" t="s">
        <v>3630</v>
      </c>
      <c r="R118" s="3347" t="s">
        <v>3324</v>
      </c>
      <c r="S118" s="3347" t="s">
        <v>3577</v>
      </c>
      <c r="T118" s="3347" t="s">
        <v>3578</v>
      </c>
      <c r="Y118" s="3352">
        <f t="shared" si="27"/>
        <v>184800</v>
      </c>
      <c r="Z118" s="3352">
        <f t="shared" si="28"/>
        <v>382200</v>
      </c>
      <c r="AA118" s="3352">
        <f t="shared" si="29"/>
        <v>382200</v>
      </c>
      <c r="AB118" s="3352">
        <f t="shared" si="30"/>
        <v>382200</v>
      </c>
      <c r="AC118" s="3352">
        <f t="shared" si="31"/>
        <v>383250</v>
      </c>
      <c r="AD118" s="3352">
        <f t="shared" si="32"/>
        <v>382200</v>
      </c>
      <c r="AE118" s="3352">
        <f t="shared" si="33"/>
        <v>382200</v>
      </c>
      <c r="AF118" s="3352">
        <f t="shared" si="34"/>
        <v>382200</v>
      </c>
      <c r="AG118" s="3352">
        <f t="shared" si="35"/>
        <v>383250</v>
      </c>
      <c r="AH118" s="3352">
        <f t="shared" si="36"/>
        <v>382200</v>
      </c>
      <c r="AI118" s="3352">
        <f t="shared" si="37"/>
        <v>382200</v>
      </c>
      <c r="AJ118" s="3352">
        <f t="shared" si="38"/>
        <v>382200</v>
      </c>
    </row>
    <row r="119" spans="1:36" s="3352" customFormat="1">
      <c r="A119" s="3353"/>
      <c r="B119" s="3353"/>
      <c r="C119" s="3353"/>
      <c r="D119" s="3353"/>
      <c r="E119" s="3353"/>
      <c r="F119" s="3353"/>
      <c r="G119" s="3353"/>
      <c r="H119" s="3353"/>
      <c r="I119" s="3353"/>
      <c r="J119" s="3353"/>
      <c r="K119" s="3353"/>
      <c r="L119" s="3353"/>
      <c r="M119" s="3354"/>
      <c r="N119" s="3350">
        <f>500/30</f>
        <v>16.666666666666668</v>
      </c>
      <c r="O119" s="3351">
        <f t="shared" si="39"/>
        <v>0</v>
      </c>
      <c r="P119" s="3351" t="s">
        <v>3631</v>
      </c>
      <c r="Q119" s="3350" t="s">
        <v>3632</v>
      </c>
      <c r="R119" s="3353" t="s">
        <v>3354</v>
      </c>
      <c r="S119" s="3353"/>
      <c r="T119" s="3353"/>
      <c r="Y119" s="3352">
        <f t="shared" si="27"/>
        <v>0</v>
      </c>
      <c r="Z119" s="3352">
        <f t="shared" si="28"/>
        <v>0</v>
      </c>
      <c r="AA119" s="3352">
        <f t="shared" si="29"/>
        <v>0</v>
      </c>
      <c r="AB119" s="3352">
        <f t="shared" si="30"/>
        <v>0</v>
      </c>
      <c r="AC119" s="3352">
        <f t="shared" si="31"/>
        <v>0</v>
      </c>
      <c r="AD119" s="3352">
        <f t="shared" si="32"/>
        <v>0</v>
      </c>
      <c r="AE119" s="3352">
        <f t="shared" si="33"/>
        <v>0</v>
      </c>
      <c r="AF119" s="3352">
        <f t="shared" si="34"/>
        <v>0</v>
      </c>
      <c r="AG119" s="3352">
        <f t="shared" si="35"/>
        <v>0</v>
      </c>
      <c r="AH119" s="3352">
        <f t="shared" si="36"/>
        <v>0</v>
      </c>
      <c r="AI119" s="3352">
        <f t="shared" si="37"/>
        <v>0</v>
      </c>
      <c r="AJ119" s="3352">
        <f t="shared" si="38"/>
        <v>0</v>
      </c>
    </row>
    <row r="120" spans="1:36" s="3352" customFormat="1">
      <c r="A120" s="3353"/>
      <c r="B120" s="3353"/>
      <c r="C120" s="3353"/>
      <c r="D120" s="3353"/>
      <c r="E120" s="3353"/>
      <c r="F120" s="3353"/>
      <c r="G120" s="3353"/>
      <c r="H120" s="3353"/>
      <c r="I120" s="3353"/>
      <c r="J120" s="3353"/>
      <c r="K120" s="3353"/>
      <c r="L120" s="3353"/>
      <c r="M120" s="3354"/>
      <c r="N120" s="3350">
        <f>530/30</f>
        <v>17.666666666666668</v>
      </c>
      <c r="O120" s="3351">
        <f t="shared" si="39"/>
        <v>0</v>
      </c>
      <c r="P120" s="3351" t="s">
        <v>3633</v>
      </c>
      <c r="Q120" s="3350" t="s">
        <v>3634</v>
      </c>
      <c r="R120" s="3353" t="s">
        <v>3543</v>
      </c>
      <c r="S120" s="3353"/>
      <c r="T120" s="3353"/>
      <c r="Y120" s="3352">
        <f t="shared" si="27"/>
        <v>0</v>
      </c>
      <c r="Z120" s="3352">
        <f t="shared" si="28"/>
        <v>0</v>
      </c>
      <c r="AA120" s="3352">
        <f t="shared" si="29"/>
        <v>0</v>
      </c>
      <c r="AB120" s="3352">
        <f t="shared" si="30"/>
        <v>0</v>
      </c>
      <c r="AC120" s="3352">
        <f t="shared" si="31"/>
        <v>0</v>
      </c>
      <c r="AD120" s="3352">
        <f t="shared" si="32"/>
        <v>0</v>
      </c>
      <c r="AE120" s="3352">
        <f t="shared" si="33"/>
        <v>0</v>
      </c>
      <c r="AF120" s="3352">
        <f t="shared" si="34"/>
        <v>0</v>
      </c>
      <c r="AG120" s="3352">
        <f t="shared" si="35"/>
        <v>0</v>
      </c>
      <c r="AH120" s="3352">
        <f t="shared" si="36"/>
        <v>0</v>
      </c>
      <c r="AI120" s="3352">
        <f t="shared" si="37"/>
        <v>0</v>
      </c>
      <c r="AJ120" s="3352">
        <f t="shared" si="38"/>
        <v>0</v>
      </c>
    </row>
    <row r="121" spans="1:36" s="3352" customFormat="1">
      <c r="A121" s="3353"/>
      <c r="B121" s="3353"/>
      <c r="C121" s="3353"/>
      <c r="D121" s="3353"/>
      <c r="E121" s="3353"/>
      <c r="F121" s="3353"/>
      <c r="G121" s="3353"/>
      <c r="H121" s="3353"/>
      <c r="I121" s="3353"/>
      <c r="J121" s="3353"/>
      <c r="K121" s="3353"/>
      <c r="L121" s="3353"/>
      <c r="M121" s="3354"/>
      <c r="N121" s="3350">
        <f>530/30</f>
        <v>17.666666666666668</v>
      </c>
      <c r="O121" s="3351">
        <f t="shared" si="39"/>
        <v>0</v>
      </c>
      <c r="P121" s="3351" t="s">
        <v>3635</v>
      </c>
      <c r="Q121" s="3350" t="s">
        <v>3636</v>
      </c>
      <c r="R121" s="3353" t="s">
        <v>3637</v>
      </c>
      <c r="S121" s="3353"/>
      <c r="T121" s="3353"/>
      <c r="Y121" s="3352">
        <f t="shared" si="27"/>
        <v>0</v>
      </c>
      <c r="Z121" s="3352">
        <f t="shared" si="28"/>
        <v>0</v>
      </c>
      <c r="AA121" s="3352">
        <f t="shared" si="29"/>
        <v>0</v>
      </c>
      <c r="AB121" s="3352">
        <f t="shared" si="30"/>
        <v>0</v>
      </c>
      <c r="AC121" s="3352">
        <f t="shared" si="31"/>
        <v>0</v>
      </c>
      <c r="AD121" s="3352">
        <f t="shared" si="32"/>
        <v>0</v>
      </c>
      <c r="AE121" s="3352">
        <f t="shared" si="33"/>
        <v>0</v>
      </c>
      <c r="AF121" s="3352">
        <f t="shared" si="34"/>
        <v>0</v>
      </c>
      <c r="AG121" s="3352">
        <f t="shared" si="35"/>
        <v>0</v>
      </c>
      <c r="AH121" s="3352">
        <f t="shared" si="36"/>
        <v>0</v>
      </c>
      <c r="AI121" s="3352">
        <f t="shared" si="37"/>
        <v>0</v>
      </c>
      <c r="AJ121" s="3352">
        <f t="shared" si="38"/>
        <v>0</v>
      </c>
    </row>
    <row r="122" spans="1:36" s="3352" customFormat="1">
      <c r="A122" s="3355"/>
      <c r="B122" s="3355"/>
      <c r="C122" s="3355"/>
      <c r="D122" s="3355"/>
      <c r="E122" s="3355"/>
      <c r="F122" s="3355"/>
      <c r="G122" s="3355"/>
      <c r="H122" s="3355"/>
      <c r="I122" s="3355"/>
      <c r="J122" s="3355"/>
      <c r="K122" s="3355"/>
      <c r="L122" s="3355"/>
      <c r="M122" s="3356"/>
      <c r="N122" s="3350">
        <f>560/30</f>
        <v>18.666666666666668</v>
      </c>
      <c r="O122" s="3351">
        <f t="shared" si="39"/>
        <v>0</v>
      </c>
      <c r="P122" s="3351" t="s">
        <v>3638</v>
      </c>
      <c r="Q122" s="3350" t="s">
        <v>3639</v>
      </c>
      <c r="R122" s="3355" t="s">
        <v>3313</v>
      </c>
      <c r="S122" s="3355"/>
      <c r="T122" s="3355"/>
      <c r="Y122" s="3352">
        <f t="shared" si="27"/>
        <v>0</v>
      </c>
      <c r="Z122" s="3352">
        <f t="shared" si="28"/>
        <v>0</v>
      </c>
      <c r="AA122" s="3352">
        <f t="shared" si="29"/>
        <v>0</v>
      </c>
      <c r="AB122" s="3352">
        <f t="shared" si="30"/>
        <v>0</v>
      </c>
      <c r="AC122" s="3352">
        <f t="shared" si="31"/>
        <v>0</v>
      </c>
      <c r="AD122" s="3352">
        <f t="shared" si="32"/>
        <v>0</v>
      </c>
      <c r="AE122" s="3352">
        <f t="shared" si="33"/>
        <v>0</v>
      </c>
      <c r="AF122" s="3352">
        <f t="shared" si="34"/>
        <v>0</v>
      </c>
      <c r="AG122" s="3352">
        <f t="shared" si="35"/>
        <v>0</v>
      </c>
      <c r="AH122" s="3352">
        <f t="shared" si="36"/>
        <v>0</v>
      </c>
      <c r="AI122" s="3352">
        <f t="shared" si="37"/>
        <v>0</v>
      </c>
      <c r="AJ122" s="3352">
        <f t="shared" si="38"/>
        <v>0</v>
      </c>
    </row>
    <row r="123" spans="1:36" s="3352" customFormat="1" ht="24">
      <c r="A123" s="3347">
        <v>32</v>
      </c>
      <c r="B123" s="3347" t="s">
        <v>3640</v>
      </c>
      <c r="C123" s="3347" t="s">
        <v>3641</v>
      </c>
      <c r="D123" s="3347" t="s">
        <v>3642</v>
      </c>
      <c r="E123" s="3347" t="s">
        <v>3642</v>
      </c>
      <c r="F123" s="3348" t="s">
        <v>3166</v>
      </c>
      <c r="G123" s="3347"/>
      <c r="H123" s="3347" t="s">
        <v>3643</v>
      </c>
      <c r="I123" s="3347">
        <v>36.4</v>
      </c>
      <c r="J123" s="3347">
        <v>25.5</v>
      </c>
      <c r="K123" s="3347" t="s">
        <v>3644</v>
      </c>
      <c r="L123" s="3347" t="s">
        <v>3372</v>
      </c>
      <c r="M123" s="3349">
        <v>2</v>
      </c>
      <c r="N123" s="3350">
        <f>580/30</f>
        <v>19.333333333333332</v>
      </c>
      <c r="O123" s="3351">
        <f t="shared" si="39"/>
        <v>703.73333333333323</v>
      </c>
      <c r="P123" s="3351" t="s">
        <v>3645</v>
      </c>
      <c r="Q123" s="3350" t="s">
        <v>3646</v>
      </c>
      <c r="R123" s="3350" t="s">
        <v>3300</v>
      </c>
      <c r="S123" s="3347" t="s">
        <v>3647</v>
      </c>
      <c r="T123" s="3347" t="s">
        <v>3648</v>
      </c>
      <c r="Y123" s="3352">
        <f t="shared" si="27"/>
        <v>123857.06666666665</v>
      </c>
      <c r="Z123" s="3352">
        <f t="shared" si="28"/>
        <v>256158.93333333329</v>
      </c>
      <c r="AA123" s="3352">
        <f t="shared" si="29"/>
        <v>256158.93333333329</v>
      </c>
      <c r="AB123" s="3352">
        <f t="shared" si="30"/>
        <v>256158.93333333329</v>
      </c>
      <c r="AC123" s="3352">
        <f t="shared" si="31"/>
        <v>256862.66666666663</v>
      </c>
      <c r="AD123" s="3352">
        <f t="shared" si="32"/>
        <v>256158.93333333329</v>
      </c>
      <c r="AE123" s="3352">
        <f t="shared" si="33"/>
        <v>256158.93333333329</v>
      </c>
      <c r="AF123" s="3352">
        <f t="shared" si="34"/>
        <v>256158.93333333329</v>
      </c>
      <c r="AG123" s="3352">
        <f t="shared" si="35"/>
        <v>256862.66666666663</v>
      </c>
      <c r="AH123" s="3352">
        <f t="shared" si="36"/>
        <v>256158.93333333329</v>
      </c>
      <c r="AI123" s="3352">
        <f t="shared" si="37"/>
        <v>256158.93333333329</v>
      </c>
      <c r="AJ123" s="3352">
        <f t="shared" si="38"/>
        <v>256158.93333333329</v>
      </c>
    </row>
    <row r="124" spans="1:36" s="3352" customFormat="1">
      <c r="A124" s="3355"/>
      <c r="B124" s="3355"/>
      <c r="C124" s="3355"/>
      <c r="D124" s="3355"/>
      <c r="E124" s="3355"/>
      <c r="F124" s="3355"/>
      <c r="G124" s="3355"/>
      <c r="H124" s="3355"/>
      <c r="I124" s="3355"/>
      <c r="J124" s="3355"/>
      <c r="K124" s="3355"/>
      <c r="L124" s="3355"/>
      <c r="M124" s="3356"/>
      <c r="N124" s="3350">
        <f>620/30</f>
        <v>20.666666666666668</v>
      </c>
      <c r="O124" s="3351">
        <f t="shared" si="39"/>
        <v>0</v>
      </c>
      <c r="P124" s="3351" t="s">
        <v>3649</v>
      </c>
      <c r="Q124" s="3350" t="s">
        <v>3650</v>
      </c>
      <c r="R124" s="3350" t="s">
        <v>3255</v>
      </c>
      <c r="S124" s="3355"/>
      <c r="T124" s="3355"/>
      <c r="Y124" s="3352">
        <f t="shared" si="27"/>
        <v>0</v>
      </c>
      <c r="Z124" s="3352">
        <f t="shared" si="28"/>
        <v>0</v>
      </c>
      <c r="AA124" s="3352">
        <f t="shared" si="29"/>
        <v>0</v>
      </c>
      <c r="AB124" s="3352">
        <f t="shared" si="30"/>
        <v>0</v>
      </c>
      <c r="AC124" s="3352">
        <f t="shared" si="31"/>
        <v>0</v>
      </c>
      <c r="AD124" s="3352">
        <f t="shared" si="32"/>
        <v>0</v>
      </c>
      <c r="AE124" s="3352">
        <f t="shared" si="33"/>
        <v>0</v>
      </c>
      <c r="AF124" s="3352">
        <f t="shared" si="34"/>
        <v>0</v>
      </c>
      <c r="AG124" s="3352">
        <f t="shared" si="35"/>
        <v>0</v>
      </c>
      <c r="AH124" s="3352">
        <f t="shared" si="36"/>
        <v>0</v>
      </c>
      <c r="AI124" s="3352">
        <f t="shared" si="37"/>
        <v>0</v>
      </c>
      <c r="AJ124" s="3352">
        <f t="shared" si="38"/>
        <v>0</v>
      </c>
    </row>
    <row r="125" spans="1:36" s="3352" customFormat="1" ht="24">
      <c r="A125" s="3347">
        <v>33</v>
      </c>
      <c r="B125" s="3347" t="s">
        <v>3651</v>
      </c>
      <c r="C125" s="3347" t="s">
        <v>3652</v>
      </c>
      <c r="D125" s="3347" t="s">
        <v>3653</v>
      </c>
      <c r="E125" s="3347" t="s">
        <v>3653</v>
      </c>
      <c r="F125" s="3348" t="s">
        <v>3166</v>
      </c>
      <c r="G125" s="3347"/>
      <c r="H125" s="3347" t="s">
        <v>3654</v>
      </c>
      <c r="I125" s="3347">
        <v>112.2</v>
      </c>
      <c r="J125" s="3347">
        <v>78.599999999999994</v>
      </c>
      <c r="K125" s="3347" t="s">
        <v>3655</v>
      </c>
      <c r="L125" s="3347" t="s">
        <v>3372</v>
      </c>
      <c r="M125" s="3349">
        <v>5</v>
      </c>
      <c r="N125" s="3350">
        <f>375/30</f>
        <v>12.5</v>
      </c>
      <c r="O125" s="3351">
        <f t="shared" si="39"/>
        <v>1402.5</v>
      </c>
      <c r="P125" s="3351" t="s">
        <v>3656</v>
      </c>
      <c r="Q125" s="3350" t="s">
        <v>3657</v>
      </c>
      <c r="R125" s="3347" t="s">
        <v>3300</v>
      </c>
      <c r="S125" s="3347" t="s">
        <v>3658</v>
      </c>
      <c r="T125" s="3347" t="s">
        <v>3659</v>
      </c>
      <c r="Y125" s="3352">
        <f t="shared" si="27"/>
        <v>246840</v>
      </c>
      <c r="Z125" s="3352">
        <f t="shared" si="28"/>
        <v>510510</v>
      </c>
      <c r="AA125" s="3352">
        <f t="shared" si="29"/>
        <v>510510</v>
      </c>
      <c r="AB125" s="3352">
        <f t="shared" si="30"/>
        <v>510510</v>
      </c>
      <c r="AC125" s="3352">
        <f t="shared" si="31"/>
        <v>511912.5</v>
      </c>
      <c r="AD125" s="3352">
        <f t="shared" si="32"/>
        <v>510510</v>
      </c>
      <c r="AE125" s="3352">
        <f t="shared" si="33"/>
        <v>510510</v>
      </c>
      <c r="AF125" s="3352">
        <f t="shared" si="34"/>
        <v>510510</v>
      </c>
      <c r="AG125" s="3352">
        <f t="shared" si="35"/>
        <v>511912.5</v>
      </c>
      <c r="AH125" s="3352">
        <f t="shared" si="36"/>
        <v>510510</v>
      </c>
      <c r="AI125" s="3352">
        <f t="shared" si="37"/>
        <v>510510</v>
      </c>
      <c r="AJ125" s="3352">
        <f t="shared" si="38"/>
        <v>510510</v>
      </c>
    </row>
    <row r="126" spans="1:36" s="3352" customFormat="1">
      <c r="A126" s="3353"/>
      <c r="B126" s="3353"/>
      <c r="D126" s="3353"/>
      <c r="E126" s="3353"/>
      <c r="F126" s="3353"/>
      <c r="G126" s="3353"/>
      <c r="H126" s="3353"/>
      <c r="I126" s="3353"/>
      <c r="J126" s="3353"/>
      <c r="K126" s="3353"/>
      <c r="L126" s="3353"/>
      <c r="M126" s="3354"/>
      <c r="N126" s="3350">
        <f>375/30</f>
        <v>12.5</v>
      </c>
      <c r="O126" s="3351">
        <f t="shared" si="39"/>
        <v>0</v>
      </c>
      <c r="P126" s="3351" t="s">
        <v>3660</v>
      </c>
      <c r="Q126" s="3350" t="s">
        <v>3657</v>
      </c>
      <c r="R126" s="3353" t="s">
        <v>3304</v>
      </c>
      <c r="S126" s="3353"/>
      <c r="T126" s="3353"/>
      <c r="Y126" s="3352">
        <f t="shared" si="27"/>
        <v>0</v>
      </c>
      <c r="Z126" s="3352">
        <f t="shared" si="28"/>
        <v>0</v>
      </c>
      <c r="AA126" s="3352">
        <f t="shared" si="29"/>
        <v>0</v>
      </c>
      <c r="AB126" s="3352">
        <f t="shared" si="30"/>
        <v>0</v>
      </c>
      <c r="AC126" s="3352">
        <f t="shared" si="31"/>
        <v>0</v>
      </c>
      <c r="AD126" s="3352">
        <f t="shared" si="32"/>
        <v>0</v>
      </c>
      <c r="AE126" s="3352">
        <f t="shared" si="33"/>
        <v>0</v>
      </c>
      <c r="AF126" s="3352">
        <f t="shared" si="34"/>
        <v>0</v>
      </c>
      <c r="AG126" s="3352">
        <f t="shared" si="35"/>
        <v>0</v>
      </c>
      <c r="AH126" s="3352">
        <f t="shared" si="36"/>
        <v>0</v>
      </c>
      <c r="AI126" s="3352">
        <f t="shared" si="37"/>
        <v>0</v>
      </c>
      <c r="AJ126" s="3352">
        <f t="shared" si="38"/>
        <v>0</v>
      </c>
    </row>
    <row r="127" spans="1:36" s="3352" customFormat="1">
      <c r="A127" s="3353"/>
      <c r="B127" s="3353"/>
      <c r="C127" s="3353"/>
      <c r="D127" s="3353"/>
      <c r="E127" s="3353"/>
      <c r="F127" s="3353"/>
      <c r="G127" s="3353"/>
      <c r="H127" s="3353"/>
      <c r="I127" s="3353"/>
      <c r="J127" s="3353"/>
      <c r="K127" s="3353"/>
      <c r="L127" s="3353"/>
      <c r="M127" s="3354"/>
      <c r="N127" s="3350">
        <f>405/30</f>
        <v>13.5</v>
      </c>
      <c r="O127" s="3351">
        <f t="shared" si="39"/>
        <v>0</v>
      </c>
      <c r="P127" s="3351" t="s">
        <v>3661</v>
      </c>
      <c r="Q127" s="3350" t="s">
        <v>3662</v>
      </c>
      <c r="R127" s="3353" t="s">
        <v>3393</v>
      </c>
      <c r="S127" s="3353"/>
      <c r="T127" s="3353"/>
      <c r="Y127" s="3352">
        <f t="shared" si="27"/>
        <v>0</v>
      </c>
      <c r="Z127" s="3352">
        <f t="shared" si="28"/>
        <v>0</v>
      </c>
      <c r="AA127" s="3352">
        <f t="shared" si="29"/>
        <v>0</v>
      </c>
      <c r="AB127" s="3352">
        <f t="shared" si="30"/>
        <v>0</v>
      </c>
      <c r="AC127" s="3352">
        <f t="shared" si="31"/>
        <v>0</v>
      </c>
      <c r="AD127" s="3352">
        <f t="shared" si="32"/>
        <v>0</v>
      </c>
      <c r="AE127" s="3352">
        <f t="shared" si="33"/>
        <v>0</v>
      </c>
      <c r="AF127" s="3352">
        <f t="shared" si="34"/>
        <v>0</v>
      </c>
      <c r="AG127" s="3352">
        <f t="shared" si="35"/>
        <v>0</v>
      </c>
      <c r="AH127" s="3352">
        <f t="shared" si="36"/>
        <v>0</v>
      </c>
      <c r="AI127" s="3352">
        <f t="shared" si="37"/>
        <v>0</v>
      </c>
      <c r="AJ127" s="3352">
        <f t="shared" si="38"/>
        <v>0</v>
      </c>
    </row>
    <row r="128" spans="1:36" s="3352" customFormat="1">
      <c r="A128" s="3353"/>
      <c r="B128" s="3353"/>
      <c r="C128" s="3353"/>
      <c r="D128" s="3353"/>
      <c r="E128" s="3353"/>
      <c r="F128" s="3353"/>
      <c r="G128" s="3353"/>
      <c r="H128" s="3353"/>
      <c r="I128" s="3353"/>
      <c r="J128" s="3353"/>
      <c r="K128" s="3353"/>
      <c r="L128" s="3353"/>
      <c r="M128" s="3354"/>
      <c r="N128" s="3350">
        <f>405/30</f>
        <v>13.5</v>
      </c>
      <c r="O128" s="3351">
        <f t="shared" si="39"/>
        <v>0</v>
      </c>
      <c r="P128" s="3351" t="s">
        <v>3663</v>
      </c>
      <c r="Q128" s="3350" t="s">
        <v>3664</v>
      </c>
      <c r="R128" s="3353" t="s">
        <v>3665</v>
      </c>
      <c r="S128" s="3353"/>
      <c r="T128" s="3353"/>
      <c r="Y128" s="3352">
        <f t="shared" si="27"/>
        <v>0</v>
      </c>
      <c r="Z128" s="3352">
        <f t="shared" si="28"/>
        <v>0</v>
      </c>
      <c r="AA128" s="3352">
        <f t="shared" si="29"/>
        <v>0</v>
      </c>
      <c r="AB128" s="3352">
        <f t="shared" si="30"/>
        <v>0</v>
      </c>
      <c r="AC128" s="3352">
        <f t="shared" si="31"/>
        <v>0</v>
      </c>
      <c r="AD128" s="3352">
        <f t="shared" si="32"/>
        <v>0</v>
      </c>
      <c r="AE128" s="3352">
        <f t="shared" si="33"/>
        <v>0</v>
      </c>
      <c r="AF128" s="3352">
        <f t="shared" si="34"/>
        <v>0</v>
      </c>
      <c r="AG128" s="3352">
        <f t="shared" si="35"/>
        <v>0</v>
      </c>
      <c r="AH128" s="3352">
        <f t="shared" si="36"/>
        <v>0</v>
      </c>
      <c r="AI128" s="3352">
        <f t="shared" si="37"/>
        <v>0</v>
      </c>
      <c r="AJ128" s="3352">
        <f t="shared" si="38"/>
        <v>0</v>
      </c>
    </row>
    <row r="129" spans="1:36" s="3352" customFormat="1">
      <c r="A129" s="3355"/>
      <c r="B129" s="3360"/>
      <c r="C129" s="3360"/>
      <c r="D129" s="3360"/>
      <c r="E129" s="3360"/>
      <c r="F129" s="3355"/>
      <c r="G129" s="3355"/>
      <c r="H129" s="3355"/>
      <c r="I129" s="3355"/>
      <c r="J129" s="3355"/>
      <c r="K129" s="3355"/>
      <c r="L129" s="3355"/>
      <c r="M129" s="3356"/>
      <c r="N129" s="3350">
        <f>435/30</f>
        <v>14.5</v>
      </c>
      <c r="O129" s="3351">
        <f t="shared" si="39"/>
        <v>0</v>
      </c>
      <c r="P129" s="3351" t="s">
        <v>3666</v>
      </c>
      <c r="Q129" s="3350" t="s">
        <v>3667</v>
      </c>
      <c r="R129" s="3355" t="s">
        <v>3668</v>
      </c>
      <c r="S129" s="3355"/>
      <c r="T129" s="3355"/>
      <c r="Y129" s="3352">
        <f t="shared" si="27"/>
        <v>0</v>
      </c>
      <c r="Z129" s="3352">
        <f t="shared" si="28"/>
        <v>0</v>
      </c>
      <c r="AA129" s="3352">
        <f t="shared" si="29"/>
        <v>0</v>
      </c>
      <c r="AB129" s="3352">
        <f t="shared" si="30"/>
        <v>0</v>
      </c>
      <c r="AC129" s="3352">
        <f t="shared" si="31"/>
        <v>0</v>
      </c>
      <c r="AD129" s="3352">
        <f t="shared" si="32"/>
        <v>0</v>
      </c>
      <c r="AE129" s="3352">
        <f t="shared" si="33"/>
        <v>0</v>
      </c>
      <c r="AF129" s="3352">
        <f t="shared" si="34"/>
        <v>0</v>
      </c>
      <c r="AG129" s="3352">
        <f t="shared" si="35"/>
        <v>0</v>
      </c>
      <c r="AH129" s="3352">
        <f t="shared" si="36"/>
        <v>0</v>
      </c>
      <c r="AI129" s="3352">
        <f t="shared" si="37"/>
        <v>0</v>
      </c>
      <c r="AJ129" s="3352">
        <f t="shared" si="38"/>
        <v>0</v>
      </c>
    </row>
    <row r="130" spans="1:36" s="3352" customFormat="1" ht="24">
      <c r="A130" s="3347">
        <v>34</v>
      </c>
      <c r="B130" s="3361" t="s">
        <v>3669</v>
      </c>
      <c r="C130" s="3361" t="s">
        <v>3670</v>
      </c>
      <c r="D130" s="3361" t="s">
        <v>3671</v>
      </c>
      <c r="E130" s="3361" t="s">
        <v>3671</v>
      </c>
      <c r="F130" s="3348" t="s">
        <v>3166</v>
      </c>
      <c r="G130" s="3347"/>
      <c r="H130" s="3347" t="s">
        <v>3672</v>
      </c>
      <c r="I130" s="3347">
        <v>115.61</v>
      </c>
      <c r="J130" s="3347">
        <v>80.930000000000007</v>
      </c>
      <c r="K130" s="3347" t="s">
        <v>3616</v>
      </c>
      <c r="L130" s="3347" t="s">
        <v>3372</v>
      </c>
      <c r="M130" s="3349">
        <v>5</v>
      </c>
      <c r="N130" s="3350">
        <f>330/30</f>
        <v>11</v>
      </c>
      <c r="O130" s="3351">
        <f t="shared" si="39"/>
        <v>1271.71</v>
      </c>
      <c r="P130" s="3351" t="s">
        <v>3333</v>
      </c>
      <c r="Q130" s="3350" t="s">
        <v>3673</v>
      </c>
      <c r="R130" s="3347" t="s">
        <v>3590</v>
      </c>
      <c r="S130" s="3347">
        <v>8093</v>
      </c>
      <c r="T130" s="3347">
        <v>1156</v>
      </c>
      <c r="Y130" s="3352">
        <f t="shared" si="27"/>
        <v>223820.96000000002</v>
      </c>
      <c r="Z130" s="3352">
        <f t="shared" si="28"/>
        <v>462902.44</v>
      </c>
      <c r="AA130" s="3352">
        <f t="shared" si="29"/>
        <v>462902.44</v>
      </c>
      <c r="AB130" s="3352">
        <f t="shared" si="30"/>
        <v>462902.44</v>
      </c>
      <c r="AC130" s="3352">
        <f t="shared" si="31"/>
        <v>464174.15</v>
      </c>
      <c r="AD130" s="3352">
        <f t="shared" si="32"/>
        <v>462902.44</v>
      </c>
      <c r="AE130" s="3352">
        <f t="shared" si="33"/>
        <v>462902.44</v>
      </c>
      <c r="AF130" s="3352">
        <f t="shared" si="34"/>
        <v>462902.44</v>
      </c>
      <c r="AG130" s="3352">
        <f t="shared" si="35"/>
        <v>464174.15</v>
      </c>
      <c r="AH130" s="3352">
        <f t="shared" si="36"/>
        <v>462902.44</v>
      </c>
      <c r="AI130" s="3352">
        <f t="shared" si="37"/>
        <v>462902.44</v>
      </c>
      <c r="AJ130" s="3352">
        <f t="shared" si="38"/>
        <v>462902.44</v>
      </c>
    </row>
    <row r="131" spans="1:36" s="3352" customFormat="1">
      <c r="A131" s="3353"/>
      <c r="B131" s="3353"/>
      <c r="C131" s="3353"/>
      <c r="D131" s="3353"/>
      <c r="E131" s="3353"/>
      <c r="F131" s="3353"/>
      <c r="G131" s="3353"/>
      <c r="H131" s="3353"/>
      <c r="I131" s="3353"/>
      <c r="J131" s="3353"/>
      <c r="K131" s="3353"/>
      <c r="L131" s="3353"/>
      <c r="M131" s="3354"/>
      <c r="N131" s="3350">
        <f>360/30</f>
        <v>12</v>
      </c>
      <c r="O131" s="3351">
        <f t="shared" si="39"/>
        <v>0</v>
      </c>
      <c r="P131" s="3351" t="s">
        <v>3674</v>
      </c>
      <c r="Q131" s="3350" t="s">
        <v>3675</v>
      </c>
      <c r="R131" s="3353" t="s">
        <v>3354</v>
      </c>
      <c r="S131" s="3353"/>
      <c r="T131" s="3353"/>
      <c r="Y131" s="3352">
        <f t="shared" si="27"/>
        <v>0</v>
      </c>
      <c r="Z131" s="3352">
        <f t="shared" si="28"/>
        <v>0</v>
      </c>
      <c r="AA131" s="3352">
        <f t="shared" si="29"/>
        <v>0</v>
      </c>
      <c r="AB131" s="3352">
        <f t="shared" si="30"/>
        <v>0</v>
      </c>
      <c r="AC131" s="3352">
        <f t="shared" si="31"/>
        <v>0</v>
      </c>
      <c r="AD131" s="3352">
        <f t="shared" si="32"/>
        <v>0</v>
      </c>
      <c r="AE131" s="3352">
        <f t="shared" si="33"/>
        <v>0</v>
      </c>
      <c r="AF131" s="3352">
        <f t="shared" si="34"/>
        <v>0</v>
      </c>
      <c r="AG131" s="3352">
        <f t="shared" si="35"/>
        <v>0</v>
      </c>
      <c r="AH131" s="3352">
        <f t="shared" si="36"/>
        <v>0</v>
      </c>
      <c r="AI131" s="3352">
        <f t="shared" si="37"/>
        <v>0</v>
      </c>
      <c r="AJ131" s="3352">
        <f t="shared" si="38"/>
        <v>0</v>
      </c>
    </row>
    <row r="132" spans="1:36" s="3352" customFormat="1">
      <c r="A132" s="3353"/>
      <c r="B132" s="3353"/>
      <c r="C132" s="3353"/>
      <c r="D132" s="3353"/>
      <c r="E132" s="3353"/>
      <c r="F132" s="3353"/>
      <c r="G132" s="3353"/>
      <c r="H132" s="3353"/>
      <c r="I132" s="3353"/>
      <c r="J132" s="3353"/>
      <c r="K132" s="3353"/>
      <c r="L132" s="3353"/>
      <c r="M132" s="3354"/>
      <c r="N132" s="3350">
        <f>360/30</f>
        <v>12</v>
      </c>
      <c r="O132" s="3351">
        <f t="shared" si="39"/>
        <v>0</v>
      </c>
      <c r="P132" s="3351" t="s">
        <v>3338</v>
      </c>
      <c r="Q132" s="3350" t="s">
        <v>3676</v>
      </c>
      <c r="R132" s="3353" t="s">
        <v>3597</v>
      </c>
      <c r="S132" s="3353"/>
      <c r="T132" s="3353"/>
      <c r="Y132" s="3352">
        <f t="shared" si="27"/>
        <v>0</v>
      </c>
      <c r="Z132" s="3352">
        <f t="shared" si="28"/>
        <v>0</v>
      </c>
      <c r="AA132" s="3352">
        <f t="shared" si="29"/>
        <v>0</v>
      </c>
      <c r="AB132" s="3352">
        <f t="shared" si="30"/>
        <v>0</v>
      </c>
      <c r="AC132" s="3352">
        <f t="shared" si="31"/>
        <v>0</v>
      </c>
      <c r="AD132" s="3352">
        <f t="shared" si="32"/>
        <v>0</v>
      </c>
      <c r="AE132" s="3352">
        <f t="shared" si="33"/>
        <v>0</v>
      </c>
      <c r="AF132" s="3352">
        <f t="shared" si="34"/>
        <v>0</v>
      </c>
      <c r="AG132" s="3352">
        <f t="shared" si="35"/>
        <v>0</v>
      </c>
      <c r="AH132" s="3352">
        <f t="shared" si="36"/>
        <v>0</v>
      </c>
      <c r="AI132" s="3352">
        <f t="shared" si="37"/>
        <v>0</v>
      </c>
      <c r="AJ132" s="3352">
        <f t="shared" si="38"/>
        <v>0</v>
      </c>
    </row>
    <row r="133" spans="1:36" s="3352" customFormat="1">
      <c r="A133" s="3353"/>
      <c r="B133" s="3353"/>
      <c r="C133" s="3353"/>
      <c r="D133" s="3353"/>
      <c r="E133" s="3353"/>
      <c r="F133" s="3353"/>
      <c r="G133" s="3353"/>
      <c r="H133" s="3353"/>
      <c r="I133" s="3353"/>
      <c r="J133" s="3353"/>
      <c r="K133" s="3353"/>
      <c r="L133" s="3353"/>
      <c r="M133" s="3354"/>
      <c r="N133" s="3350">
        <f>390/30</f>
        <v>13</v>
      </c>
      <c r="O133" s="3351">
        <f t="shared" si="39"/>
        <v>0</v>
      </c>
      <c r="P133" s="3351" t="s">
        <v>3677</v>
      </c>
      <c r="Q133" s="3350" t="s">
        <v>3678</v>
      </c>
      <c r="R133" s="3353" t="s">
        <v>3637</v>
      </c>
      <c r="S133" s="3353"/>
      <c r="T133" s="3353"/>
      <c r="Y133" s="3352">
        <f t="shared" si="27"/>
        <v>0</v>
      </c>
      <c r="Z133" s="3352">
        <f t="shared" si="28"/>
        <v>0</v>
      </c>
      <c r="AA133" s="3352">
        <f t="shared" si="29"/>
        <v>0</v>
      </c>
      <c r="AB133" s="3352">
        <f t="shared" si="30"/>
        <v>0</v>
      </c>
      <c r="AC133" s="3352">
        <f t="shared" si="31"/>
        <v>0</v>
      </c>
      <c r="AD133" s="3352">
        <f t="shared" si="32"/>
        <v>0</v>
      </c>
      <c r="AE133" s="3352">
        <f t="shared" si="33"/>
        <v>0</v>
      </c>
      <c r="AF133" s="3352">
        <f t="shared" si="34"/>
        <v>0</v>
      </c>
      <c r="AG133" s="3352">
        <f t="shared" si="35"/>
        <v>0</v>
      </c>
      <c r="AH133" s="3352">
        <f t="shared" si="36"/>
        <v>0</v>
      </c>
      <c r="AI133" s="3352">
        <f t="shared" si="37"/>
        <v>0</v>
      </c>
      <c r="AJ133" s="3352">
        <f t="shared" si="38"/>
        <v>0</v>
      </c>
    </row>
    <row r="134" spans="1:36" s="3352" customFormat="1">
      <c r="A134" s="3355"/>
      <c r="B134" s="3355"/>
      <c r="C134" s="3355"/>
      <c r="D134" s="3355"/>
      <c r="E134" s="3355"/>
      <c r="F134" s="3355"/>
      <c r="G134" s="3355"/>
      <c r="H134" s="3355"/>
      <c r="I134" s="3355"/>
      <c r="J134" s="3355"/>
      <c r="K134" s="3355"/>
      <c r="L134" s="3355"/>
      <c r="M134" s="3356"/>
      <c r="N134" s="3350">
        <f>390/30</f>
        <v>13</v>
      </c>
      <c r="O134" s="3351">
        <f t="shared" si="39"/>
        <v>0</v>
      </c>
      <c r="P134" s="3351" t="s">
        <v>3343</v>
      </c>
      <c r="Q134" s="3350" t="s">
        <v>3679</v>
      </c>
      <c r="R134" s="3355" t="s">
        <v>3680</v>
      </c>
      <c r="S134" s="3355"/>
      <c r="T134" s="3355"/>
      <c r="Y134" s="3352">
        <f t="shared" si="27"/>
        <v>0</v>
      </c>
      <c r="Z134" s="3352">
        <f t="shared" si="28"/>
        <v>0</v>
      </c>
      <c r="AA134" s="3352">
        <f t="shared" si="29"/>
        <v>0</v>
      </c>
      <c r="AB134" s="3352">
        <f t="shared" si="30"/>
        <v>0</v>
      </c>
      <c r="AC134" s="3352">
        <f t="shared" si="31"/>
        <v>0</v>
      </c>
      <c r="AD134" s="3352">
        <f t="shared" si="32"/>
        <v>0</v>
      </c>
      <c r="AE134" s="3352">
        <f t="shared" si="33"/>
        <v>0</v>
      </c>
      <c r="AF134" s="3352">
        <f t="shared" si="34"/>
        <v>0</v>
      </c>
      <c r="AG134" s="3352">
        <f t="shared" si="35"/>
        <v>0</v>
      </c>
      <c r="AH134" s="3352">
        <f t="shared" si="36"/>
        <v>0</v>
      </c>
      <c r="AI134" s="3352">
        <f t="shared" si="37"/>
        <v>0</v>
      </c>
      <c r="AJ134" s="3352">
        <f t="shared" si="38"/>
        <v>0</v>
      </c>
    </row>
    <row r="135" spans="1:36" s="3352" customFormat="1" ht="24">
      <c r="A135" s="3347">
        <v>35</v>
      </c>
      <c r="B135" s="3347" t="s">
        <v>3681</v>
      </c>
      <c r="C135" s="3347" t="s">
        <v>3682</v>
      </c>
      <c r="D135" s="3347" t="s">
        <v>3683</v>
      </c>
      <c r="E135" s="3347" t="s">
        <v>3683</v>
      </c>
      <c r="F135" s="3348" t="s">
        <v>3166</v>
      </c>
      <c r="G135" s="3347"/>
      <c r="H135" s="3347" t="s">
        <v>3684</v>
      </c>
      <c r="I135" s="3347">
        <v>31.08</v>
      </c>
      <c r="J135" s="3347">
        <v>21.75</v>
      </c>
      <c r="K135" s="3347" t="s">
        <v>3472</v>
      </c>
      <c r="L135" s="3347" t="s">
        <v>3372</v>
      </c>
      <c r="M135" s="3349">
        <v>3</v>
      </c>
      <c r="N135" s="3350">
        <f>760/30</f>
        <v>25.333333333333332</v>
      </c>
      <c r="O135" s="3351">
        <f t="shared" si="39"/>
        <v>787.3599999999999</v>
      </c>
      <c r="P135" s="3351" t="s">
        <v>3685</v>
      </c>
      <c r="Q135" s="3350" t="s">
        <v>3686</v>
      </c>
      <c r="R135" s="3350" t="s">
        <v>3250</v>
      </c>
      <c r="S135" s="3347">
        <v>2176</v>
      </c>
      <c r="T135" s="3347">
        <v>311</v>
      </c>
      <c r="Y135" s="3352">
        <f t="shared" si="27"/>
        <v>138575.35999999999</v>
      </c>
      <c r="Z135" s="3352">
        <f t="shared" si="28"/>
        <v>286599.03999999998</v>
      </c>
      <c r="AA135" s="3352">
        <f t="shared" si="29"/>
        <v>286599.03999999998</v>
      </c>
      <c r="AB135" s="3352">
        <f t="shared" si="30"/>
        <v>286599.03999999998</v>
      </c>
      <c r="AC135" s="3352">
        <f t="shared" si="31"/>
        <v>287386.39999999997</v>
      </c>
      <c r="AD135" s="3352">
        <f t="shared" si="32"/>
        <v>286599.03999999998</v>
      </c>
      <c r="AE135" s="3352">
        <f t="shared" si="33"/>
        <v>286599.03999999998</v>
      </c>
      <c r="AF135" s="3352">
        <f t="shared" si="34"/>
        <v>286599.03999999998</v>
      </c>
      <c r="AG135" s="3352">
        <f t="shared" si="35"/>
        <v>287386.39999999997</v>
      </c>
      <c r="AH135" s="3352">
        <f t="shared" si="36"/>
        <v>286599.03999999998</v>
      </c>
      <c r="AI135" s="3352">
        <f t="shared" si="37"/>
        <v>286599.03999999998</v>
      </c>
      <c r="AJ135" s="3352">
        <f t="shared" si="38"/>
        <v>286599.03999999998</v>
      </c>
    </row>
    <row r="136" spans="1:36" s="3352" customFormat="1">
      <c r="A136" s="3353"/>
      <c r="B136" s="3353"/>
      <c r="C136" s="3353"/>
      <c r="D136" s="3353"/>
      <c r="E136" s="3353"/>
      <c r="F136" s="3353"/>
      <c r="G136" s="3353"/>
      <c r="H136" s="3353"/>
      <c r="I136" s="3353"/>
      <c r="J136" s="3353"/>
      <c r="K136" s="3353"/>
      <c r="L136" s="3353"/>
      <c r="M136" s="3354"/>
      <c r="N136" s="3350">
        <f>790/30</f>
        <v>26.333333333333332</v>
      </c>
      <c r="O136" s="3351">
        <f t="shared" si="39"/>
        <v>0</v>
      </c>
      <c r="P136" s="3351" t="s">
        <v>3687</v>
      </c>
      <c r="Q136" s="3350" t="s">
        <v>3688</v>
      </c>
      <c r="R136" s="3350" t="s">
        <v>3556</v>
      </c>
      <c r="S136" s="3353"/>
      <c r="T136" s="3353"/>
      <c r="Y136" s="3352">
        <f t="shared" si="27"/>
        <v>0</v>
      </c>
      <c r="Z136" s="3352">
        <f t="shared" si="28"/>
        <v>0</v>
      </c>
      <c r="AA136" s="3352">
        <f t="shared" si="29"/>
        <v>0</v>
      </c>
      <c r="AB136" s="3352">
        <f t="shared" si="30"/>
        <v>0</v>
      </c>
      <c r="AC136" s="3352">
        <f t="shared" si="31"/>
        <v>0</v>
      </c>
      <c r="AD136" s="3352">
        <f t="shared" si="32"/>
        <v>0</v>
      </c>
      <c r="AE136" s="3352">
        <f t="shared" si="33"/>
        <v>0</v>
      </c>
      <c r="AF136" s="3352">
        <f t="shared" si="34"/>
        <v>0</v>
      </c>
      <c r="AG136" s="3352">
        <f t="shared" si="35"/>
        <v>0</v>
      </c>
      <c r="AH136" s="3352">
        <f t="shared" si="36"/>
        <v>0</v>
      </c>
      <c r="AI136" s="3352">
        <f t="shared" si="37"/>
        <v>0</v>
      </c>
      <c r="AJ136" s="3352">
        <f t="shared" si="38"/>
        <v>0</v>
      </c>
    </row>
    <row r="137" spans="1:36" s="3352" customFormat="1">
      <c r="A137" s="3355"/>
      <c r="B137" s="3355"/>
      <c r="C137" s="3355"/>
      <c r="D137" s="3355"/>
      <c r="E137" s="3355"/>
      <c r="F137" s="3355"/>
      <c r="G137" s="3355"/>
      <c r="H137" s="3355"/>
      <c r="I137" s="3355"/>
      <c r="J137" s="3355"/>
      <c r="K137" s="3355"/>
      <c r="L137" s="3355"/>
      <c r="M137" s="3356"/>
      <c r="N137" s="3350">
        <f>790/30</f>
        <v>26.333333333333332</v>
      </c>
      <c r="O137" s="3351">
        <f t="shared" si="39"/>
        <v>0</v>
      </c>
      <c r="P137" s="3351" t="s">
        <v>3689</v>
      </c>
      <c r="Q137" s="3350" t="s">
        <v>3690</v>
      </c>
      <c r="R137" s="3350" t="s">
        <v>3691</v>
      </c>
      <c r="S137" s="3355"/>
      <c r="T137" s="3355"/>
      <c r="Y137" s="3352">
        <f t="shared" si="27"/>
        <v>0</v>
      </c>
      <c r="Z137" s="3352">
        <f t="shared" si="28"/>
        <v>0</v>
      </c>
      <c r="AA137" s="3352">
        <f t="shared" si="29"/>
        <v>0</v>
      </c>
      <c r="AB137" s="3352">
        <f t="shared" si="30"/>
        <v>0</v>
      </c>
      <c r="AC137" s="3352">
        <f t="shared" si="31"/>
        <v>0</v>
      </c>
      <c r="AD137" s="3352">
        <f t="shared" si="32"/>
        <v>0</v>
      </c>
      <c r="AE137" s="3352">
        <f t="shared" si="33"/>
        <v>0</v>
      </c>
      <c r="AF137" s="3352">
        <f t="shared" si="34"/>
        <v>0</v>
      </c>
      <c r="AG137" s="3352">
        <f t="shared" si="35"/>
        <v>0</v>
      </c>
      <c r="AH137" s="3352">
        <f t="shared" si="36"/>
        <v>0</v>
      </c>
      <c r="AI137" s="3352">
        <f t="shared" si="37"/>
        <v>0</v>
      </c>
      <c r="AJ137" s="3352">
        <f t="shared" si="38"/>
        <v>0</v>
      </c>
    </row>
    <row r="138" spans="1:36" s="3352" customFormat="1" ht="24">
      <c r="A138" s="3347">
        <v>36</v>
      </c>
      <c r="B138" s="3347" t="s">
        <v>3692</v>
      </c>
      <c r="C138" s="3347" t="s">
        <v>3693</v>
      </c>
      <c r="D138" s="3347" t="s">
        <v>3694</v>
      </c>
      <c r="E138" s="3347" t="s">
        <v>3694</v>
      </c>
      <c r="F138" s="3348" t="s">
        <v>3166</v>
      </c>
      <c r="G138" s="3347"/>
      <c r="H138" s="3347" t="s">
        <v>3695</v>
      </c>
      <c r="I138" s="3347">
        <v>25.87</v>
      </c>
      <c r="J138" s="3347">
        <v>18.11</v>
      </c>
      <c r="K138" s="3347" t="s">
        <v>3472</v>
      </c>
      <c r="L138" s="3347" t="s">
        <v>3372</v>
      </c>
      <c r="M138" s="3349">
        <v>3</v>
      </c>
      <c r="N138" s="3350">
        <f>760/30</f>
        <v>25.333333333333332</v>
      </c>
      <c r="O138" s="3351">
        <f t="shared" si="39"/>
        <v>655.37333333333333</v>
      </c>
      <c r="P138" s="3351" t="s">
        <v>3696</v>
      </c>
      <c r="Q138" s="3350" t="s">
        <v>3697</v>
      </c>
      <c r="R138" s="3350" t="s">
        <v>3300</v>
      </c>
      <c r="S138" s="3347">
        <v>1810.9</v>
      </c>
      <c r="T138" s="3347">
        <v>258.7</v>
      </c>
      <c r="Y138" s="3352">
        <f t="shared" si="27"/>
        <v>115345.70666666667</v>
      </c>
      <c r="Z138" s="3352">
        <f t="shared" si="28"/>
        <v>238555.89333333334</v>
      </c>
      <c r="AA138" s="3352">
        <f t="shared" si="29"/>
        <v>238555.89333333334</v>
      </c>
      <c r="AB138" s="3352">
        <f t="shared" si="30"/>
        <v>238555.89333333334</v>
      </c>
      <c r="AC138" s="3352">
        <f t="shared" si="31"/>
        <v>239211.26666666666</v>
      </c>
      <c r="AD138" s="3352">
        <f t="shared" si="32"/>
        <v>238555.89333333334</v>
      </c>
      <c r="AE138" s="3352">
        <f t="shared" si="33"/>
        <v>238555.89333333334</v>
      </c>
      <c r="AF138" s="3352">
        <f t="shared" si="34"/>
        <v>238555.89333333334</v>
      </c>
      <c r="AG138" s="3352">
        <f t="shared" si="35"/>
        <v>239211.26666666666</v>
      </c>
      <c r="AH138" s="3352">
        <f t="shared" si="36"/>
        <v>238555.89333333334</v>
      </c>
      <c r="AI138" s="3352">
        <f t="shared" si="37"/>
        <v>238555.89333333334</v>
      </c>
      <c r="AJ138" s="3352">
        <f t="shared" si="38"/>
        <v>238555.89333333334</v>
      </c>
    </row>
    <row r="139" spans="1:36" s="3352" customFormat="1" ht="24">
      <c r="A139" s="3353"/>
      <c r="B139" s="3353"/>
      <c r="C139" s="3353"/>
      <c r="D139" s="3353"/>
      <c r="E139" s="3353"/>
      <c r="F139" s="3353"/>
      <c r="G139" s="3353"/>
      <c r="H139" s="3353"/>
      <c r="I139" s="3353"/>
      <c r="J139" s="3353"/>
      <c r="K139" s="3353"/>
      <c r="L139" s="3353"/>
      <c r="M139" s="3354"/>
      <c r="N139" s="3350">
        <f>790/30</f>
        <v>26.333333333333332</v>
      </c>
      <c r="O139" s="3351">
        <f t="shared" si="39"/>
        <v>0</v>
      </c>
      <c r="P139" s="3351" t="s">
        <v>3698</v>
      </c>
      <c r="Q139" s="3350" t="s">
        <v>3699</v>
      </c>
      <c r="R139" s="3350" t="s">
        <v>3255</v>
      </c>
      <c r="S139" s="3353"/>
      <c r="T139" s="3353"/>
      <c r="Y139" s="3352">
        <f t="shared" si="27"/>
        <v>0</v>
      </c>
      <c r="Z139" s="3352">
        <f t="shared" si="28"/>
        <v>0</v>
      </c>
      <c r="AA139" s="3352">
        <f t="shared" si="29"/>
        <v>0</v>
      </c>
      <c r="AB139" s="3352">
        <f t="shared" si="30"/>
        <v>0</v>
      </c>
      <c r="AC139" s="3352">
        <f t="shared" si="31"/>
        <v>0</v>
      </c>
      <c r="AD139" s="3352">
        <f t="shared" si="32"/>
        <v>0</v>
      </c>
      <c r="AE139" s="3352">
        <f t="shared" si="33"/>
        <v>0</v>
      </c>
      <c r="AF139" s="3352">
        <f t="shared" si="34"/>
        <v>0</v>
      </c>
      <c r="AG139" s="3352">
        <f t="shared" si="35"/>
        <v>0</v>
      </c>
      <c r="AH139" s="3352">
        <f t="shared" si="36"/>
        <v>0</v>
      </c>
      <c r="AI139" s="3352">
        <f t="shared" si="37"/>
        <v>0</v>
      </c>
      <c r="AJ139" s="3352">
        <f t="shared" si="38"/>
        <v>0</v>
      </c>
    </row>
    <row r="140" spans="1:36" s="3352" customFormat="1" ht="24">
      <c r="A140" s="3355"/>
      <c r="B140" s="3355"/>
      <c r="C140" s="3355"/>
      <c r="D140" s="3355"/>
      <c r="E140" s="3355"/>
      <c r="F140" s="3355"/>
      <c r="G140" s="3355"/>
      <c r="H140" s="3355"/>
      <c r="I140" s="3355"/>
      <c r="J140" s="3355"/>
      <c r="K140" s="3355"/>
      <c r="L140" s="3355"/>
      <c r="M140" s="3356"/>
      <c r="N140" s="3350">
        <f>820/30</f>
        <v>27.333333333333332</v>
      </c>
      <c r="O140" s="3351">
        <f t="shared" si="39"/>
        <v>0</v>
      </c>
      <c r="P140" s="3351" t="s">
        <v>3700</v>
      </c>
      <c r="Q140" s="3350" t="s">
        <v>3701</v>
      </c>
      <c r="R140" s="3350" t="s">
        <v>3582</v>
      </c>
      <c r="S140" s="3355"/>
      <c r="T140" s="3355"/>
      <c r="Y140" s="3352">
        <f t="shared" si="27"/>
        <v>0</v>
      </c>
      <c r="Z140" s="3352">
        <f t="shared" si="28"/>
        <v>0</v>
      </c>
      <c r="AA140" s="3352">
        <f t="shared" si="29"/>
        <v>0</v>
      </c>
      <c r="AB140" s="3352">
        <f t="shared" si="30"/>
        <v>0</v>
      </c>
      <c r="AC140" s="3352">
        <f t="shared" si="31"/>
        <v>0</v>
      </c>
      <c r="AD140" s="3352">
        <f t="shared" si="32"/>
        <v>0</v>
      </c>
      <c r="AE140" s="3352">
        <f t="shared" si="33"/>
        <v>0</v>
      </c>
      <c r="AF140" s="3352">
        <f t="shared" si="34"/>
        <v>0</v>
      </c>
      <c r="AG140" s="3352">
        <f t="shared" si="35"/>
        <v>0</v>
      </c>
      <c r="AH140" s="3352">
        <f t="shared" si="36"/>
        <v>0</v>
      </c>
      <c r="AI140" s="3352">
        <f t="shared" si="37"/>
        <v>0</v>
      </c>
      <c r="AJ140" s="3352">
        <f t="shared" si="38"/>
        <v>0</v>
      </c>
    </row>
    <row r="141" spans="1:36" s="3352" customFormat="1" ht="24">
      <c r="A141" s="3347">
        <v>37</v>
      </c>
      <c r="B141" s="3347" t="s">
        <v>3702</v>
      </c>
      <c r="C141" s="3347" t="s">
        <v>3703</v>
      </c>
      <c r="D141" s="3347" t="s">
        <v>3704</v>
      </c>
      <c r="E141" s="3347" t="s">
        <v>3704</v>
      </c>
      <c r="F141" s="3348" t="s">
        <v>3166</v>
      </c>
      <c r="G141" s="3347"/>
      <c r="H141" s="3347" t="s">
        <v>3705</v>
      </c>
      <c r="I141" s="3347">
        <v>57.9</v>
      </c>
      <c r="J141" s="3347">
        <v>40.590000000000003</v>
      </c>
      <c r="K141" s="3347" t="s">
        <v>3472</v>
      </c>
      <c r="L141" s="3347" t="s">
        <v>3372</v>
      </c>
      <c r="M141" s="3349">
        <v>3</v>
      </c>
      <c r="N141" s="3350">
        <f>635/30</f>
        <v>21.166666666666668</v>
      </c>
      <c r="O141" s="3351">
        <f t="shared" si="39"/>
        <v>1225.55</v>
      </c>
      <c r="P141" s="3351" t="s">
        <v>3706</v>
      </c>
      <c r="Q141" s="3350" t="s">
        <v>3707</v>
      </c>
      <c r="R141" s="3350" t="s">
        <v>3300</v>
      </c>
      <c r="S141" s="3347">
        <v>4053</v>
      </c>
      <c r="T141" s="3347">
        <v>579</v>
      </c>
      <c r="V141" s="3352" t="s">
        <v>3708</v>
      </c>
      <c r="Y141" s="3352">
        <f t="shared" si="27"/>
        <v>215696.8</v>
      </c>
      <c r="Z141" s="3352">
        <f t="shared" si="28"/>
        <v>446100.2</v>
      </c>
      <c r="AA141" s="3352">
        <f t="shared" si="29"/>
        <v>446100.2</v>
      </c>
      <c r="AB141" s="3352">
        <f t="shared" si="30"/>
        <v>446100.2</v>
      </c>
      <c r="AC141" s="3352">
        <f t="shared" si="31"/>
        <v>447325.75</v>
      </c>
      <c r="AD141" s="3352">
        <f t="shared" si="32"/>
        <v>446100.2</v>
      </c>
      <c r="AE141" s="3352">
        <f t="shared" si="33"/>
        <v>446100.2</v>
      </c>
      <c r="AF141" s="3352">
        <f t="shared" si="34"/>
        <v>446100.2</v>
      </c>
      <c r="AG141" s="3352">
        <f t="shared" si="35"/>
        <v>447325.75</v>
      </c>
      <c r="AH141" s="3352">
        <f t="shared" si="36"/>
        <v>446100.2</v>
      </c>
      <c r="AI141" s="3352">
        <f t="shared" si="37"/>
        <v>446100.2</v>
      </c>
      <c r="AJ141" s="3352">
        <f t="shared" si="38"/>
        <v>446100.2</v>
      </c>
    </row>
    <row r="142" spans="1:36" s="3352" customFormat="1" ht="24">
      <c r="A142" s="3353"/>
      <c r="B142" s="3353"/>
      <c r="C142" s="3353"/>
      <c r="D142" s="3353"/>
      <c r="E142" s="3353"/>
      <c r="F142" s="3353"/>
      <c r="G142" s="3353"/>
      <c r="H142" s="3353"/>
      <c r="I142" s="3353"/>
      <c r="J142" s="3353"/>
      <c r="K142" s="3353"/>
      <c r="L142" s="3353"/>
      <c r="M142" s="3354"/>
      <c r="N142" s="3350">
        <f>665/30</f>
        <v>22.166666666666668</v>
      </c>
      <c r="O142" s="3351">
        <f t="shared" si="39"/>
        <v>0</v>
      </c>
      <c r="P142" s="3351" t="s">
        <v>3709</v>
      </c>
      <c r="Q142" s="3350" t="s">
        <v>3710</v>
      </c>
      <c r="R142" s="3350" t="s">
        <v>3255</v>
      </c>
      <c r="S142" s="3353"/>
      <c r="T142" s="3353"/>
      <c r="Y142" s="3352">
        <f t="shared" si="27"/>
        <v>0</v>
      </c>
      <c r="Z142" s="3352">
        <f t="shared" si="28"/>
        <v>0</v>
      </c>
      <c r="AA142" s="3352">
        <f t="shared" si="29"/>
        <v>0</v>
      </c>
      <c r="AB142" s="3352">
        <f t="shared" si="30"/>
        <v>0</v>
      </c>
      <c r="AC142" s="3352">
        <f t="shared" si="31"/>
        <v>0</v>
      </c>
      <c r="AD142" s="3352">
        <f t="shared" si="32"/>
        <v>0</v>
      </c>
      <c r="AE142" s="3352">
        <f t="shared" si="33"/>
        <v>0</v>
      </c>
      <c r="AF142" s="3352">
        <f t="shared" si="34"/>
        <v>0</v>
      </c>
      <c r="AG142" s="3352">
        <f t="shared" si="35"/>
        <v>0</v>
      </c>
      <c r="AH142" s="3352">
        <f t="shared" si="36"/>
        <v>0</v>
      </c>
      <c r="AI142" s="3352">
        <f t="shared" si="37"/>
        <v>0</v>
      </c>
      <c r="AJ142" s="3352">
        <f t="shared" si="38"/>
        <v>0</v>
      </c>
    </row>
    <row r="143" spans="1:36" s="3352" customFormat="1">
      <c r="A143" s="3355"/>
      <c r="B143" s="3355"/>
      <c r="C143" s="3355"/>
      <c r="D143" s="3355"/>
      <c r="E143" s="3355"/>
      <c r="F143" s="3355"/>
      <c r="G143" s="3355"/>
      <c r="H143" s="3355"/>
      <c r="I143" s="3355"/>
      <c r="J143" s="3355"/>
      <c r="K143" s="3355"/>
      <c r="L143" s="3355"/>
      <c r="M143" s="3356"/>
      <c r="N143" s="3350">
        <f>695/30</f>
        <v>23.166666666666668</v>
      </c>
      <c r="O143" s="3351">
        <f t="shared" si="39"/>
        <v>0</v>
      </c>
      <c r="P143" s="3351" t="s">
        <v>3711</v>
      </c>
      <c r="Q143" s="3350" t="s">
        <v>3712</v>
      </c>
      <c r="R143" s="3350" t="s">
        <v>3582</v>
      </c>
      <c r="S143" s="3355"/>
      <c r="T143" s="3355"/>
      <c r="Y143" s="3352">
        <f t="shared" si="27"/>
        <v>0</v>
      </c>
      <c r="Z143" s="3352">
        <f t="shared" si="28"/>
        <v>0</v>
      </c>
      <c r="AA143" s="3352">
        <f t="shared" si="29"/>
        <v>0</v>
      </c>
      <c r="AB143" s="3352">
        <f t="shared" si="30"/>
        <v>0</v>
      </c>
      <c r="AC143" s="3352">
        <f t="shared" si="31"/>
        <v>0</v>
      </c>
      <c r="AD143" s="3352">
        <f t="shared" si="32"/>
        <v>0</v>
      </c>
      <c r="AE143" s="3352">
        <f t="shared" si="33"/>
        <v>0</v>
      </c>
      <c r="AF143" s="3352">
        <f t="shared" si="34"/>
        <v>0</v>
      </c>
      <c r="AG143" s="3352">
        <f t="shared" si="35"/>
        <v>0</v>
      </c>
      <c r="AH143" s="3352">
        <f t="shared" si="36"/>
        <v>0</v>
      </c>
      <c r="AI143" s="3352">
        <f t="shared" si="37"/>
        <v>0</v>
      </c>
      <c r="AJ143" s="3352">
        <f t="shared" si="38"/>
        <v>0</v>
      </c>
    </row>
    <row r="144" spans="1:36" s="3352" customFormat="1" ht="24">
      <c r="A144" s="3347">
        <v>38</v>
      </c>
      <c r="B144" s="3347" t="s">
        <v>3713</v>
      </c>
      <c r="C144" s="3347" t="s">
        <v>3714</v>
      </c>
      <c r="D144" s="3347" t="s">
        <v>3715</v>
      </c>
      <c r="E144" s="3347"/>
      <c r="F144" s="3348" t="s">
        <v>3166</v>
      </c>
      <c r="G144" s="3347"/>
      <c r="H144" s="3347" t="s">
        <v>3716</v>
      </c>
      <c r="I144" s="3347">
        <v>58.62</v>
      </c>
      <c r="J144" s="3347">
        <v>41.04</v>
      </c>
      <c r="K144" s="3347" t="s">
        <v>3472</v>
      </c>
      <c r="L144" s="3347" t="s">
        <v>3372</v>
      </c>
      <c r="M144" s="3349">
        <v>3</v>
      </c>
      <c r="N144" s="3350">
        <f>660/30</f>
        <v>22</v>
      </c>
      <c r="O144" s="3351">
        <f t="shared" si="39"/>
        <v>1289.6399999999999</v>
      </c>
      <c r="P144" s="3351" t="s">
        <v>3717</v>
      </c>
      <c r="Q144" s="3350" t="s">
        <v>3718</v>
      </c>
      <c r="R144" s="3350" t="s">
        <v>3387</v>
      </c>
      <c r="S144" s="3347">
        <v>4103.3999999999996</v>
      </c>
      <c r="T144" s="3347">
        <v>586.20000000000005</v>
      </c>
      <c r="Y144" s="3352">
        <f t="shared" si="27"/>
        <v>226976.63999999998</v>
      </c>
      <c r="Z144" s="3352">
        <f t="shared" si="28"/>
        <v>469428.95999999996</v>
      </c>
      <c r="AA144" s="3352">
        <f t="shared" si="29"/>
        <v>469428.95999999996</v>
      </c>
      <c r="AB144" s="3352">
        <f t="shared" si="30"/>
        <v>469428.95999999996</v>
      </c>
      <c r="AC144" s="3352">
        <f t="shared" si="31"/>
        <v>470718.6</v>
      </c>
      <c r="AD144" s="3352">
        <f t="shared" si="32"/>
        <v>469428.95999999996</v>
      </c>
      <c r="AE144" s="3352">
        <f t="shared" si="33"/>
        <v>469428.95999999996</v>
      </c>
      <c r="AF144" s="3352">
        <f t="shared" si="34"/>
        <v>469428.95999999996</v>
      </c>
      <c r="AG144" s="3352">
        <f t="shared" si="35"/>
        <v>470718.6</v>
      </c>
      <c r="AH144" s="3352">
        <f t="shared" si="36"/>
        <v>469428.95999999996</v>
      </c>
      <c r="AI144" s="3352">
        <f t="shared" si="37"/>
        <v>469428.95999999996</v>
      </c>
      <c r="AJ144" s="3352">
        <f t="shared" si="38"/>
        <v>469428.95999999996</v>
      </c>
    </row>
    <row r="145" spans="1:36" s="3352" customFormat="1" ht="24">
      <c r="A145" s="3353"/>
      <c r="B145" s="3353"/>
      <c r="C145" s="3353"/>
      <c r="D145" s="3353"/>
      <c r="E145" s="3353"/>
      <c r="F145" s="3353"/>
      <c r="G145" s="3353"/>
      <c r="H145" s="3353"/>
      <c r="I145" s="3353"/>
      <c r="J145" s="3353"/>
      <c r="K145" s="3353"/>
      <c r="L145" s="3353"/>
      <c r="M145" s="3354"/>
      <c r="N145" s="3350">
        <f>660/30</f>
        <v>22</v>
      </c>
      <c r="O145" s="3351">
        <f t="shared" si="39"/>
        <v>0</v>
      </c>
      <c r="P145" s="3351" t="s">
        <v>3719</v>
      </c>
      <c r="Q145" s="3350" t="s">
        <v>3720</v>
      </c>
      <c r="R145" s="3350" t="s">
        <v>3304</v>
      </c>
      <c r="S145" s="3353"/>
      <c r="T145" s="3353"/>
      <c r="Y145" s="3352">
        <f t="shared" si="27"/>
        <v>0</v>
      </c>
      <c r="Z145" s="3352">
        <f t="shared" si="28"/>
        <v>0</v>
      </c>
      <c r="AA145" s="3352">
        <f t="shared" si="29"/>
        <v>0</v>
      </c>
      <c r="AB145" s="3352">
        <f t="shared" si="30"/>
        <v>0</v>
      </c>
      <c r="AC145" s="3352">
        <f t="shared" si="31"/>
        <v>0</v>
      </c>
      <c r="AD145" s="3352">
        <f t="shared" si="32"/>
        <v>0</v>
      </c>
      <c r="AE145" s="3352">
        <f t="shared" si="33"/>
        <v>0</v>
      </c>
      <c r="AF145" s="3352">
        <f t="shared" si="34"/>
        <v>0</v>
      </c>
      <c r="AG145" s="3352">
        <f t="shared" si="35"/>
        <v>0</v>
      </c>
      <c r="AH145" s="3352">
        <f t="shared" si="36"/>
        <v>0</v>
      </c>
      <c r="AI145" s="3352">
        <f t="shared" si="37"/>
        <v>0</v>
      </c>
      <c r="AJ145" s="3352">
        <f t="shared" si="38"/>
        <v>0</v>
      </c>
    </row>
    <row r="146" spans="1:36" s="3352" customFormat="1" ht="24">
      <c r="A146" s="3355"/>
      <c r="B146" s="3355"/>
      <c r="C146" s="3355"/>
      <c r="D146" s="3355"/>
      <c r="E146" s="3355"/>
      <c r="F146" s="3355"/>
      <c r="G146" s="3355"/>
      <c r="H146" s="3355"/>
      <c r="I146" s="3355"/>
      <c r="J146" s="3355"/>
      <c r="K146" s="3355"/>
      <c r="L146" s="3355"/>
      <c r="M146" s="3356"/>
      <c r="N146" s="3350">
        <f>690/30</f>
        <v>23</v>
      </c>
      <c r="O146" s="3351">
        <f t="shared" si="39"/>
        <v>0</v>
      </c>
      <c r="P146" s="3351" t="s">
        <v>3721</v>
      </c>
      <c r="Q146" s="3350" t="s">
        <v>3722</v>
      </c>
      <c r="R146" s="3350" t="s">
        <v>3393</v>
      </c>
      <c r="S146" s="3355"/>
      <c r="T146" s="3355"/>
      <c r="Y146" s="3352">
        <f t="shared" si="27"/>
        <v>0</v>
      </c>
      <c r="Z146" s="3352">
        <f t="shared" si="28"/>
        <v>0</v>
      </c>
      <c r="AA146" s="3352">
        <f t="shared" si="29"/>
        <v>0</v>
      </c>
      <c r="AB146" s="3352">
        <f t="shared" si="30"/>
        <v>0</v>
      </c>
      <c r="AC146" s="3352">
        <f t="shared" si="31"/>
        <v>0</v>
      </c>
      <c r="AD146" s="3352">
        <f t="shared" si="32"/>
        <v>0</v>
      </c>
      <c r="AE146" s="3352">
        <f t="shared" si="33"/>
        <v>0</v>
      </c>
      <c r="AF146" s="3352">
        <f t="shared" si="34"/>
        <v>0</v>
      </c>
      <c r="AG146" s="3352">
        <f t="shared" si="35"/>
        <v>0</v>
      </c>
      <c r="AH146" s="3352">
        <f t="shared" si="36"/>
        <v>0</v>
      </c>
      <c r="AI146" s="3352">
        <f t="shared" si="37"/>
        <v>0</v>
      </c>
      <c r="AJ146" s="3352">
        <f t="shared" si="38"/>
        <v>0</v>
      </c>
    </row>
    <row r="147" spans="1:36" s="3352" customFormat="1" ht="24">
      <c r="A147" s="3347">
        <v>39</v>
      </c>
      <c r="B147" s="3347" t="s">
        <v>3723</v>
      </c>
      <c r="C147" s="3347" t="s">
        <v>3724</v>
      </c>
      <c r="D147" s="3347" t="s">
        <v>3725</v>
      </c>
      <c r="E147" s="3347" t="s">
        <v>3725</v>
      </c>
      <c r="F147" s="3348" t="s">
        <v>3166</v>
      </c>
      <c r="G147" s="3347"/>
      <c r="H147" s="3347" t="s">
        <v>3726</v>
      </c>
      <c r="I147" s="3347">
        <v>179.9</v>
      </c>
      <c r="J147" s="3347">
        <v>125.92</v>
      </c>
      <c r="K147" s="3347" t="s">
        <v>3472</v>
      </c>
      <c r="L147" s="3347" t="s">
        <v>3372</v>
      </c>
      <c r="M147" s="3349">
        <v>5</v>
      </c>
      <c r="N147" s="3350">
        <f>420/30</f>
        <v>14</v>
      </c>
      <c r="O147" s="3351">
        <f t="shared" si="39"/>
        <v>2518.6</v>
      </c>
      <c r="P147" s="3351" t="s">
        <v>3727</v>
      </c>
      <c r="Q147" s="3350" t="s">
        <v>3728</v>
      </c>
      <c r="R147" s="3350" t="s">
        <v>3324</v>
      </c>
      <c r="S147" s="3347">
        <v>12593</v>
      </c>
      <c r="T147" s="3347">
        <v>1799</v>
      </c>
      <c r="Y147" s="3352">
        <f t="shared" si="27"/>
        <v>443273.6</v>
      </c>
      <c r="Z147" s="3352">
        <f t="shared" si="28"/>
        <v>916770.4</v>
      </c>
      <c r="AA147" s="3352">
        <f t="shared" si="29"/>
        <v>916770.4</v>
      </c>
      <c r="AB147" s="3352">
        <f t="shared" si="30"/>
        <v>916770.4</v>
      </c>
      <c r="AC147" s="3352">
        <f t="shared" si="31"/>
        <v>919289</v>
      </c>
      <c r="AD147" s="3352">
        <f t="shared" si="32"/>
        <v>916770.4</v>
      </c>
      <c r="AE147" s="3352">
        <f t="shared" si="33"/>
        <v>916770.4</v>
      </c>
      <c r="AF147" s="3352">
        <f t="shared" si="34"/>
        <v>916770.4</v>
      </c>
      <c r="AG147" s="3352">
        <f t="shared" si="35"/>
        <v>919289</v>
      </c>
      <c r="AH147" s="3352">
        <f t="shared" si="36"/>
        <v>916770.4</v>
      </c>
      <c r="AI147" s="3352">
        <f t="shared" si="37"/>
        <v>916770.4</v>
      </c>
      <c r="AJ147" s="3352">
        <f t="shared" si="38"/>
        <v>916770.4</v>
      </c>
    </row>
    <row r="148" spans="1:36" s="3352" customFormat="1">
      <c r="A148" s="3353"/>
      <c r="B148" s="3353" t="s">
        <v>3729</v>
      </c>
      <c r="C148" s="3353"/>
      <c r="D148" s="3353"/>
      <c r="E148" s="3353"/>
      <c r="F148" s="3353"/>
      <c r="G148" s="3353"/>
      <c r="H148" s="3353"/>
      <c r="I148" s="3353"/>
      <c r="J148" s="3353"/>
      <c r="K148" s="3353"/>
      <c r="L148" s="3353"/>
      <c r="M148" s="3354"/>
      <c r="N148" s="3350">
        <f>420/30</f>
        <v>14</v>
      </c>
      <c r="O148" s="3351">
        <f t="shared" si="39"/>
        <v>0</v>
      </c>
      <c r="P148" s="3351" t="s">
        <v>3730</v>
      </c>
      <c r="Q148" s="3350" t="s">
        <v>3731</v>
      </c>
      <c r="R148" s="3350" t="s">
        <v>3354</v>
      </c>
      <c r="S148" s="3353"/>
      <c r="T148" s="3353"/>
      <c r="Y148" s="3352">
        <f t="shared" si="27"/>
        <v>0</v>
      </c>
      <c r="Z148" s="3352">
        <f t="shared" si="28"/>
        <v>0</v>
      </c>
      <c r="AA148" s="3352">
        <f t="shared" si="29"/>
        <v>0</v>
      </c>
      <c r="AB148" s="3352">
        <f t="shared" si="30"/>
        <v>0</v>
      </c>
      <c r="AC148" s="3352">
        <f t="shared" si="31"/>
        <v>0</v>
      </c>
      <c r="AD148" s="3352">
        <f t="shared" si="32"/>
        <v>0</v>
      </c>
      <c r="AE148" s="3352">
        <f t="shared" si="33"/>
        <v>0</v>
      </c>
      <c r="AF148" s="3352">
        <f t="shared" si="34"/>
        <v>0</v>
      </c>
      <c r="AG148" s="3352">
        <f t="shared" si="35"/>
        <v>0</v>
      </c>
      <c r="AH148" s="3352">
        <f t="shared" si="36"/>
        <v>0</v>
      </c>
      <c r="AI148" s="3352">
        <f t="shared" si="37"/>
        <v>0</v>
      </c>
      <c r="AJ148" s="3352">
        <f t="shared" si="38"/>
        <v>0</v>
      </c>
    </row>
    <row r="149" spans="1:36" s="3352" customFormat="1">
      <c r="A149" s="3353"/>
      <c r="B149" s="3353"/>
      <c r="C149" s="3353"/>
      <c r="D149" s="3353"/>
      <c r="E149" s="3353"/>
      <c r="F149" s="3353"/>
      <c r="G149" s="3353"/>
      <c r="H149" s="3353"/>
      <c r="I149" s="3353"/>
      <c r="J149" s="3353"/>
      <c r="K149" s="3353"/>
      <c r="L149" s="3353"/>
      <c r="M149" s="3354"/>
      <c r="N149" s="3350">
        <f>450/30</f>
        <v>15</v>
      </c>
      <c r="O149" s="3351">
        <f t="shared" si="39"/>
        <v>0</v>
      </c>
      <c r="P149" s="3351" t="s">
        <v>3732</v>
      </c>
      <c r="Q149" s="3350" t="s">
        <v>3733</v>
      </c>
      <c r="R149" s="3350" t="s">
        <v>3543</v>
      </c>
      <c r="S149" s="3353"/>
      <c r="T149" s="3353"/>
      <c r="Y149" s="3352">
        <f t="shared" si="27"/>
        <v>0</v>
      </c>
      <c r="Z149" s="3352">
        <f t="shared" si="28"/>
        <v>0</v>
      </c>
      <c r="AA149" s="3352">
        <f t="shared" si="29"/>
        <v>0</v>
      </c>
      <c r="AB149" s="3352">
        <f t="shared" si="30"/>
        <v>0</v>
      </c>
      <c r="AC149" s="3352">
        <f t="shared" si="31"/>
        <v>0</v>
      </c>
      <c r="AD149" s="3352">
        <f t="shared" si="32"/>
        <v>0</v>
      </c>
      <c r="AE149" s="3352">
        <f t="shared" si="33"/>
        <v>0</v>
      </c>
      <c r="AF149" s="3352">
        <f t="shared" si="34"/>
        <v>0</v>
      </c>
      <c r="AG149" s="3352">
        <f t="shared" si="35"/>
        <v>0</v>
      </c>
      <c r="AH149" s="3352">
        <f t="shared" si="36"/>
        <v>0</v>
      </c>
      <c r="AI149" s="3352">
        <f t="shared" si="37"/>
        <v>0</v>
      </c>
      <c r="AJ149" s="3352">
        <f t="shared" si="38"/>
        <v>0</v>
      </c>
    </row>
    <row r="150" spans="1:36" s="3352" customFormat="1">
      <c r="A150" s="3353"/>
      <c r="B150" s="3353"/>
      <c r="C150" s="3353"/>
      <c r="D150" s="3353"/>
      <c r="E150" s="3353"/>
      <c r="F150" s="3353"/>
      <c r="G150" s="3353"/>
      <c r="H150" s="3353"/>
      <c r="I150" s="3353"/>
      <c r="J150" s="3353"/>
      <c r="K150" s="3353"/>
      <c r="L150" s="3353"/>
      <c r="M150" s="3354"/>
      <c r="N150" s="3350">
        <f>450/30</f>
        <v>15</v>
      </c>
      <c r="O150" s="3351">
        <f t="shared" si="39"/>
        <v>0</v>
      </c>
      <c r="P150" s="3351" t="s">
        <v>3734</v>
      </c>
      <c r="Q150" s="3350" t="s">
        <v>3735</v>
      </c>
      <c r="R150" s="3350" t="s">
        <v>3637</v>
      </c>
      <c r="S150" s="3353"/>
      <c r="T150" s="3353"/>
      <c r="Y150" s="3352">
        <f t="shared" ref="Y150:Y206" si="40">I150*N150*($Y$2-$X$2)</f>
        <v>0</v>
      </c>
      <c r="Z150" s="3352">
        <f t="shared" ref="Z150:Z206" si="41">I150*N150*($Z$2-$Z$1)</f>
        <v>0</v>
      </c>
      <c r="AA150" s="3352">
        <f t="shared" ref="AA150:AA206" si="42">I150*N150*($AA$2-$AA$1)</f>
        <v>0</v>
      </c>
      <c r="AB150" s="3352">
        <f t="shared" ref="AB150:AB206" si="43">I150*N150*($AB$2-$AB$1)</f>
        <v>0</v>
      </c>
      <c r="AC150" s="3352">
        <f t="shared" ref="AC150:AC206" si="44">I150*N150*($AC$2-$AC$1)</f>
        <v>0</v>
      </c>
      <c r="AD150" s="3352">
        <f t="shared" ref="AD150:AD206" si="45">I150*N150*($AD$2-$AD$1)</f>
        <v>0</v>
      </c>
      <c r="AE150" s="3352">
        <f t="shared" ref="AE150:AE206" si="46">I150*N150*($AE$2-$AE$1)</f>
        <v>0</v>
      </c>
      <c r="AF150" s="3352">
        <f t="shared" ref="AF150:AF206" si="47">I150*N150*($AF$2-$AF$1)</f>
        <v>0</v>
      </c>
      <c r="AG150" s="3352">
        <f t="shared" ref="AG150:AG206" si="48">I150*N150*($AG$2-$AG$1)</f>
        <v>0</v>
      </c>
      <c r="AH150" s="3352">
        <f t="shared" ref="AH150:AH206" si="49">I150*N150*($AH$2-$AH$1)</f>
        <v>0</v>
      </c>
      <c r="AI150" s="3352">
        <f t="shared" ref="AI150:AI206" si="50">I150*N150*($AI$2-$AI$1)</f>
        <v>0</v>
      </c>
      <c r="AJ150" s="3352">
        <f t="shared" ref="AJ150:AJ206" si="51">I150*N150*($AJ$2-$AJ$1)</f>
        <v>0</v>
      </c>
    </row>
    <row r="151" spans="1:36" s="3352" customFormat="1">
      <c r="A151" s="3353"/>
      <c r="B151" s="3355"/>
      <c r="C151" s="3355"/>
      <c r="D151" s="3355"/>
      <c r="E151" s="3355"/>
      <c r="F151" s="3355"/>
      <c r="G151" s="3355"/>
      <c r="H151" s="3355"/>
      <c r="I151" s="3355"/>
      <c r="J151" s="3355"/>
      <c r="K151" s="3355"/>
      <c r="L151" s="3355"/>
      <c r="M151" s="3356"/>
      <c r="N151" s="3350">
        <f>480/30</f>
        <v>16</v>
      </c>
      <c r="O151" s="3351">
        <f t="shared" ref="O151:O207" si="52">I151*N151</f>
        <v>0</v>
      </c>
      <c r="P151" s="3351" t="s">
        <v>3736</v>
      </c>
      <c r="Q151" s="3350" t="s">
        <v>3737</v>
      </c>
      <c r="R151" s="3350" t="s">
        <v>3313</v>
      </c>
      <c r="S151" s="3355"/>
      <c r="T151" s="3355"/>
      <c r="Y151" s="3352">
        <f t="shared" si="40"/>
        <v>0</v>
      </c>
      <c r="Z151" s="3352">
        <f t="shared" si="41"/>
        <v>0</v>
      </c>
      <c r="AA151" s="3352">
        <f t="shared" si="42"/>
        <v>0</v>
      </c>
      <c r="AB151" s="3352">
        <f t="shared" si="43"/>
        <v>0</v>
      </c>
      <c r="AC151" s="3352">
        <f t="shared" si="44"/>
        <v>0</v>
      </c>
      <c r="AD151" s="3352">
        <f t="shared" si="45"/>
        <v>0</v>
      </c>
      <c r="AE151" s="3352">
        <f t="shared" si="46"/>
        <v>0</v>
      </c>
      <c r="AF151" s="3352">
        <f t="shared" si="47"/>
        <v>0</v>
      </c>
      <c r="AG151" s="3352">
        <f t="shared" si="48"/>
        <v>0</v>
      </c>
      <c r="AH151" s="3352">
        <f t="shared" si="49"/>
        <v>0</v>
      </c>
      <c r="AI151" s="3352">
        <f t="shared" si="50"/>
        <v>0</v>
      </c>
      <c r="AJ151" s="3352">
        <f t="shared" si="51"/>
        <v>0</v>
      </c>
    </row>
    <row r="152" spans="1:36" s="3352" customFormat="1" ht="24">
      <c r="A152" s="3347">
        <v>40</v>
      </c>
      <c r="B152" s="3347" t="s">
        <v>3738</v>
      </c>
      <c r="C152" s="3347" t="s">
        <v>3739</v>
      </c>
      <c r="D152" s="3347" t="s">
        <v>3740</v>
      </c>
      <c r="E152" s="3347" t="s">
        <v>3740</v>
      </c>
      <c r="F152" s="3348" t="s">
        <v>3166</v>
      </c>
      <c r="G152" s="3347"/>
      <c r="H152" s="3347" t="s">
        <v>3741</v>
      </c>
      <c r="I152" s="3347">
        <v>82.6</v>
      </c>
      <c r="J152" s="3347">
        <v>57.8</v>
      </c>
      <c r="K152" s="3347" t="s">
        <v>3472</v>
      </c>
      <c r="L152" s="3347" t="s">
        <v>3372</v>
      </c>
      <c r="M152" s="3349">
        <v>2</v>
      </c>
      <c r="N152" s="3350">
        <f>600/30</f>
        <v>20</v>
      </c>
      <c r="O152" s="3351">
        <f t="shared" si="52"/>
        <v>1652</v>
      </c>
      <c r="P152" s="3351" t="s">
        <v>3742</v>
      </c>
      <c r="Q152" s="3350" t="s">
        <v>3743</v>
      </c>
      <c r="R152" s="3350" t="s">
        <v>3744</v>
      </c>
      <c r="S152" s="3347">
        <v>5782</v>
      </c>
      <c r="T152" s="3347">
        <v>826</v>
      </c>
      <c r="Y152" s="3352">
        <f t="shared" si="40"/>
        <v>290752</v>
      </c>
      <c r="Z152" s="3352">
        <f t="shared" si="41"/>
        <v>601328</v>
      </c>
      <c r="AA152" s="3352">
        <f t="shared" si="42"/>
        <v>601328</v>
      </c>
      <c r="AB152" s="3352">
        <f t="shared" si="43"/>
        <v>601328</v>
      </c>
      <c r="AC152" s="3352">
        <f t="shared" si="44"/>
        <v>602980</v>
      </c>
      <c r="AD152" s="3352">
        <f t="shared" si="45"/>
        <v>601328</v>
      </c>
      <c r="AE152" s="3352">
        <f t="shared" si="46"/>
        <v>601328</v>
      </c>
      <c r="AF152" s="3352">
        <f t="shared" si="47"/>
        <v>601328</v>
      </c>
      <c r="AG152" s="3352">
        <f t="shared" si="48"/>
        <v>602980</v>
      </c>
      <c r="AH152" s="3352">
        <f t="shared" si="49"/>
        <v>601328</v>
      </c>
      <c r="AI152" s="3352">
        <f t="shared" si="50"/>
        <v>601328</v>
      </c>
      <c r="AJ152" s="3352">
        <f t="shared" si="51"/>
        <v>601328</v>
      </c>
    </row>
    <row r="153" spans="1:36" s="3352" customFormat="1">
      <c r="A153" s="3355"/>
      <c r="B153" s="3355"/>
      <c r="C153" s="3355"/>
      <c r="D153" s="3355"/>
      <c r="E153" s="3355"/>
      <c r="F153" s="3355"/>
      <c r="G153" s="3355"/>
      <c r="H153" s="3355"/>
      <c r="I153" s="3355"/>
      <c r="J153" s="3355"/>
      <c r="K153" s="3355"/>
      <c r="L153" s="3355"/>
      <c r="M153" s="3356"/>
      <c r="N153" s="3350">
        <f>630/30</f>
        <v>21</v>
      </c>
      <c r="O153" s="3351">
        <f t="shared" si="52"/>
        <v>0</v>
      </c>
      <c r="P153" s="3351" t="s">
        <v>3745</v>
      </c>
      <c r="Q153" s="3350" t="s">
        <v>3746</v>
      </c>
      <c r="R153" s="3350" t="s">
        <v>3193</v>
      </c>
      <c r="S153" s="3355"/>
      <c r="T153" s="3355"/>
      <c r="Y153" s="3352">
        <f t="shared" si="40"/>
        <v>0</v>
      </c>
      <c r="Z153" s="3352">
        <f t="shared" si="41"/>
        <v>0</v>
      </c>
      <c r="AA153" s="3352">
        <f t="shared" si="42"/>
        <v>0</v>
      </c>
      <c r="AB153" s="3352">
        <f t="shared" si="43"/>
        <v>0</v>
      </c>
      <c r="AC153" s="3352">
        <f t="shared" si="44"/>
        <v>0</v>
      </c>
      <c r="AD153" s="3352">
        <f t="shared" si="45"/>
        <v>0</v>
      </c>
      <c r="AE153" s="3352">
        <f t="shared" si="46"/>
        <v>0</v>
      </c>
      <c r="AF153" s="3352">
        <f t="shared" si="47"/>
        <v>0</v>
      </c>
      <c r="AG153" s="3352">
        <f t="shared" si="48"/>
        <v>0</v>
      </c>
      <c r="AH153" s="3352">
        <f t="shared" si="49"/>
        <v>0</v>
      </c>
      <c r="AI153" s="3352">
        <f t="shared" si="50"/>
        <v>0</v>
      </c>
      <c r="AJ153" s="3352">
        <f t="shared" si="51"/>
        <v>0</v>
      </c>
    </row>
    <row r="154" spans="1:36" s="3352" customFormat="1" ht="24">
      <c r="A154" s="3347">
        <v>41</v>
      </c>
      <c r="B154" s="3347" t="s">
        <v>3747</v>
      </c>
      <c r="C154" s="3347" t="s">
        <v>3748</v>
      </c>
      <c r="D154" s="3347" t="s">
        <v>3749</v>
      </c>
      <c r="E154" s="3347" t="s">
        <v>3749</v>
      </c>
      <c r="F154" s="3348" t="s">
        <v>3166</v>
      </c>
      <c r="G154" s="3347"/>
      <c r="H154" s="3347" t="s">
        <v>3750</v>
      </c>
      <c r="I154" s="3347">
        <v>74.2</v>
      </c>
      <c r="J154" s="3347"/>
      <c r="K154" s="3347" t="s">
        <v>3751</v>
      </c>
      <c r="L154" s="3347" t="s">
        <v>3372</v>
      </c>
      <c r="M154" s="3349">
        <v>3</v>
      </c>
      <c r="N154" s="3350">
        <f>375/30</f>
        <v>12.5</v>
      </c>
      <c r="O154" s="3351">
        <f t="shared" si="52"/>
        <v>927.5</v>
      </c>
      <c r="P154" s="3351" t="s">
        <v>3752</v>
      </c>
      <c r="Q154" s="3350" t="s">
        <v>3753</v>
      </c>
      <c r="R154" s="3350" t="s">
        <v>3300</v>
      </c>
      <c r="S154" s="3347">
        <v>5194</v>
      </c>
      <c r="T154" s="3347">
        <v>742</v>
      </c>
      <c r="Y154" s="3352">
        <f t="shared" si="40"/>
        <v>163240</v>
      </c>
      <c r="Z154" s="3352">
        <f t="shared" si="41"/>
        <v>337610</v>
      </c>
      <c r="AA154" s="3352">
        <f t="shared" si="42"/>
        <v>337610</v>
      </c>
      <c r="AB154" s="3352">
        <f t="shared" si="43"/>
        <v>337610</v>
      </c>
      <c r="AC154" s="3352">
        <f t="shared" si="44"/>
        <v>338537.5</v>
      </c>
      <c r="AD154" s="3352">
        <f t="shared" si="45"/>
        <v>337610</v>
      </c>
      <c r="AE154" s="3352">
        <f t="shared" si="46"/>
        <v>337610</v>
      </c>
      <c r="AF154" s="3352">
        <f t="shared" si="47"/>
        <v>337610</v>
      </c>
      <c r="AG154" s="3352">
        <f t="shared" si="48"/>
        <v>338537.5</v>
      </c>
      <c r="AH154" s="3352">
        <f t="shared" si="49"/>
        <v>337610</v>
      </c>
      <c r="AI154" s="3352">
        <f t="shared" si="50"/>
        <v>337610</v>
      </c>
      <c r="AJ154" s="3352">
        <f t="shared" si="51"/>
        <v>337610</v>
      </c>
    </row>
    <row r="155" spans="1:36" s="3352" customFormat="1">
      <c r="A155" s="3353"/>
      <c r="B155" s="3353"/>
      <c r="C155" s="3353"/>
      <c r="D155" s="3353"/>
      <c r="E155" s="3353"/>
      <c r="F155" s="3353"/>
      <c r="G155" s="3353"/>
      <c r="H155" s="3353"/>
      <c r="I155" s="3353"/>
      <c r="J155" s="3353"/>
      <c r="K155" s="3353"/>
      <c r="L155" s="3353"/>
      <c r="M155" s="3354"/>
      <c r="N155" s="3350">
        <f>405/30</f>
        <v>13.5</v>
      </c>
      <c r="O155" s="3351">
        <f t="shared" si="52"/>
        <v>0</v>
      </c>
      <c r="P155" s="3351" t="s">
        <v>3754</v>
      </c>
      <c r="Q155" s="3350" t="s">
        <v>3755</v>
      </c>
      <c r="R155" s="3350" t="s">
        <v>3255</v>
      </c>
      <c r="S155" s="3353"/>
      <c r="T155" s="3353"/>
      <c r="Y155" s="3352">
        <f t="shared" si="40"/>
        <v>0</v>
      </c>
      <c r="Z155" s="3352">
        <f t="shared" si="41"/>
        <v>0</v>
      </c>
      <c r="AA155" s="3352">
        <f t="shared" si="42"/>
        <v>0</v>
      </c>
      <c r="AB155" s="3352">
        <f t="shared" si="43"/>
        <v>0</v>
      </c>
      <c r="AC155" s="3352">
        <f t="shared" si="44"/>
        <v>0</v>
      </c>
      <c r="AD155" s="3352">
        <f t="shared" si="45"/>
        <v>0</v>
      </c>
      <c r="AE155" s="3352">
        <f t="shared" si="46"/>
        <v>0</v>
      </c>
      <c r="AF155" s="3352">
        <f t="shared" si="47"/>
        <v>0</v>
      </c>
      <c r="AG155" s="3352">
        <f t="shared" si="48"/>
        <v>0</v>
      </c>
      <c r="AH155" s="3352">
        <f t="shared" si="49"/>
        <v>0</v>
      </c>
      <c r="AI155" s="3352">
        <f t="shared" si="50"/>
        <v>0</v>
      </c>
      <c r="AJ155" s="3352">
        <f t="shared" si="51"/>
        <v>0</v>
      </c>
    </row>
    <row r="156" spans="1:36" s="3352" customFormat="1">
      <c r="A156" s="3355"/>
      <c r="B156" s="3355"/>
      <c r="C156" s="3355"/>
      <c r="D156" s="3355"/>
      <c r="E156" s="3355"/>
      <c r="F156" s="3355"/>
      <c r="G156" s="3355"/>
      <c r="H156" s="3355"/>
      <c r="I156" s="3355"/>
      <c r="J156" s="3355"/>
      <c r="K156" s="3355"/>
      <c r="L156" s="3355"/>
      <c r="M156" s="3354"/>
      <c r="N156" s="3350">
        <f>435/30</f>
        <v>14.5</v>
      </c>
      <c r="O156" s="3351">
        <f t="shared" si="52"/>
        <v>0</v>
      </c>
      <c r="P156" s="3351" t="s">
        <v>3756</v>
      </c>
      <c r="Q156" s="3350" t="s">
        <v>3757</v>
      </c>
      <c r="R156" s="3350" t="s">
        <v>3582</v>
      </c>
      <c r="S156" s="3355"/>
      <c r="T156" s="3355"/>
      <c r="Y156" s="3352">
        <f t="shared" si="40"/>
        <v>0</v>
      </c>
      <c r="Z156" s="3352">
        <f t="shared" si="41"/>
        <v>0</v>
      </c>
      <c r="AA156" s="3352">
        <f t="shared" si="42"/>
        <v>0</v>
      </c>
      <c r="AB156" s="3352">
        <f t="shared" si="43"/>
        <v>0</v>
      </c>
      <c r="AC156" s="3352">
        <f t="shared" si="44"/>
        <v>0</v>
      </c>
      <c r="AD156" s="3352">
        <f t="shared" si="45"/>
        <v>0</v>
      </c>
      <c r="AE156" s="3352">
        <f t="shared" si="46"/>
        <v>0</v>
      </c>
      <c r="AF156" s="3352">
        <f t="shared" si="47"/>
        <v>0</v>
      </c>
      <c r="AG156" s="3352">
        <f t="shared" si="48"/>
        <v>0</v>
      </c>
      <c r="AH156" s="3352">
        <f t="shared" si="49"/>
        <v>0</v>
      </c>
      <c r="AI156" s="3352">
        <f t="shared" si="50"/>
        <v>0</v>
      </c>
      <c r="AJ156" s="3352">
        <f t="shared" si="51"/>
        <v>0</v>
      </c>
    </row>
    <row r="157" spans="1:36" s="3352" customFormat="1" ht="24">
      <c r="A157" s="3347">
        <v>42</v>
      </c>
      <c r="B157" s="3347" t="s">
        <v>3758</v>
      </c>
      <c r="C157" s="3347" t="s">
        <v>3759</v>
      </c>
      <c r="D157" s="3347" t="s">
        <v>3760</v>
      </c>
      <c r="E157" s="3347"/>
      <c r="F157" s="3348" t="s">
        <v>3166</v>
      </c>
      <c r="G157" s="3347"/>
      <c r="H157" s="3347" t="s">
        <v>3761</v>
      </c>
      <c r="I157" s="3347">
        <v>36.42</v>
      </c>
      <c r="J157" s="3347">
        <v>25.49</v>
      </c>
      <c r="K157" s="3347" t="s">
        <v>3762</v>
      </c>
      <c r="L157" s="3349" t="s">
        <v>3372</v>
      </c>
      <c r="M157" s="3349">
        <v>2</v>
      </c>
      <c r="N157" s="3350">
        <f>860/30</f>
        <v>28.666666666666668</v>
      </c>
      <c r="O157" s="3351">
        <f t="shared" si="52"/>
        <v>1044.0400000000002</v>
      </c>
      <c r="P157" s="3351" t="s">
        <v>3763</v>
      </c>
      <c r="Q157" s="3350" t="s">
        <v>3764</v>
      </c>
      <c r="R157" s="3350" t="s">
        <v>3300</v>
      </c>
      <c r="S157" s="3347">
        <v>2549.4</v>
      </c>
      <c r="T157" s="3347">
        <v>364.2</v>
      </c>
      <c r="Y157" s="3352">
        <f t="shared" si="40"/>
        <v>183751.04000000004</v>
      </c>
      <c r="Z157" s="3352">
        <f t="shared" si="41"/>
        <v>380030.56000000006</v>
      </c>
      <c r="AA157" s="3352">
        <f t="shared" si="42"/>
        <v>380030.56000000006</v>
      </c>
      <c r="AB157" s="3352">
        <f t="shared" si="43"/>
        <v>380030.56000000006</v>
      </c>
      <c r="AC157" s="3352">
        <f t="shared" si="44"/>
        <v>381074.60000000009</v>
      </c>
      <c r="AD157" s="3352">
        <f t="shared" si="45"/>
        <v>380030.56000000006</v>
      </c>
      <c r="AE157" s="3352">
        <f t="shared" si="46"/>
        <v>380030.56000000006</v>
      </c>
      <c r="AF157" s="3352">
        <f t="shared" si="47"/>
        <v>380030.56000000006</v>
      </c>
      <c r="AG157" s="3352">
        <f t="shared" si="48"/>
        <v>381074.60000000009</v>
      </c>
      <c r="AH157" s="3352">
        <f t="shared" si="49"/>
        <v>380030.56000000006</v>
      </c>
      <c r="AI157" s="3352">
        <f t="shared" si="50"/>
        <v>380030.56000000006</v>
      </c>
      <c r="AJ157" s="3352">
        <f t="shared" si="51"/>
        <v>380030.56000000006</v>
      </c>
    </row>
    <row r="158" spans="1:36" s="3352" customFormat="1" ht="24">
      <c r="A158" s="3355"/>
      <c r="B158" s="3355"/>
      <c r="C158" s="3355"/>
      <c r="D158" s="3355"/>
      <c r="E158" s="3355"/>
      <c r="F158" s="3355"/>
      <c r="G158" s="3355"/>
      <c r="H158" s="3355"/>
      <c r="I158" s="3355"/>
      <c r="J158" s="3355"/>
      <c r="K158" s="3355"/>
      <c r="L158" s="3356"/>
      <c r="M158" s="3356"/>
      <c r="N158" s="3350">
        <f>890/30</f>
        <v>29.666666666666668</v>
      </c>
      <c r="O158" s="3351">
        <f t="shared" si="52"/>
        <v>0</v>
      </c>
      <c r="P158" s="3351" t="s">
        <v>3765</v>
      </c>
      <c r="Q158" s="3350" t="s">
        <v>3766</v>
      </c>
      <c r="R158" s="3350" t="s">
        <v>3255</v>
      </c>
      <c r="S158" s="3355"/>
      <c r="T158" s="3355"/>
      <c r="Y158" s="3352">
        <f t="shared" si="40"/>
        <v>0</v>
      </c>
      <c r="Z158" s="3352">
        <f t="shared" si="41"/>
        <v>0</v>
      </c>
      <c r="AA158" s="3352">
        <f t="shared" si="42"/>
        <v>0</v>
      </c>
      <c r="AB158" s="3352">
        <f t="shared" si="43"/>
        <v>0</v>
      </c>
      <c r="AC158" s="3352">
        <f t="shared" si="44"/>
        <v>0</v>
      </c>
      <c r="AD158" s="3352">
        <f t="shared" si="45"/>
        <v>0</v>
      </c>
      <c r="AE158" s="3352">
        <f t="shared" si="46"/>
        <v>0</v>
      </c>
      <c r="AF158" s="3352">
        <f t="shared" si="47"/>
        <v>0</v>
      </c>
      <c r="AG158" s="3352">
        <f t="shared" si="48"/>
        <v>0</v>
      </c>
      <c r="AH158" s="3352">
        <f t="shared" si="49"/>
        <v>0</v>
      </c>
      <c r="AI158" s="3352">
        <f t="shared" si="50"/>
        <v>0</v>
      </c>
      <c r="AJ158" s="3352">
        <f t="shared" si="51"/>
        <v>0</v>
      </c>
    </row>
    <row r="159" spans="1:36" s="3352" customFormat="1" ht="24">
      <c r="A159" s="3347">
        <v>43</v>
      </c>
      <c r="B159" s="3347" t="s">
        <v>3767</v>
      </c>
      <c r="C159" s="3347" t="s">
        <v>3768</v>
      </c>
      <c r="D159" s="3347" t="s">
        <v>3769</v>
      </c>
      <c r="E159" s="3347" t="s">
        <v>3769</v>
      </c>
      <c r="F159" s="3348" t="s">
        <v>3166</v>
      </c>
      <c r="G159" s="3347"/>
      <c r="H159" s="3347" t="s">
        <v>3770</v>
      </c>
      <c r="I159" s="3347">
        <v>24.57</v>
      </c>
      <c r="J159" s="3347">
        <v>17.2</v>
      </c>
      <c r="K159" s="3347" t="s">
        <v>3472</v>
      </c>
      <c r="L159" s="3347" t="s">
        <v>3372</v>
      </c>
      <c r="M159" s="3349">
        <v>3</v>
      </c>
      <c r="N159" s="3350">
        <f>700/30</f>
        <v>23.333333333333332</v>
      </c>
      <c r="O159" s="3351">
        <f t="shared" si="52"/>
        <v>573.29999999999995</v>
      </c>
      <c r="P159" s="3351" t="s">
        <v>3771</v>
      </c>
      <c r="Q159" s="3350" t="s">
        <v>3772</v>
      </c>
      <c r="R159" s="3350" t="s">
        <v>3304</v>
      </c>
      <c r="S159" s="3347">
        <v>1720</v>
      </c>
      <c r="T159" s="3347">
        <v>245.7</v>
      </c>
      <c r="Y159" s="3352">
        <f t="shared" si="40"/>
        <v>100900.79999999999</v>
      </c>
      <c r="Z159" s="3352">
        <f t="shared" si="41"/>
        <v>208681.19999999998</v>
      </c>
      <c r="AA159" s="3352">
        <f t="shared" si="42"/>
        <v>208681.19999999998</v>
      </c>
      <c r="AB159" s="3352">
        <f t="shared" si="43"/>
        <v>208681.19999999998</v>
      </c>
      <c r="AC159" s="3352">
        <f t="shared" si="44"/>
        <v>209254.49999999997</v>
      </c>
      <c r="AD159" s="3352">
        <f t="shared" si="45"/>
        <v>208681.19999999998</v>
      </c>
      <c r="AE159" s="3352">
        <f t="shared" si="46"/>
        <v>208681.19999999998</v>
      </c>
      <c r="AF159" s="3352">
        <f t="shared" si="47"/>
        <v>208681.19999999998</v>
      </c>
      <c r="AG159" s="3352">
        <f t="shared" si="48"/>
        <v>209254.49999999997</v>
      </c>
      <c r="AH159" s="3352">
        <f t="shared" si="49"/>
        <v>208681.19999999998</v>
      </c>
      <c r="AI159" s="3352">
        <f t="shared" si="50"/>
        <v>208681.19999999998</v>
      </c>
      <c r="AJ159" s="3352">
        <f t="shared" si="51"/>
        <v>208681.19999999998</v>
      </c>
    </row>
    <row r="160" spans="1:36" s="3352" customFormat="1">
      <c r="A160" s="3353"/>
      <c r="B160" s="3353"/>
      <c r="C160" s="3353"/>
      <c r="D160" s="3353"/>
      <c r="E160" s="3353"/>
      <c r="F160" s="3353"/>
      <c r="G160" s="3353"/>
      <c r="H160" s="3353"/>
      <c r="I160" s="3353"/>
      <c r="J160" s="3353"/>
      <c r="K160" s="3353"/>
      <c r="L160" s="3353"/>
      <c r="M160" s="3354"/>
      <c r="N160" s="3350">
        <f>730/30</f>
        <v>24.333333333333332</v>
      </c>
      <c r="O160" s="3351">
        <f t="shared" si="52"/>
        <v>0</v>
      </c>
      <c r="P160" s="3351" t="s">
        <v>3773</v>
      </c>
      <c r="Q160" s="3350" t="s">
        <v>3774</v>
      </c>
      <c r="R160" s="3350" t="s">
        <v>3393</v>
      </c>
      <c r="S160" s="3353"/>
      <c r="T160" s="3353"/>
      <c r="Y160" s="3352">
        <f t="shared" si="40"/>
        <v>0</v>
      </c>
      <c r="Z160" s="3352">
        <f t="shared" si="41"/>
        <v>0</v>
      </c>
      <c r="AA160" s="3352">
        <f t="shared" si="42"/>
        <v>0</v>
      </c>
      <c r="AB160" s="3352">
        <f t="shared" si="43"/>
        <v>0</v>
      </c>
      <c r="AC160" s="3352">
        <f t="shared" si="44"/>
        <v>0</v>
      </c>
      <c r="AD160" s="3352">
        <f t="shared" si="45"/>
        <v>0</v>
      </c>
      <c r="AE160" s="3352">
        <f t="shared" si="46"/>
        <v>0</v>
      </c>
      <c r="AF160" s="3352">
        <f t="shared" si="47"/>
        <v>0</v>
      </c>
      <c r="AG160" s="3352">
        <f t="shared" si="48"/>
        <v>0</v>
      </c>
      <c r="AH160" s="3352">
        <f t="shared" si="49"/>
        <v>0</v>
      </c>
      <c r="AI160" s="3352">
        <f t="shared" si="50"/>
        <v>0</v>
      </c>
      <c r="AJ160" s="3352">
        <f t="shared" si="51"/>
        <v>0</v>
      </c>
    </row>
    <row r="161" spans="1:36" s="3352" customFormat="1">
      <c r="A161" s="3355"/>
      <c r="B161" s="3355"/>
      <c r="C161" s="3355"/>
      <c r="D161" s="3355"/>
      <c r="E161" s="3355"/>
      <c r="F161" s="3355"/>
      <c r="G161" s="3355"/>
      <c r="H161" s="3355"/>
      <c r="I161" s="3355"/>
      <c r="J161" s="3355"/>
      <c r="K161" s="3355"/>
      <c r="L161" s="3355"/>
      <c r="M161" s="3356"/>
      <c r="N161" s="3350">
        <f>760/30</f>
        <v>25.333333333333332</v>
      </c>
      <c r="O161" s="3351">
        <f t="shared" si="52"/>
        <v>0</v>
      </c>
      <c r="P161" s="3351" t="s">
        <v>3775</v>
      </c>
      <c r="Q161" s="3350" t="s">
        <v>3776</v>
      </c>
      <c r="R161" s="3350"/>
      <c r="S161" s="3355"/>
      <c r="T161" s="3355"/>
      <c r="Y161" s="3352">
        <f t="shared" si="40"/>
        <v>0</v>
      </c>
      <c r="Z161" s="3352">
        <f t="shared" si="41"/>
        <v>0</v>
      </c>
      <c r="AA161" s="3352">
        <f t="shared" si="42"/>
        <v>0</v>
      </c>
      <c r="AB161" s="3352">
        <f t="shared" si="43"/>
        <v>0</v>
      </c>
      <c r="AC161" s="3352">
        <f t="shared" si="44"/>
        <v>0</v>
      </c>
      <c r="AD161" s="3352">
        <f t="shared" si="45"/>
        <v>0</v>
      </c>
      <c r="AE161" s="3352">
        <f t="shared" si="46"/>
        <v>0</v>
      </c>
      <c r="AF161" s="3352">
        <f t="shared" si="47"/>
        <v>0</v>
      </c>
      <c r="AG161" s="3352">
        <f t="shared" si="48"/>
        <v>0</v>
      </c>
      <c r="AH161" s="3352">
        <f t="shared" si="49"/>
        <v>0</v>
      </c>
      <c r="AI161" s="3352">
        <f t="shared" si="50"/>
        <v>0</v>
      </c>
      <c r="AJ161" s="3352">
        <f t="shared" si="51"/>
        <v>0</v>
      </c>
    </row>
    <row r="162" spans="1:36" s="3352" customFormat="1" ht="24">
      <c r="A162" s="3347">
        <v>44</v>
      </c>
      <c r="B162" s="3347" t="s">
        <v>3777</v>
      </c>
      <c r="C162" s="3347" t="s">
        <v>3778</v>
      </c>
      <c r="D162" s="3347" t="s">
        <v>3779</v>
      </c>
      <c r="E162" s="3347"/>
      <c r="F162" s="3348" t="s">
        <v>3166</v>
      </c>
      <c r="G162" s="3347"/>
      <c r="H162" s="3347" t="s">
        <v>3780</v>
      </c>
      <c r="I162" s="3347">
        <v>148.80000000000001</v>
      </c>
      <c r="J162" s="3347">
        <v>104.13</v>
      </c>
      <c r="K162" s="3347" t="s">
        <v>3472</v>
      </c>
      <c r="L162" s="3347" t="s">
        <v>3372</v>
      </c>
      <c r="M162" s="3349">
        <v>3</v>
      </c>
      <c r="N162" s="3350">
        <f>430/30</f>
        <v>14.333333333333334</v>
      </c>
      <c r="O162" s="3351">
        <f t="shared" si="52"/>
        <v>2132.8000000000002</v>
      </c>
      <c r="P162" s="3351" t="s">
        <v>3781</v>
      </c>
      <c r="Q162" s="3350" t="s">
        <v>3782</v>
      </c>
      <c r="R162" s="3350" t="s">
        <v>3324</v>
      </c>
      <c r="S162" s="3347"/>
      <c r="T162" s="3347"/>
      <c r="Y162" s="3352">
        <f t="shared" si="40"/>
        <v>375372.80000000005</v>
      </c>
      <c r="Z162" s="3352">
        <f t="shared" si="41"/>
        <v>776339.20000000007</v>
      </c>
      <c r="AA162" s="3352">
        <f t="shared" si="42"/>
        <v>776339.20000000007</v>
      </c>
      <c r="AB162" s="3352">
        <f t="shared" si="43"/>
        <v>776339.20000000007</v>
      </c>
      <c r="AC162" s="3352">
        <f t="shared" si="44"/>
        <v>778472.00000000012</v>
      </c>
      <c r="AD162" s="3352">
        <f t="shared" si="45"/>
        <v>776339.20000000007</v>
      </c>
      <c r="AE162" s="3352">
        <f t="shared" si="46"/>
        <v>776339.20000000007</v>
      </c>
      <c r="AF162" s="3352">
        <f t="shared" si="47"/>
        <v>776339.20000000007</v>
      </c>
      <c r="AG162" s="3352">
        <f t="shared" si="48"/>
        <v>778472.00000000012</v>
      </c>
      <c r="AH162" s="3352">
        <f t="shared" si="49"/>
        <v>776339.20000000007</v>
      </c>
      <c r="AI162" s="3352">
        <f t="shared" si="50"/>
        <v>776339.20000000007</v>
      </c>
      <c r="AJ162" s="3352">
        <f t="shared" si="51"/>
        <v>776339.20000000007</v>
      </c>
    </row>
    <row r="163" spans="1:36" s="3352" customFormat="1" ht="24">
      <c r="A163" s="3353"/>
      <c r="B163" s="3353"/>
      <c r="C163" s="3353"/>
      <c r="D163" s="3353"/>
      <c r="E163" s="3353"/>
      <c r="F163" s="3353"/>
      <c r="G163" s="3353"/>
      <c r="H163" s="3353"/>
      <c r="I163" s="3353"/>
      <c r="J163" s="3353"/>
      <c r="K163" s="3353"/>
      <c r="L163" s="3353"/>
      <c r="M163" s="3354"/>
      <c r="N163" s="3350">
        <f>460/30</f>
        <v>15.333333333333334</v>
      </c>
      <c r="O163" s="3351">
        <f t="shared" si="52"/>
        <v>0</v>
      </c>
      <c r="P163" s="3351" t="s">
        <v>3783</v>
      </c>
      <c r="Q163" s="3350" t="s">
        <v>3784</v>
      </c>
      <c r="R163" s="3350" t="s">
        <v>3304</v>
      </c>
      <c r="S163" s="3353"/>
      <c r="T163" s="3353"/>
      <c r="Y163" s="3352">
        <f t="shared" si="40"/>
        <v>0</v>
      </c>
      <c r="Z163" s="3352">
        <f t="shared" si="41"/>
        <v>0</v>
      </c>
      <c r="AA163" s="3352">
        <f t="shared" si="42"/>
        <v>0</v>
      </c>
      <c r="AB163" s="3352">
        <f t="shared" si="43"/>
        <v>0</v>
      </c>
      <c r="AC163" s="3352">
        <f t="shared" si="44"/>
        <v>0</v>
      </c>
      <c r="AD163" s="3352">
        <f t="shared" si="45"/>
        <v>0</v>
      </c>
      <c r="AE163" s="3352">
        <f t="shared" si="46"/>
        <v>0</v>
      </c>
      <c r="AF163" s="3352">
        <f t="shared" si="47"/>
        <v>0</v>
      </c>
      <c r="AG163" s="3352">
        <f t="shared" si="48"/>
        <v>0</v>
      </c>
      <c r="AH163" s="3352">
        <f t="shared" si="49"/>
        <v>0</v>
      </c>
      <c r="AI163" s="3352">
        <f t="shared" si="50"/>
        <v>0</v>
      </c>
      <c r="AJ163" s="3352">
        <f t="shared" si="51"/>
        <v>0</v>
      </c>
    </row>
    <row r="164" spans="1:36" s="3352" customFormat="1" ht="24">
      <c r="A164" s="3355"/>
      <c r="B164" s="3355"/>
      <c r="C164" s="3355"/>
      <c r="D164" s="3355"/>
      <c r="E164" s="3355"/>
      <c r="F164" s="3355"/>
      <c r="G164" s="3355"/>
      <c r="H164" s="3355"/>
      <c r="I164" s="3355"/>
      <c r="J164" s="3355"/>
      <c r="K164" s="3355"/>
      <c r="L164" s="3355"/>
      <c r="M164" s="3356"/>
      <c r="N164" s="3350">
        <f>490/30</f>
        <v>16.333333333333332</v>
      </c>
      <c r="O164" s="3351">
        <f t="shared" si="52"/>
        <v>0</v>
      </c>
      <c r="P164" s="3351" t="s">
        <v>3785</v>
      </c>
      <c r="Q164" s="3350" t="s">
        <v>3786</v>
      </c>
      <c r="R164" s="3350" t="s">
        <v>3787</v>
      </c>
      <c r="S164" s="3355"/>
      <c r="T164" s="3355"/>
      <c r="Y164" s="3352">
        <f t="shared" si="40"/>
        <v>0</v>
      </c>
      <c r="Z164" s="3352">
        <f t="shared" si="41"/>
        <v>0</v>
      </c>
      <c r="AA164" s="3352">
        <f t="shared" si="42"/>
        <v>0</v>
      </c>
      <c r="AB164" s="3352">
        <f t="shared" si="43"/>
        <v>0</v>
      </c>
      <c r="AC164" s="3352">
        <f t="shared" si="44"/>
        <v>0</v>
      </c>
      <c r="AD164" s="3352">
        <f t="shared" si="45"/>
        <v>0</v>
      </c>
      <c r="AE164" s="3352">
        <f t="shared" si="46"/>
        <v>0</v>
      </c>
      <c r="AF164" s="3352">
        <f t="shared" si="47"/>
        <v>0</v>
      </c>
      <c r="AG164" s="3352">
        <f t="shared" si="48"/>
        <v>0</v>
      </c>
      <c r="AH164" s="3352">
        <f t="shared" si="49"/>
        <v>0</v>
      </c>
      <c r="AI164" s="3352">
        <f t="shared" si="50"/>
        <v>0</v>
      </c>
      <c r="AJ164" s="3352">
        <f t="shared" si="51"/>
        <v>0</v>
      </c>
    </row>
    <row r="165" spans="1:36" s="3352" customFormat="1" ht="24">
      <c r="A165" s="3347">
        <v>45</v>
      </c>
      <c r="B165" s="3347" t="s">
        <v>3788</v>
      </c>
      <c r="C165" s="3347" t="s">
        <v>3789</v>
      </c>
      <c r="D165" s="3347" t="s">
        <v>3790</v>
      </c>
      <c r="E165" s="3347"/>
      <c r="F165" s="3348" t="s">
        <v>3791</v>
      </c>
      <c r="G165" s="3347"/>
      <c r="H165" s="3347" t="s">
        <v>3792</v>
      </c>
      <c r="I165" s="3347">
        <v>55.8</v>
      </c>
      <c r="J165" s="3347">
        <v>39.06</v>
      </c>
      <c r="K165" s="3347" t="s">
        <v>3532</v>
      </c>
      <c r="L165" s="3347" t="s">
        <v>3793</v>
      </c>
      <c r="M165" s="3349">
        <v>3</v>
      </c>
      <c r="N165" s="3350">
        <f>610/30</f>
        <v>20.333333333333332</v>
      </c>
      <c r="O165" s="3351">
        <f t="shared" si="52"/>
        <v>1134.5999999999999</v>
      </c>
      <c r="P165" s="3351" t="s">
        <v>3794</v>
      </c>
      <c r="Q165" s="3350" t="s">
        <v>3795</v>
      </c>
      <c r="R165" s="3350" t="s">
        <v>3796</v>
      </c>
      <c r="S165" s="3347">
        <v>3906</v>
      </c>
      <c r="T165" s="3347">
        <v>5580</v>
      </c>
      <c r="Y165" s="3352">
        <f t="shared" si="40"/>
        <v>199689.59999999998</v>
      </c>
      <c r="Z165" s="3352">
        <f t="shared" si="41"/>
        <v>412994.39999999997</v>
      </c>
      <c r="AA165" s="3352">
        <f t="shared" si="42"/>
        <v>412994.39999999997</v>
      </c>
      <c r="AB165" s="3352">
        <f t="shared" si="43"/>
        <v>412994.39999999997</v>
      </c>
      <c r="AC165" s="3352">
        <f t="shared" si="44"/>
        <v>414128.99999999994</v>
      </c>
      <c r="AD165" s="3352">
        <f t="shared" si="45"/>
        <v>412994.39999999997</v>
      </c>
      <c r="AE165" s="3352">
        <f t="shared" si="46"/>
        <v>412994.39999999997</v>
      </c>
      <c r="AF165" s="3352">
        <f t="shared" si="47"/>
        <v>412994.39999999997</v>
      </c>
      <c r="AG165" s="3352">
        <f t="shared" si="48"/>
        <v>414128.99999999994</v>
      </c>
      <c r="AH165" s="3352">
        <f t="shared" si="49"/>
        <v>412994.39999999997</v>
      </c>
      <c r="AI165" s="3352">
        <f t="shared" si="50"/>
        <v>412994.39999999997</v>
      </c>
      <c r="AJ165" s="3352">
        <f t="shared" si="51"/>
        <v>412994.39999999997</v>
      </c>
    </row>
    <row r="166" spans="1:36" s="3352" customFormat="1">
      <c r="A166" s="3353"/>
      <c r="B166" s="3353"/>
      <c r="C166" s="3353"/>
      <c r="D166" s="3353"/>
      <c r="E166" s="3353"/>
      <c r="F166" s="3353"/>
      <c r="G166" s="3353"/>
      <c r="H166" s="3353"/>
      <c r="I166" s="3353"/>
      <c r="J166" s="3353"/>
      <c r="K166" s="3353"/>
      <c r="L166" s="3353"/>
      <c r="M166" s="3354"/>
      <c r="N166" s="3350">
        <f>640/30</f>
        <v>21.333333333333332</v>
      </c>
      <c r="O166" s="3351">
        <f t="shared" si="52"/>
        <v>0</v>
      </c>
      <c r="P166" s="3351" t="s">
        <v>3797</v>
      </c>
      <c r="Q166" s="3350" t="s">
        <v>3798</v>
      </c>
      <c r="R166" s="3350" t="s">
        <v>3304</v>
      </c>
      <c r="S166" s="3353"/>
      <c r="T166" s="3353"/>
      <c r="Y166" s="3352">
        <f t="shared" si="40"/>
        <v>0</v>
      </c>
      <c r="Z166" s="3352">
        <f t="shared" si="41"/>
        <v>0</v>
      </c>
      <c r="AA166" s="3352">
        <f t="shared" si="42"/>
        <v>0</v>
      </c>
      <c r="AB166" s="3352">
        <f t="shared" si="43"/>
        <v>0</v>
      </c>
      <c r="AC166" s="3352">
        <f t="shared" si="44"/>
        <v>0</v>
      </c>
      <c r="AD166" s="3352">
        <f t="shared" si="45"/>
        <v>0</v>
      </c>
      <c r="AE166" s="3352">
        <f t="shared" si="46"/>
        <v>0</v>
      </c>
      <c r="AF166" s="3352">
        <f t="shared" si="47"/>
        <v>0</v>
      </c>
      <c r="AG166" s="3352">
        <f t="shared" si="48"/>
        <v>0</v>
      </c>
      <c r="AH166" s="3352">
        <f t="shared" si="49"/>
        <v>0</v>
      </c>
      <c r="AI166" s="3352">
        <f t="shared" si="50"/>
        <v>0</v>
      </c>
      <c r="AJ166" s="3352">
        <f t="shared" si="51"/>
        <v>0</v>
      </c>
    </row>
    <row r="167" spans="1:36" s="3352" customFormat="1">
      <c r="A167" s="3355"/>
      <c r="B167" s="3355"/>
      <c r="C167" s="3355"/>
      <c r="D167" s="3355"/>
      <c r="E167" s="3355"/>
      <c r="F167" s="3355"/>
      <c r="G167" s="3355"/>
      <c r="H167" s="3355"/>
      <c r="I167" s="3355"/>
      <c r="J167" s="3355"/>
      <c r="K167" s="3355"/>
      <c r="L167" s="3355"/>
      <c r="M167" s="3356"/>
      <c r="N167" s="3350">
        <f>670/30</f>
        <v>22.333333333333332</v>
      </c>
      <c r="O167" s="3351">
        <f t="shared" si="52"/>
        <v>0</v>
      </c>
      <c r="P167" s="3351" t="s">
        <v>3799</v>
      </c>
      <c r="Q167" s="3350" t="s">
        <v>3800</v>
      </c>
      <c r="R167" s="3350" t="s">
        <v>3393</v>
      </c>
      <c r="S167" s="3355"/>
      <c r="T167" s="3355"/>
      <c r="Y167" s="3352">
        <f t="shared" si="40"/>
        <v>0</v>
      </c>
      <c r="Z167" s="3352">
        <f t="shared" si="41"/>
        <v>0</v>
      </c>
      <c r="AA167" s="3352">
        <f t="shared" si="42"/>
        <v>0</v>
      </c>
      <c r="AB167" s="3352">
        <f t="shared" si="43"/>
        <v>0</v>
      </c>
      <c r="AC167" s="3352">
        <f t="shared" si="44"/>
        <v>0</v>
      </c>
      <c r="AD167" s="3352">
        <f t="shared" si="45"/>
        <v>0</v>
      </c>
      <c r="AE167" s="3352">
        <f t="shared" si="46"/>
        <v>0</v>
      </c>
      <c r="AF167" s="3352">
        <f t="shared" si="47"/>
        <v>0</v>
      </c>
      <c r="AG167" s="3352">
        <f t="shared" si="48"/>
        <v>0</v>
      </c>
      <c r="AH167" s="3352">
        <f t="shared" si="49"/>
        <v>0</v>
      </c>
      <c r="AI167" s="3352">
        <f t="shared" si="50"/>
        <v>0</v>
      </c>
      <c r="AJ167" s="3352">
        <f t="shared" si="51"/>
        <v>0</v>
      </c>
    </row>
    <row r="168" spans="1:36" s="3352" customFormat="1" ht="36">
      <c r="A168" s="3347">
        <v>46</v>
      </c>
      <c r="B168" s="3347" t="s">
        <v>3801</v>
      </c>
      <c r="C168" s="3347" t="s">
        <v>3802</v>
      </c>
      <c r="D168" s="3347" t="s">
        <v>3803</v>
      </c>
      <c r="E168" s="3347" t="s">
        <v>3803</v>
      </c>
      <c r="F168" s="3347"/>
      <c r="G168" s="3348" t="s">
        <v>3166</v>
      </c>
      <c r="H168" s="3347" t="s">
        <v>3804</v>
      </c>
      <c r="I168" s="3347">
        <v>169</v>
      </c>
      <c r="J168" s="3347">
        <v>118</v>
      </c>
      <c r="K168" s="3347" t="s">
        <v>3644</v>
      </c>
      <c r="L168" s="3347" t="s">
        <v>3372</v>
      </c>
      <c r="M168" s="3349">
        <v>6</v>
      </c>
      <c r="N168" s="3350">
        <f>0</f>
        <v>0</v>
      </c>
      <c r="O168" s="3351">
        <f t="shared" si="52"/>
        <v>0</v>
      </c>
      <c r="P168" s="3351" t="s">
        <v>3805</v>
      </c>
      <c r="Q168" s="3350" t="s">
        <v>3805</v>
      </c>
      <c r="R168" s="3350" t="s">
        <v>3324</v>
      </c>
      <c r="S168" s="3347">
        <v>11830</v>
      </c>
      <c r="T168" s="3347">
        <v>1690</v>
      </c>
      <c r="Y168" s="3352">
        <f t="shared" si="40"/>
        <v>0</v>
      </c>
      <c r="Z168" s="3352">
        <f t="shared" si="41"/>
        <v>0</v>
      </c>
      <c r="AA168" s="3352">
        <f t="shared" si="42"/>
        <v>0</v>
      </c>
      <c r="AB168" s="3352">
        <f t="shared" si="43"/>
        <v>0</v>
      </c>
      <c r="AC168" s="3352">
        <f t="shared" si="44"/>
        <v>0</v>
      </c>
      <c r="AD168" s="3352">
        <f t="shared" si="45"/>
        <v>0</v>
      </c>
      <c r="AE168" s="3352">
        <f t="shared" si="46"/>
        <v>0</v>
      </c>
      <c r="AF168" s="3352">
        <f t="shared" si="47"/>
        <v>0</v>
      </c>
      <c r="AG168" s="3352">
        <f t="shared" si="48"/>
        <v>0</v>
      </c>
      <c r="AH168" s="3352">
        <f t="shared" si="49"/>
        <v>0</v>
      </c>
      <c r="AI168" s="3352">
        <f t="shared" si="50"/>
        <v>0</v>
      </c>
      <c r="AJ168" s="3352">
        <f t="shared" si="51"/>
        <v>0</v>
      </c>
    </row>
    <row r="169" spans="1:36" s="3352" customFormat="1">
      <c r="A169" s="3353"/>
      <c r="B169" s="3353"/>
      <c r="C169" s="3353"/>
      <c r="D169" s="3353"/>
      <c r="E169" s="3353"/>
      <c r="F169" s="3353"/>
      <c r="G169" s="3353"/>
      <c r="H169" s="3353"/>
      <c r="I169" s="3353"/>
      <c r="J169" s="3353"/>
      <c r="K169" s="3353"/>
      <c r="L169" s="3353"/>
      <c r="M169" s="3354"/>
      <c r="N169" s="3350">
        <f>100/30</f>
        <v>3.3333333333333335</v>
      </c>
      <c r="O169" s="3351">
        <f t="shared" si="52"/>
        <v>0</v>
      </c>
      <c r="P169" s="3351" t="s">
        <v>3806</v>
      </c>
      <c r="Q169" s="3350" t="s">
        <v>3807</v>
      </c>
      <c r="R169" s="3350" t="s">
        <v>3808</v>
      </c>
      <c r="S169" s="3353"/>
      <c r="T169" s="3353"/>
      <c r="Y169" s="3352">
        <f t="shared" si="40"/>
        <v>0</v>
      </c>
      <c r="Z169" s="3352">
        <f t="shared" si="41"/>
        <v>0</v>
      </c>
      <c r="AA169" s="3352">
        <f t="shared" si="42"/>
        <v>0</v>
      </c>
      <c r="AB169" s="3352">
        <f t="shared" si="43"/>
        <v>0</v>
      </c>
      <c r="AC169" s="3352">
        <f t="shared" si="44"/>
        <v>0</v>
      </c>
      <c r="AD169" s="3352">
        <f t="shared" si="45"/>
        <v>0</v>
      </c>
      <c r="AE169" s="3352">
        <f t="shared" si="46"/>
        <v>0</v>
      </c>
      <c r="AF169" s="3352">
        <f t="shared" si="47"/>
        <v>0</v>
      </c>
      <c r="AG169" s="3352">
        <f t="shared" si="48"/>
        <v>0</v>
      </c>
      <c r="AH169" s="3352">
        <f t="shared" si="49"/>
        <v>0</v>
      </c>
      <c r="AI169" s="3352">
        <f t="shared" si="50"/>
        <v>0</v>
      </c>
      <c r="AJ169" s="3352">
        <f t="shared" si="51"/>
        <v>0</v>
      </c>
    </row>
    <row r="170" spans="1:36" s="3352" customFormat="1">
      <c r="A170" s="3353"/>
      <c r="B170" s="3353"/>
      <c r="C170" s="3353"/>
      <c r="D170" s="3353"/>
      <c r="E170" s="3353"/>
      <c r="F170" s="3353"/>
      <c r="G170" s="3353"/>
      <c r="H170" s="3353"/>
      <c r="I170" s="3353"/>
      <c r="J170" s="3353"/>
      <c r="K170" s="3353"/>
      <c r="L170" s="3353"/>
      <c r="M170" s="3354"/>
      <c r="N170" s="3350">
        <f>100/30</f>
        <v>3.3333333333333335</v>
      </c>
      <c r="O170" s="3351">
        <f t="shared" si="52"/>
        <v>0</v>
      </c>
      <c r="P170" s="3351" t="s">
        <v>3809</v>
      </c>
      <c r="Q170" s="3350" t="s">
        <v>3810</v>
      </c>
      <c r="R170" s="3350" t="s">
        <v>3811</v>
      </c>
      <c r="S170" s="3353"/>
      <c r="T170" s="3353"/>
      <c r="Y170" s="3352">
        <f t="shared" si="40"/>
        <v>0</v>
      </c>
      <c r="Z170" s="3352">
        <f t="shared" si="41"/>
        <v>0</v>
      </c>
      <c r="AA170" s="3352">
        <f t="shared" si="42"/>
        <v>0</v>
      </c>
      <c r="AB170" s="3352">
        <f t="shared" si="43"/>
        <v>0</v>
      </c>
      <c r="AC170" s="3352">
        <f t="shared" si="44"/>
        <v>0</v>
      </c>
      <c r="AD170" s="3352">
        <f t="shared" si="45"/>
        <v>0</v>
      </c>
      <c r="AE170" s="3352">
        <f t="shared" si="46"/>
        <v>0</v>
      </c>
      <c r="AF170" s="3352">
        <f t="shared" si="47"/>
        <v>0</v>
      </c>
      <c r="AG170" s="3352">
        <f t="shared" si="48"/>
        <v>0</v>
      </c>
      <c r="AH170" s="3352">
        <f t="shared" si="49"/>
        <v>0</v>
      </c>
      <c r="AI170" s="3352">
        <f t="shared" si="50"/>
        <v>0</v>
      </c>
      <c r="AJ170" s="3352">
        <f t="shared" si="51"/>
        <v>0</v>
      </c>
    </row>
    <row r="171" spans="1:36" s="3352" customFormat="1">
      <c r="A171" s="3353"/>
      <c r="B171" s="3353"/>
      <c r="C171" s="3353"/>
      <c r="D171" s="3353"/>
      <c r="E171" s="3353"/>
      <c r="F171" s="3353"/>
      <c r="G171" s="3353"/>
      <c r="H171" s="3353"/>
      <c r="I171" s="3353"/>
      <c r="J171" s="3353"/>
      <c r="K171" s="3353"/>
      <c r="L171" s="3353"/>
      <c r="M171" s="3354"/>
      <c r="N171" s="3350">
        <f>130/30</f>
        <v>4.333333333333333</v>
      </c>
      <c r="O171" s="3351">
        <f t="shared" si="52"/>
        <v>0</v>
      </c>
      <c r="P171" s="3351" t="s">
        <v>3812</v>
      </c>
      <c r="Q171" s="3350" t="s">
        <v>3813</v>
      </c>
      <c r="R171" s="3350" t="s">
        <v>3814</v>
      </c>
      <c r="S171" s="3353"/>
      <c r="T171" s="3353"/>
      <c r="Y171" s="3352">
        <f t="shared" si="40"/>
        <v>0</v>
      </c>
      <c r="Z171" s="3352">
        <f t="shared" si="41"/>
        <v>0</v>
      </c>
      <c r="AA171" s="3352">
        <f t="shared" si="42"/>
        <v>0</v>
      </c>
      <c r="AB171" s="3352">
        <f t="shared" si="43"/>
        <v>0</v>
      </c>
      <c r="AC171" s="3352">
        <f t="shared" si="44"/>
        <v>0</v>
      </c>
      <c r="AD171" s="3352">
        <f t="shared" si="45"/>
        <v>0</v>
      </c>
      <c r="AE171" s="3352">
        <f t="shared" si="46"/>
        <v>0</v>
      </c>
      <c r="AF171" s="3352">
        <f t="shared" si="47"/>
        <v>0</v>
      </c>
      <c r="AG171" s="3352">
        <f t="shared" si="48"/>
        <v>0</v>
      </c>
      <c r="AH171" s="3352">
        <f t="shared" si="49"/>
        <v>0</v>
      </c>
      <c r="AI171" s="3352">
        <f t="shared" si="50"/>
        <v>0</v>
      </c>
      <c r="AJ171" s="3352">
        <f t="shared" si="51"/>
        <v>0</v>
      </c>
    </row>
    <row r="172" spans="1:36" s="3352" customFormat="1">
      <c r="A172" s="3353"/>
      <c r="B172" s="3353"/>
      <c r="C172" s="3353"/>
      <c r="D172" s="3353"/>
      <c r="E172" s="3353"/>
      <c r="F172" s="3353"/>
      <c r="G172" s="3353"/>
      <c r="H172" s="3353"/>
      <c r="I172" s="3353"/>
      <c r="J172" s="3353"/>
      <c r="K172" s="3353"/>
      <c r="L172" s="3353"/>
      <c r="M172" s="3354"/>
      <c r="N172" s="3350">
        <f>130/30</f>
        <v>4.333333333333333</v>
      </c>
      <c r="O172" s="3351">
        <f t="shared" si="52"/>
        <v>0</v>
      </c>
      <c r="P172" s="3351" t="s">
        <v>3815</v>
      </c>
      <c r="Q172" s="3350" t="s">
        <v>3816</v>
      </c>
      <c r="R172" s="3350" t="s">
        <v>3817</v>
      </c>
      <c r="S172" s="3353"/>
      <c r="T172" s="3353"/>
      <c r="Y172" s="3352">
        <f t="shared" si="40"/>
        <v>0</v>
      </c>
      <c r="Z172" s="3352">
        <f t="shared" si="41"/>
        <v>0</v>
      </c>
      <c r="AA172" s="3352">
        <f t="shared" si="42"/>
        <v>0</v>
      </c>
      <c r="AB172" s="3352">
        <f t="shared" si="43"/>
        <v>0</v>
      </c>
      <c r="AC172" s="3352">
        <f t="shared" si="44"/>
        <v>0</v>
      </c>
      <c r="AD172" s="3352">
        <f t="shared" si="45"/>
        <v>0</v>
      </c>
      <c r="AE172" s="3352">
        <f t="shared" si="46"/>
        <v>0</v>
      </c>
      <c r="AF172" s="3352">
        <f t="shared" si="47"/>
        <v>0</v>
      </c>
      <c r="AG172" s="3352">
        <f t="shared" si="48"/>
        <v>0</v>
      </c>
      <c r="AH172" s="3352">
        <f t="shared" si="49"/>
        <v>0</v>
      </c>
      <c r="AI172" s="3352">
        <f t="shared" si="50"/>
        <v>0</v>
      </c>
      <c r="AJ172" s="3352">
        <f t="shared" si="51"/>
        <v>0</v>
      </c>
    </row>
    <row r="173" spans="1:36" s="3352" customFormat="1">
      <c r="A173" s="3355"/>
      <c r="B173" s="3355"/>
      <c r="C173" s="3355"/>
      <c r="D173" s="3355"/>
      <c r="E173" s="3355"/>
      <c r="F173" s="3355"/>
      <c r="G173" s="3355"/>
      <c r="H173" s="3355"/>
      <c r="I173" s="3355"/>
      <c r="J173" s="3355"/>
      <c r="K173" s="3355"/>
      <c r="L173" s="3355"/>
      <c r="M173" s="3356"/>
      <c r="N173" s="3350">
        <f>130/30</f>
        <v>4.333333333333333</v>
      </c>
      <c r="O173" s="3351">
        <f t="shared" si="52"/>
        <v>0</v>
      </c>
      <c r="P173" s="3351" t="s">
        <v>3818</v>
      </c>
      <c r="Q173" s="3350" t="s">
        <v>3819</v>
      </c>
      <c r="R173" s="3350" t="s">
        <v>3820</v>
      </c>
      <c r="S173" s="3355"/>
      <c r="T173" s="3355"/>
      <c r="Y173" s="3352">
        <f t="shared" si="40"/>
        <v>0</v>
      </c>
      <c r="Z173" s="3352">
        <f t="shared" si="41"/>
        <v>0</v>
      </c>
      <c r="AA173" s="3352">
        <f t="shared" si="42"/>
        <v>0</v>
      </c>
      <c r="AB173" s="3352">
        <f t="shared" si="43"/>
        <v>0</v>
      </c>
      <c r="AC173" s="3352">
        <f t="shared" si="44"/>
        <v>0</v>
      </c>
      <c r="AD173" s="3352">
        <f t="shared" si="45"/>
        <v>0</v>
      </c>
      <c r="AE173" s="3352">
        <f t="shared" si="46"/>
        <v>0</v>
      </c>
      <c r="AF173" s="3352">
        <f t="shared" si="47"/>
        <v>0</v>
      </c>
      <c r="AG173" s="3352">
        <f t="shared" si="48"/>
        <v>0</v>
      </c>
      <c r="AH173" s="3352">
        <f t="shared" si="49"/>
        <v>0</v>
      </c>
      <c r="AI173" s="3352">
        <f t="shared" si="50"/>
        <v>0</v>
      </c>
      <c r="AJ173" s="3352">
        <f t="shared" si="51"/>
        <v>0</v>
      </c>
    </row>
    <row r="174" spans="1:36" s="3352" customFormat="1" ht="24">
      <c r="A174" s="3347">
        <v>47</v>
      </c>
      <c r="B174" s="3347" t="s">
        <v>3821</v>
      </c>
      <c r="C174" s="3347" t="s">
        <v>3822</v>
      </c>
      <c r="D174" s="3347" t="s">
        <v>3823</v>
      </c>
      <c r="E174" s="3347"/>
      <c r="F174" s="3347"/>
      <c r="G174" s="3348" t="s">
        <v>3824</v>
      </c>
      <c r="H174" s="3347" t="s">
        <v>3825</v>
      </c>
      <c r="I174" s="3347">
        <v>27</v>
      </c>
      <c r="J174" s="3347">
        <v>19</v>
      </c>
      <c r="K174" s="3347" t="s">
        <v>3826</v>
      </c>
      <c r="L174" s="3347" t="s">
        <v>3827</v>
      </c>
      <c r="M174" s="3349">
        <v>6</v>
      </c>
      <c r="N174" s="3350">
        <f>0</f>
        <v>0</v>
      </c>
      <c r="O174" s="3351">
        <f t="shared" si="52"/>
        <v>0</v>
      </c>
      <c r="P174" s="3351" t="s">
        <v>3828</v>
      </c>
      <c r="Q174" s="3350" t="s">
        <v>3828</v>
      </c>
      <c r="R174" s="3350" t="s">
        <v>3829</v>
      </c>
      <c r="S174" s="3347">
        <v>1890</v>
      </c>
      <c r="T174" s="3347">
        <v>270</v>
      </c>
      <c r="Y174" s="3352">
        <f t="shared" si="40"/>
        <v>0</v>
      </c>
      <c r="Z174" s="3352">
        <f t="shared" si="41"/>
        <v>0</v>
      </c>
      <c r="AA174" s="3352">
        <f t="shared" si="42"/>
        <v>0</v>
      </c>
      <c r="AB174" s="3352">
        <f t="shared" si="43"/>
        <v>0</v>
      </c>
      <c r="AC174" s="3352">
        <f t="shared" si="44"/>
        <v>0</v>
      </c>
      <c r="AD174" s="3352">
        <f t="shared" si="45"/>
        <v>0</v>
      </c>
      <c r="AE174" s="3352">
        <f t="shared" si="46"/>
        <v>0</v>
      </c>
      <c r="AF174" s="3352">
        <f t="shared" si="47"/>
        <v>0</v>
      </c>
      <c r="AG174" s="3352">
        <f t="shared" si="48"/>
        <v>0</v>
      </c>
      <c r="AH174" s="3352">
        <f t="shared" si="49"/>
        <v>0</v>
      </c>
      <c r="AI174" s="3352">
        <f t="shared" si="50"/>
        <v>0</v>
      </c>
      <c r="AJ174" s="3352">
        <f t="shared" si="51"/>
        <v>0</v>
      </c>
    </row>
    <row r="175" spans="1:36" s="3352" customFormat="1">
      <c r="A175" s="3353"/>
      <c r="B175" s="3353"/>
      <c r="C175" s="3353"/>
      <c r="D175" s="3353"/>
      <c r="E175" s="3353"/>
      <c r="F175" s="3353"/>
      <c r="G175" s="3353"/>
      <c r="H175" s="3353"/>
      <c r="I175" s="3353"/>
      <c r="J175" s="3353"/>
      <c r="K175" s="3353"/>
      <c r="L175" s="3353"/>
      <c r="M175" s="3354"/>
      <c r="N175" s="3350">
        <f>80/30</f>
        <v>2.6666666666666665</v>
      </c>
      <c r="O175" s="3351">
        <f t="shared" si="52"/>
        <v>0</v>
      </c>
      <c r="P175" s="3351" t="s">
        <v>3830</v>
      </c>
      <c r="Q175" s="3350" t="s">
        <v>3831</v>
      </c>
      <c r="R175" s="3350" t="s">
        <v>3832</v>
      </c>
      <c r="S175" s="3353"/>
      <c r="T175" s="3353"/>
      <c r="Y175" s="3352">
        <f t="shared" si="40"/>
        <v>0</v>
      </c>
      <c r="Z175" s="3352">
        <f t="shared" si="41"/>
        <v>0</v>
      </c>
      <c r="AA175" s="3352">
        <f t="shared" si="42"/>
        <v>0</v>
      </c>
      <c r="AB175" s="3352">
        <f t="shared" si="43"/>
        <v>0</v>
      </c>
      <c r="AC175" s="3352">
        <f t="shared" si="44"/>
        <v>0</v>
      </c>
      <c r="AD175" s="3352">
        <f t="shared" si="45"/>
        <v>0</v>
      </c>
      <c r="AE175" s="3352">
        <f t="shared" si="46"/>
        <v>0</v>
      </c>
      <c r="AF175" s="3352">
        <f t="shared" si="47"/>
        <v>0</v>
      </c>
      <c r="AG175" s="3352">
        <f t="shared" si="48"/>
        <v>0</v>
      </c>
      <c r="AH175" s="3352">
        <f t="shared" si="49"/>
        <v>0</v>
      </c>
      <c r="AI175" s="3352">
        <f t="shared" si="50"/>
        <v>0</v>
      </c>
      <c r="AJ175" s="3352">
        <f t="shared" si="51"/>
        <v>0</v>
      </c>
    </row>
    <row r="176" spans="1:36" s="3352" customFormat="1">
      <c r="A176" s="3353"/>
      <c r="B176" s="3353"/>
      <c r="C176" s="3353"/>
      <c r="D176" s="3353"/>
      <c r="E176" s="3353"/>
      <c r="F176" s="3353"/>
      <c r="G176" s="3353"/>
      <c r="H176" s="3353"/>
      <c r="I176" s="3353"/>
      <c r="J176" s="3353"/>
      <c r="K176" s="3353"/>
      <c r="L176" s="3353"/>
      <c r="M176" s="3354"/>
      <c r="N176" s="3350">
        <f>80/30</f>
        <v>2.6666666666666665</v>
      </c>
      <c r="O176" s="3351">
        <f t="shared" si="52"/>
        <v>0</v>
      </c>
      <c r="P176" s="3351" t="s">
        <v>3833</v>
      </c>
      <c r="Q176" s="3350" t="s">
        <v>3834</v>
      </c>
      <c r="R176" s="3350" t="s">
        <v>3835</v>
      </c>
      <c r="S176" s="3353"/>
      <c r="T176" s="3353"/>
      <c r="Y176" s="3352">
        <f t="shared" si="40"/>
        <v>0</v>
      </c>
      <c r="Z176" s="3352">
        <f t="shared" si="41"/>
        <v>0</v>
      </c>
      <c r="AA176" s="3352">
        <f t="shared" si="42"/>
        <v>0</v>
      </c>
      <c r="AB176" s="3352">
        <f t="shared" si="43"/>
        <v>0</v>
      </c>
      <c r="AC176" s="3352">
        <f t="shared" si="44"/>
        <v>0</v>
      </c>
      <c r="AD176" s="3352">
        <f t="shared" si="45"/>
        <v>0</v>
      </c>
      <c r="AE176" s="3352">
        <f t="shared" si="46"/>
        <v>0</v>
      </c>
      <c r="AF176" s="3352">
        <f t="shared" si="47"/>
        <v>0</v>
      </c>
      <c r="AG176" s="3352">
        <f t="shared" si="48"/>
        <v>0</v>
      </c>
      <c r="AH176" s="3352">
        <f t="shared" si="49"/>
        <v>0</v>
      </c>
      <c r="AI176" s="3352">
        <f t="shared" si="50"/>
        <v>0</v>
      </c>
      <c r="AJ176" s="3352">
        <f t="shared" si="51"/>
        <v>0</v>
      </c>
    </row>
    <row r="177" spans="1:36" s="3352" customFormat="1">
      <c r="A177" s="3353"/>
      <c r="B177" s="3353"/>
      <c r="C177" s="3353"/>
      <c r="D177" s="3353"/>
      <c r="E177" s="3353"/>
      <c r="F177" s="3353"/>
      <c r="G177" s="3353"/>
      <c r="H177" s="3353"/>
      <c r="I177" s="3353"/>
      <c r="J177" s="3353"/>
      <c r="K177" s="3353"/>
      <c r="L177" s="3353"/>
      <c r="M177" s="3354"/>
      <c r="N177" s="3350">
        <f>90/30</f>
        <v>3</v>
      </c>
      <c r="O177" s="3351">
        <f t="shared" si="52"/>
        <v>0</v>
      </c>
      <c r="P177" s="3351" t="s">
        <v>3076</v>
      </c>
      <c r="Q177" s="3350" t="s">
        <v>3836</v>
      </c>
      <c r="R177" s="3350" t="s">
        <v>3814</v>
      </c>
      <c r="S177" s="3353"/>
      <c r="T177" s="3353"/>
      <c r="Y177" s="3352">
        <f t="shared" si="40"/>
        <v>0</v>
      </c>
      <c r="Z177" s="3352">
        <f t="shared" si="41"/>
        <v>0</v>
      </c>
      <c r="AA177" s="3352">
        <f t="shared" si="42"/>
        <v>0</v>
      </c>
      <c r="AB177" s="3352">
        <f t="shared" si="43"/>
        <v>0</v>
      </c>
      <c r="AC177" s="3352">
        <f t="shared" si="44"/>
        <v>0</v>
      </c>
      <c r="AD177" s="3352">
        <f t="shared" si="45"/>
        <v>0</v>
      </c>
      <c r="AE177" s="3352">
        <f t="shared" si="46"/>
        <v>0</v>
      </c>
      <c r="AF177" s="3352">
        <f t="shared" si="47"/>
        <v>0</v>
      </c>
      <c r="AG177" s="3352">
        <f t="shared" si="48"/>
        <v>0</v>
      </c>
      <c r="AH177" s="3352">
        <f t="shared" si="49"/>
        <v>0</v>
      </c>
      <c r="AI177" s="3352">
        <f t="shared" si="50"/>
        <v>0</v>
      </c>
      <c r="AJ177" s="3352">
        <f t="shared" si="51"/>
        <v>0</v>
      </c>
    </row>
    <row r="178" spans="1:36" s="3352" customFormat="1">
      <c r="A178" s="3353"/>
      <c r="B178" s="3353"/>
      <c r="C178" s="3353"/>
      <c r="D178" s="3353"/>
      <c r="E178" s="3353"/>
      <c r="F178" s="3353"/>
      <c r="G178" s="3353"/>
      <c r="H178" s="3353"/>
      <c r="I178" s="3353"/>
      <c r="J178" s="3353"/>
      <c r="K178" s="3353"/>
      <c r="L178" s="3353"/>
      <c r="M178" s="3354"/>
      <c r="N178" s="3350">
        <f>90/30</f>
        <v>3</v>
      </c>
      <c r="O178" s="3351">
        <f t="shared" si="52"/>
        <v>0</v>
      </c>
      <c r="P178" s="3351" t="s">
        <v>3077</v>
      </c>
      <c r="Q178" s="3350" t="s">
        <v>3837</v>
      </c>
      <c r="R178" s="3350" t="s">
        <v>3817</v>
      </c>
      <c r="S178" s="3353"/>
      <c r="T178" s="3353"/>
      <c r="Y178" s="3352">
        <f t="shared" si="40"/>
        <v>0</v>
      </c>
      <c r="Z178" s="3352">
        <f t="shared" si="41"/>
        <v>0</v>
      </c>
      <c r="AA178" s="3352">
        <f t="shared" si="42"/>
        <v>0</v>
      </c>
      <c r="AB178" s="3352">
        <f t="shared" si="43"/>
        <v>0</v>
      </c>
      <c r="AC178" s="3352">
        <f t="shared" si="44"/>
        <v>0</v>
      </c>
      <c r="AD178" s="3352">
        <f t="shared" si="45"/>
        <v>0</v>
      </c>
      <c r="AE178" s="3352">
        <f t="shared" si="46"/>
        <v>0</v>
      </c>
      <c r="AF178" s="3352">
        <f t="shared" si="47"/>
        <v>0</v>
      </c>
      <c r="AG178" s="3352">
        <f t="shared" si="48"/>
        <v>0</v>
      </c>
      <c r="AH178" s="3352">
        <f t="shared" si="49"/>
        <v>0</v>
      </c>
      <c r="AI178" s="3352">
        <f t="shared" si="50"/>
        <v>0</v>
      </c>
      <c r="AJ178" s="3352">
        <f t="shared" si="51"/>
        <v>0</v>
      </c>
    </row>
    <row r="179" spans="1:36" s="3352" customFormat="1">
      <c r="A179" s="3355"/>
      <c r="B179" s="3355"/>
      <c r="C179" s="3355"/>
      <c r="D179" s="3355"/>
      <c r="E179" s="3355"/>
      <c r="F179" s="3355"/>
      <c r="G179" s="3355"/>
      <c r="H179" s="3355"/>
      <c r="I179" s="3355"/>
      <c r="J179" s="3355"/>
      <c r="K179" s="3355"/>
      <c r="L179" s="3355"/>
      <c r="M179" s="3356"/>
      <c r="N179" s="3350">
        <f>90/30</f>
        <v>3</v>
      </c>
      <c r="O179" s="3351">
        <f t="shared" si="52"/>
        <v>0</v>
      </c>
      <c r="P179" s="3351" t="s">
        <v>3078</v>
      </c>
      <c r="Q179" s="3350" t="s">
        <v>3838</v>
      </c>
      <c r="R179" s="3350" t="s">
        <v>3820</v>
      </c>
      <c r="S179" s="3355"/>
      <c r="T179" s="3355"/>
      <c r="Y179" s="3352">
        <f t="shared" si="40"/>
        <v>0</v>
      </c>
      <c r="Z179" s="3352">
        <f t="shared" si="41"/>
        <v>0</v>
      </c>
      <c r="AA179" s="3352">
        <f t="shared" si="42"/>
        <v>0</v>
      </c>
      <c r="AB179" s="3352">
        <f t="shared" si="43"/>
        <v>0</v>
      </c>
      <c r="AC179" s="3352">
        <f t="shared" si="44"/>
        <v>0</v>
      </c>
      <c r="AD179" s="3352">
        <f t="shared" si="45"/>
        <v>0</v>
      </c>
      <c r="AE179" s="3352">
        <f t="shared" si="46"/>
        <v>0</v>
      </c>
      <c r="AF179" s="3352">
        <f t="shared" si="47"/>
        <v>0</v>
      </c>
      <c r="AG179" s="3352">
        <f t="shared" si="48"/>
        <v>0</v>
      </c>
      <c r="AH179" s="3352">
        <f t="shared" si="49"/>
        <v>0</v>
      </c>
      <c r="AI179" s="3352">
        <f t="shared" si="50"/>
        <v>0</v>
      </c>
      <c r="AJ179" s="3352">
        <f t="shared" si="51"/>
        <v>0</v>
      </c>
    </row>
    <row r="180" spans="1:36" s="3352" customFormat="1" ht="24">
      <c r="A180" s="3347">
        <v>48</v>
      </c>
      <c r="B180" s="3347" t="s">
        <v>3839</v>
      </c>
      <c r="C180" s="3347" t="s">
        <v>3840</v>
      </c>
      <c r="D180" s="3347" t="s">
        <v>3841</v>
      </c>
      <c r="E180" s="3347" t="s">
        <v>3842</v>
      </c>
      <c r="F180" s="3348" t="s">
        <v>3824</v>
      </c>
      <c r="G180" s="3347"/>
      <c r="H180" s="3347" t="s">
        <v>3843</v>
      </c>
      <c r="I180" s="3347">
        <v>44.2</v>
      </c>
      <c r="J180" s="3347">
        <v>30.9</v>
      </c>
      <c r="K180" s="3347" t="s">
        <v>3844</v>
      </c>
      <c r="L180" s="3347" t="s">
        <v>3827</v>
      </c>
      <c r="M180" s="3349">
        <v>2</v>
      </c>
      <c r="N180" s="3350">
        <f>780/30</f>
        <v>26</v>
      </c>
      <c r="O180" s="3351">
        <f t="shared" si="52"/>
        <v>1149.2</v>
      </c>
      <c r="P180" s="3351" t="s">
        <v>3079</v>
      </c>
      <c r="Q180" s="3350" t="s">
        <v>3845</v>
      </c>
      <c r="R180" s="3350" t="s">
        <v>3846</v>
      </c>
      <c r="S180" s="3347">
        <v>3094</v>
      </c>
      <c r="T180" s="3347">
        <v>442</v>
      </c>
      <c r="Y180" s="3352">
        <f t="shared" si="40"/>
        <v>202259.20000000001</v>
      </c>
      <c r="Z180" s="3352">
        <f t="shared" si="41"/>
        <v>418308.8</v>
      </c>
      <c r="AA180" s="3352">
        <f t="shared" si="42"/>
        <v>418308.8</v>
      </c>
      <c r="AB180" s="3352">
        <f t="shared" si="43"/>
        <v>418308.8</v>
      </c>
      <c r="AC180" s="3352">
        <f t="shared" si="44"/>
        <v>419458</v>
      </c>
      <c r="AD180" s="3352">
        <f t="shared" si="45"/>
        <v>418308.8</v>
      </c>
      <c r="AE180" s="3352">
        <f t="shared" si="46"/>
        <v>418308.8</v>
      </c>
      <c r="AF180" s="3352">
        <f t="shared" si="47"/>
        <v>418308.8</v>
      </c>
      <c r="AG180" s="3352">
        <f t="shared" si="48"/>
        <v>419458</v>
      </c>
      <c r="AH180" s="3352">
        <f t="shared" si="49"/>
        <v>418308.8</v>
      </c>
      <c r="AI180" s="3352">
        <f t="shared" si="50"/>
        <v>418308.8</v>
      </c>
      <c r="AJ180" s="3352">
        <f t="shared" si="51"/>
        <v>418308.8</v>
      </c>
    </row>
    <row r="181" spans="1:36" s="3352" customFormat="1">
      <c r="A181" s="3355"/>
      <c r="B181" s="3355"/>
      <c r="C181" s="3355"/>
      <c r="D181" s="3355"/>
      <c r="E181" s="3355"/>
      <c r="F181" s="3355"/>
      <c r="G181" s="3355"/>
      <c r="H181" s="3355"/>
      <c r="I181" s="3355"/>
      <c r="J181" s="3355"/>
      <c r="K181" s="3355"/>
      <c r="L181" s="3355"/>
      <c r="M181" s="3356"/>
      <c r="N181" s="3350">
        <f>810/30</f>
        <v>27</v>
      </c>
      <c r="O181" s="3351">
        <f t="shared" si="52"/>
        <v>0</v>
      </c>
      <c r="P181" s="3351" t="s">
        <v>3847</v>
      </c>
      <c r="Q181" s="3350" t="s">
        <v>3848</v>
      </c>
      <c r="R181" s="3350" t="s">
        <v>3849</v>
      </c>
      <c r="S181" s="3355"/>
      <c r="T181" s="3355"/>
      <c r="Y181" s="3352">
        <f t="shared" si="40"/>
        <v>0</v>
      </c>
      <c r="Z181" s="3352">
        <f t="shared" si="41"/>
        <v>0</v>
      </c>
      <c r="AA181" s="3352">
        <f t="shared" si="42"/>
        <v>0</v>
      </c>
      <c r="AB181" s="3352">
        <f t="shared" si="43"/>
        <v>0</v>
      </c>
      <c r="AC181" s="3352">
        <f t="shared" si="44"/>
        <v>0</v>
      </c>
      <c r="AD181" s="3352">
        <f t="shared" si="45"/>
        <v>0</v>
      </c>
      <c r="AE181" s="3352">
        <f t="shared" si="46"/>
        <v>0</v>
      </c>
      <c r="AF181" s="3352">
        <f t="shared" si="47"/>
        <v>0</v>
      </c>
      <c r="AG181" s="3352">
        <f t="shared" si="48"/>
        <v>0</v>
      </c>
      <c r="AH181" s="3352">
        <f t="shared" si="49"/>
        <v>0</v>
      </c>
      <c r="AI181" s="3352">
        <f t="shared" si="50"/>
        <v>0</v>
      </c>
      <c r="AJ181" s="3352">
        <f t="shared" si="51"/>
        <v>0</v>
      </c>
    </row>
    <row r="182" spans="1:36" s="3352" customFormat="1" ht="36">
      <c r="A182" s="3347">
        <v>49</v>
      </c>
      <c r="B182" s="3347" t="s">
        <v>3850</v>
      </c>
      <c r="C182" s="3347" t="s">
        <v>3851</v>
      </c>
      <c r="D182" s="3347" t="s">
        <v>3852</v>
      </c>
      <c r="E182" s="3347" t="s">
        <v>3853</v>
      </c>
      <c r="F182" s="3348" t="s">
        <v>3244</v>
      </c>
      <c r="G182" s="3347"/>
      <c r="H182" s="3347" t="s">
        <v>3854</v>
      </c>
      <c r="I182" s="3347">
        <v>31.07</v>
      </c>
      <c r="J182" s="3347">
        <v>21.75</v>
      </c>
      <c r="K182" s="3347" t="s">
        <v>3855</v>
      </c>
      <c r="L182" s="3347" t="s">
        <v>3247</v>
      </c>
      <c r="M182" s="3349">
        <v>2</v>
      </c>
      <c r="N182" s="3350">
        <f>912/30</f>
        <v>30.4</v>
      </c>
      <c r="O182" s="3351">
        <f t="shared" si="52"/>
        <v>944.52800000000002</v>
      </c>
      <c r="P182" s="3351" t="s">
        <v>3856</v>
      </c>
      <c r="Q182" s="3350" t="s">
        <v>3857</v>
      </c>
      <c r="R182" s="3350" t="s">
        <v>3858</v>
      </c>
      <c r="S182" s="3347">
        <v>2174.9</v>
      </c>
      <c r="T182" s="3347">
        <v>217.5</v>
      </c>
      <c r="Y182" s="3352">
        <f t="shared" si="40"/>
        <v>166236.92800000001</v>
      </c>
      <c r="Z182" s="3352">
        <f t="shared" si="41"/>
        <v>343808.19199999998</v>
      </c>
      <c r="AA182" s="3352">
        <f t="shared" si="42"/>
        <v>343808.19199999998</v>
      </c>
      <c r="AB182" s="3352">
        <f t="shared" si="43"/>
        <v>343808.19199999998</v>
      </c>
      <c r="AC182" s="3352">
        <f t="shared" si="44"/>
        <v>344752.72000000003</v>
      </c>
      <c r="AD182" s="3352">
        <f t="shared" si="45"/>
        <v>343808.19199999998</v>
      </c>
      <c r="AE182" s="3352">
        <f t="shared" si="46"/>
        <v>343808.19199999998</v>
      </c>
      <c r="AF182" s="3352">
        <f t="shared" si="47"/>
        <v>343808.19199999998</v>
      </c>
      <c r="AG182" s="3352">
        <f t="shared" si="48"/>
        <v>344752.72000000003</v>
      </c>
      <c r="AH182" s="3352">
        <f t="shared" si="49"/>
        <v>343808.19199999998</v>
      </c>
      <c r="AI182" s="3352">
        <f t="shared" si="50"/>
        <v>343808.19199999998</v>
      </c>
      <c r="AJ182" s="3352">
        <f t="shared" si="51"/>
        <v>343808.19199999998</v>
      </c>
    </row>
    <row r="183" spans="1:36" s="3352" customFormat="1">
      <c r="A183" s="3355"/>
      <c r="B183" s="3355"/>
      <c r="C183" s="3355"/>
      <c r="D183" s="3355"/>
      <c r="E183" s="3355"/>
      <c r="F183" s="3355"/>
      <c r="G183" s="3355"/>
      <c r="H183" s="3355"/>
      <c r="I183" s="3355"/>
      <c r="J183" s="3355"/>
      <c r="K183" s="3355"/>
      <c r="L183" s="3355"/>
      <c r="M183" s="3356"/>
      <c r="N183" s="3350">
        <f>942/30</f>
        <v>31.4</v>
      </c>
      <c r="O183" s="3351">
        <f t="shared" si="52"/>
        <v>0</v>
      </c>
      <c r="P183" s="3351" t="s">
        <v>3859</v>
      </c>
      <c r="Q183" s="3350" t="s">
        <v>3860</v>
      </c>
      <c r="R183" s="3350" t="s">
        <v>3861</v>
      </c>
      <c r="S183" s="3355"/>
      <c r="T183" s="3355"/>
      <c r="Y183" s="3352">
        <f t="shared" si="40"/>
        <v>0</v>
      </c>
      <c r="Z183" s="3352">
        <f t="shared" si="41"/>
        <v>0</v>
      </c>
      <c r="AA183" s="3352">
        <f t="shared" si="42"/>
        <v>0</v>
      </c>
      <c r="AB183" s="3352">
        <f t="shared" si="43"/>
        <v>0</v>
      </c>
      <c r="AC183" s="3352">
        <f t="shared" si="44"/>
        <v>0</v>
      </c>
      <c r="AD183" s="3352">
        <f t="shared" si="45"/>
        <v>0</v>
      </c>
      <c r="AE183" s="3352">
        <f t="shared" si="46"/>
        <v>0</v>
      </c>
      <c r="AF183" s="3352">
        <f t="shared" si="47"/>
        <v>0</v>
      </c>
      <c r="AG183" s="3352">
        <f t="shared" si="48"/>
        <v>0</v>
      </c>
      <c r="AH183" s="3352">
        <f t="shared" si="49"/>
        <v>0</v>
      </c>
      <c r="AI183" s="3352">
        <f t="shared" si="50"/>
        <v>0</v>
      </c>
      <c r="AJ183" s="3352">
        <f t="shared" si="51"/>
        <v>0</v>
      </c>
    </row>
    <row r="184" spans="1:36" s="3352" customFormat="1" ht="24">
      <c r="A184" s="3347">
        <v>50</v>
      </c>
      <c r="B184" s="3347" t="s">
        <v>3862</v>
      </c>
      <c r="C184" s="3347" t="s">
        <v>3863</v>
      </c>
      <c r="D184" s="3347" t="s">
        <v>3864</v>
      </c>
      <c r="E184" s="3347"/>
      <c r="F184" s="3348" t="s">
        <v>3865</v>
      </c>
      <c r="G184" s="3347"/>
      <c r="H184" s="3347" t="s">
        <v>3866</v>
      </c>
      <c r="I184" s="3347">
        <v>48.44</v>
      </c>
      <c r="J184" s="3347">
        <v>33.909999999999997</v>
      </c>
      <c r="K184" s="3347" t="s">
        <v>3867</v>
      </c>
      <c r="L184" s="3347" t="s">
        <v>3868</v>
      </c>
      <c r="M184" s="3349">
        <v>3</v>
      </c>
      <c r="N184" s="3350">
        <f>700/30</f>
        <v>23.333333333333332</v>
      </c>
      <c r="O184" s="3351">
        <f t="shared" si="52"/>
        <v>1130.2666666666667</v>
      </c>
      <c r="P184" s="3351" t="s">
        <v>3869</v>
      </c>
      <c r="Q184" s="3350" t="s">
        <v>3870</v>
      </c>
      <c r="R184" s="3350" t="s">
        <v>3871</v>
      </c>
      <c r="S184" s="3347">
        <v>3391</v>
      </c>
      <c r="T184" s="3347">
        <v>484</v>
      </c>
      <c r="Y184" s="3352">
        <f t="shared" si="40"/>
        <v>198926.93333333332</v>
      </c>
      <c r="Z184" s="3352">
        <f t="shared" si="41"/>
        <v>411417.06666666665</v>
      </c>
      <c r="AA184" s="3352">
        <f t="shared" si="42"/>
        <v>411417.06666666665</v>
      </c>
      <c r="AB184" s="3352">
        <f t="shared" si="43"/>
        <v>411417.06666666665</v>
      </c>
      <c r="AC184" s="3352">
        <f t="shared" si="44"/>
        <v>412547.33333333331</v>
      </c>
      <c r="AD184" s="3352">
        <f t="shared" si="45"/>
        <v>411417.06666666665</v>
      </c>
      <c r="AE184" s="3352">
        <f t="shared" si="46"/>
        <v>411417.06666666665</v>
      </c>
      <c r="AF184" s="3352">
        <f t="shared" si="47"/>
        <v>411417.06666666665</v>
      </c>
      <c r="AG184" s="3352">
        <f t="shared" si="48"/>
        <v>412547.33333333331</v>
      </c>
      <c r="AH184" s="3352">
        <f t="shared" si="49"/>
        <v>411417.06666666665</v>
      </c>
      <c r="AI184" s="3352">
        <f t="shared" si="50"/>
        <v>411417.06666666665</v>
      </c>
      <c r="AJ184" s="3352">
        <f t="shared" si="51"/>
        <v>411417.06666666665</v>
      </c>
    </row>
    <row r="185" spans="1:36" s="3352" customFormat="1">
      <c r="A185" s="3353"/>
      <c r="B185" s="3353"/>
      <c r="C185" s="3353"/>
      <c r="D185" s="3353"/>
      <c r="E185" s="3353"/>
      <c r="F185" s="3353"/>
      <c r="G185" s="3353"/>
      <c r="H185" s="3353"/>
      <c r="I185" s="3353"/>
      <c r="J185" s="3353"/>
      <c r="K185" s="3353"/>
      <c r="L185" s="3353"/>
      <c r="M185" s="3354"/>
      <c r="N185" s="3350">
        <f>730/30</f>
        <v>24.333333333333332</v>
      </c>
      <c r="O185" s="3351">
        <f t="shared" si="52"/>
        <v>0</v>
      </c>
      <c r="P185" s="3351" t="s">
        <v>3872</v>
      </c>
      <c r="Q185" s="3350" t="s">
        <v>3873</v>
      </c>
      <c r="R185" s="3350" t="s">
        <v>3874</v>
      </c>
      <c r="S185" s="3353"/>
      <c r="T185" s="3353"/>
      <c r="Y185" s="3352">
        <f t="shared" si="40"/>
        <v>0</v>
      </c>
      <c r="Z185" s="3352">
        <f t="shared" si="41"/>
        <v>0</v>
      </c>
      <c r="AA185" s="3352">
        <f t="shared" si="42"/>
        <v>0</v>
      </c>
      <c r="AB185" s="3352">
        <f t="shared" si="43"/>
        <v>0</v>
      </c>
      <c r="AC185" s="3352">
        <f t="shared" si="44"/>
        <v>0</v>
      </c>
      <c r="AD185" s="3352">
        <f t="shared" si="45"/>
        <v>0</v>
      </c>
      <c r="AE185" s="3352">
        <f t="shared" si="46"/>
        <v>0</v>
      </c>
      <c r="AF185" s="3352">
        <f t="shared" si="47"/>
        <v>0</v>
      </c>
      <c r="AG185" s="3352">
        <f t="shared" si="48"/>
        <v>0</v>
      </c>
      <c r="AH185" s="3352">
        <f t="shared" si="49"/>
        <v>0</v>
      </c>
      <c r="AI185" s="3352">
        <f t="shared" si="50"/>
        <v>0</v>
      </c>
      <c r="AJ185" s="3352">
        <f t="shared" si="51"/>
        <v>0</v>
      </c>
    </row>
    <row r="186" spans="1:36" s="3352" customFormat="1">
      <c r="A186" s="3353"/>
      <c r="B186" s="3355"/>
      <c r="C186" s="3355"/>
      <c r="D186" s="3355"/>
      <c r="E186" s="3355"/>
      <c r="F186" s="3355"/>
      <c r="G186" s="3355"/>
      <c r="H186" s="3355"/>
      <c r="I186" s="3355"/>
      <c r="J186" s="3355"/>
      <c r="K186" s="3355"/>
      <c r="L186" s="3355"/>
      <c r="M186" s="3356"/>
      <c r="N186" s="3350">
        <f>730/30</f>
        <v>24.333333333333332</v>
      </c>
      <c r="O186" s="3351">
        <f t="shared" si="52"/>
        <v>0</v>
      </c>
      <c r="P186" s="3351" t="s">
        <v>3875</v>
      </c>
      <c r="Q186" s="3350" t="s">
        <v>3876</v>
      </c>
      <c r="R186" s="3350" t="s">
        <v>3877</v>
      </c>
      <c r="S186" s="3355"/>
      <c r="T186" s="3355"/>
      <c r="Y186" s="3352">
        <f t="shared" si="40"/>
        <v>0</v>
      </c>
      <c r="Z186" s="3352">
        <f t="shared" si="41"/>
        <v>0</v>
      </c>
      <c r="AA186" s="3352">
        <f t="shared" si="42"/>
        <v>0</v>
      </c>
      <c r="AB186" s="3352">
        <f t="shared" si="43"/>
        <v>0</v>
      </c>
      <c r="AC186" s="3352">
        <f t="shared" si="44"/>
        <v>0</v>
      </c>
      <c r="AD186" s="3352">
        <f t="shared" si="45"/>
        <v>0</v>
      </c>
      <c r="AE186" s="3352">
        <f t="shared" si="46"/>
        <v>0</v>
      </c>
      <c r="AF186" s="3352">
        <f t="shared" si="47"/>
        <v>0</v>
      </c>
      <c r="AG186" s="3352">
        <f t="shared" si="48"/>
        <v>0</v>
      </c>
      <c r="AH186" s="3352">
        <f t="shared" si="49"/>
        <v>0</v>
      </c>
      <c r="AI186" s="3352">
        <f t="shared" si="50"/>
        <v>0</v>
      </c>
      <c r="AJ186" s="3352">
        <f t="shared" si="51"/>
        <v>0</v>
      </c>
    </row>
    <row r="187" spans="1:36" s="3352" customFormat="1" ht="24">
      <c r="A187" s="3347">
        <v>51</v>
      </c>
      <c r="B187" s="3347" t="s">
        <v>3878</v>
      </c>
      <c r="C187" s="3347" t="s">
        <v>3879</v>
      </c>
      <c r="D187" s="3347" t="s">
        <v>3880</v>
      </c>
      <c r="E187" s="3347" t="s">
        <v>3880</v>
      </c>
      <c r="F187" s="3348" t="s">
        <v>3824</v>
      </c>
      <c r="G187" s="3347"/>
      <c r="H187" s="3347" t="s">
        <v>3881</v>
      </c>
      <c r="I187" s="3347">
        <v>18.73</v>
      </c>
      <c r="J187" s="3347">
        <v>13.11</v>
      </c>
      <c r="K187" s="3347" t="s">
        <v>3844</v>
      </c>
      <c r="L187" s="3347" t="s">
        <v>3827</v>
      </c>
      <c r="M187" s="3349">
        <v>2</v>
      </c>
      <c r="N187" s="3350">
        <f>1000/30</f>
        <v>33.333333333333336</v>
      </c>
      <c r="O187" s="3351">
        <f t="shared" si="52"/>
        <v>624.33333333333337</v>
      </c>
      <c r="P187" s="3351" t="s">
        <v>3882</v>
      </c>
      <c r="Q187" s="3350" t="s">
        <v>3883</v>
      </c>
      <c r="R187" s="3350" t="s">
        <v>3884</v>
      </c>
      <c r="S187" s="3347">
        <v>1311</v>
      </c>
      <c r="T187" s="3347">
        <v>187</v>
      </c>
      <c r="Y187" s="3352">
        <f t="shared" si="40"/>
        <v>109882.66666666667</v>
      </c>
      <c r="Z187" s="3352">
        <f t="shared" si="41"/>
        <v>227257.33333333334</v>
      </c>
      <c r="AA187" s="3352">
        <f t="shared" si="42"/>
        <v>227257.33333333334</v>
      </c>
      <c r="AB187" s="3352">
        <f t="shared" si="43"/>
        <v>227257.33333333334</v>
      </c>
      <c r="AC187" s="3352">
        <f t="shared" si="44"/>
        <v>227881.66666666669</v>
      </c>
      <c r="AD187" s="3352">
        <f t="shared" si="45"/>
        <v>227257.33333333334</v>
      </c>
      <c r="AE187" s="3352">
        <f t="shared" si="46"/>
        <v>227257.33333333334</v>
      </c>
      <c r="AF187" s="3352">
        <f t="shared" si="47"/>
        <v>227257.33333333334</v>
      </c>
      <c r="AG187" s="3352">
        <f t="shared" si="48"/>
        <v>227881.66666666669</v>
      </c>
      <c r="AH187" s="3352">
        <f t="shared" si="49"/>
        <v>227257.33333333334</v>
      </c>
      <c r="AI187" s="3352">
        <f t="shared" si="50"/>
        <v>227257.33333333334</v>
      </c>
      <c r="AJ187" s="3352">
        <f t="shared" si="51"/>
        <v>227257.33333333334</v>
      </c>
    </row>
    <row r="188" spans="1:36" s="3352" customFormat="1">
      <c r="A188" s="3355"/>
      <c r="B188" s="3355"/>
      <c r="C188" s="3355"/>
      <c r="D188" s="3355"/>
      <c r="E188" s="3355"/>
      <c r="F188" s="3355"/>
      <c r="G188" s="3355"/>
      <c r="H188" s="3355"/>
      <c r="I188" s="3355"/>
      <c r="J188" s="3355"/>
      <c r="K188" s="3355"/>
      <c r="L188" s="3355"/>
      <c r="M188" s="3356"/>
      <c r="N188" s="3350">
        <f>1030/30</f>
        <v>34.333333333333336</v>
      </c>
      <c r="O188" s="3351">
        <f t="shared" si="52"/>
        <v>0</v>
      </c>
      <c r="P188" s="3351" t="s">
        <v>3885</v>
      </c>
      <c r="Q188" s="3350" t="s">
        <v>3886</v>
      </c>
      <c r="R188" s="3350" t="s">
        <v>3887</v>
      </c>
      <c r="S188" s="3355"/>
      <c r="T188" s="3355"/>
      <c r="Y188" s="3352">
        <f t="shared" si="40"/>
        <v>0</v>
      </c>
      <c r="Z188" s="3352">
        <f t="shared" si="41"/>
        <v>0</v>
      </c>
      <c r="AA188" s="3352">
        <f t="shared" si="42"/>
        <v>0</v>
      </c>
      <c r="AB188" s="3352">
        <f t="shared" si="43"/>
        <v>0</v>
      </c>
      <c r="AC188" s="3352">
        <f t="shared" si="44"/>
        <v>0</v>
      </c>
      <c r="AD188" s="3352">
        <f t="shared" si="45"/>
        <v>0</v>
      </c>
      <c r="AE188" s="3352">
        <f t="shared" si="46"/>
        <v>0</v>
      </c>
      <c r="AF188" s="3352">
        <f t="shared" si="47"/>
        <v>0</v>
      </c>
      <c r="AG188" s="3352">
        <f t="shared" si="48"/>
        <v>0</v>
      </c>
      <c r="AH188" s="3352">
        <f t="shared" si="49"/>
        <v>0</v>
      </c>
      <c r="AI188" s="3352">
        <f t="shared" si="50"/>
        <v>0</v>
      </c>
      <c r="AJ188" s="3352">
        <f t="shared" si="51"/>
        <v>0</v>
      </c>
    </row>
    <row r="189" spans="1:36" s="3352" customFormat="1" ht="24">
      <c r="A189" s="3347">
        <v>52</v>
      </c>
      <c r="B189" s="3347" t="s">
        <v>3888</v>
      </c>
      <c r="C189" s="3347" t="s">
        <v>3889</v>
      </c>
      <c r="D189" s="3347" t="s">
        <v>3890</v>
      </c>
      <c r="E189" s="3347" t="s">
        <v>3890</v>
      </c>
      <c r="F189" s="3348" t="s">
        <v>3824</v>
      </c>
      <c r="G189" s="3347"/>
      <c r="H189" s="3347" t="s">
        <v>3891</v>
      </c>
      <c r="I189" s="3347">
        <v>30.99</v>
      </c>
      <c r="J189" s="3347">
        <v>21.69</v>
      </c>
      <c r="K189" s="3347" t="s">
        <v>3826</v>
      </c>
      <c r="L189" s="3347" t="s">
        <v>3827</v>
      </c>
      <c r="M189" s="3349">
        <v>2</v>
      </c>
      <c r="N189" s="3350">
        <f>860/30</f>
        <v>28.666666666666668</v>
      </c>
      <c r="O189" s="3351">
        <f t="shared" si="52"/>
        <v>888.38</v>
      </c>
      <c r="P189" s="3351" t="s">
        <v>3892</v>
      </c>
      <c r="Q189" s="3350" t="s">
        <v>3893</v>
      </c>
      <c r="R189" s="3350" t="s">
        <v>3894</v>
      </c>
      <c r="S189" s="3349">
        <v>2169</v>
      </c>
      <c r="T189" s="3347">
        <v>310</v>
      </c>
      <c r="Y189" s="3352">
        <f t="shared" si="40"/>
        <v>156354.88</v>
      </c>
      <c r="Z189" s="3352">
        <f t="shared" si="41"/>
        <v>323370.32</v>
      </c>
      <c r="AA189" s="3352">
        <f t="shared" si="42"/>
        <v>323370.32</v>
      </c>
      <c r="AB189" s="3352">
        <f t="shared" si="43"/>
        <v>323370.32</v>
      </c>
      <c r="AC189" s="3352">
        <f t="shared" si="44"/>
        <v>324258.7</v>
      </c>
      <c r="AD189" s="3352">
        <f t="shared" si="45"/>
        <v>323370.32</v>
      </c>
      <c r="AE189" s="3352">
        <f t="shared" si="46"/>
        <v>323370.32</v>
      </c>
      <c r="AF189" s="3352">
        <f t="shared" si="47"/>
        <v>323370.32</v>
      </c>
      <c r="AG189" s="3352">
        <f t="shared" si="48"/>
        <v>324258.7</v>
      </c>
      <c r="AH189" s="3352">
        <f t="shared" si="49"/>
        <v>323370.32</v>
      </c>
      <c r="AI189" s="3352">
        <f t="shared" si="50"/>
        <v>323370.32</v>
      </c>
      <c r="AJ189" s="3352">
        <f t="shared" si="51"/>
        <v>323370.32</v>
      </c>
    </row>
    <row r="190" spans="1:36" s="3352" customFormat="1" ht="24">
      <c r="A190" s="3355"/>
      <c r="B190" s="3355"/>
      <c r="C190" s="3355"/>
      <c r="D190" s="3355"/>
      <c r="E190" s="3355"/>
      <c r="F190" s="3355"/>
      <c r="G190" s="3355"/>
      <c r="H190" s="3355"/>
      <c r="I190" s="3355"/>
      <c r="J190" s="3355"/>
      <c r="K190" s="3355"/>
      <c r="L190" s="3355"/>
      <c r="M190" s="3356"/>
      <c r="N190" s="3350">
        <f>860/30</f>
        <v>28.666666666666668</v>
      </c>
      <c r="O190" s="3351">
        <f t="shared" si="52"/>
        <v>0</v>
      </c>
      <c r="P190" s="3351" t="s">
        <v>3895</v>
      </c>
      <c r="Q190" s="3350" t="s">
        <v>3896</v>
      </c>
      <c r="R190" s="3350" t="s">
        <v>3363</v>
      </c>
      <c r="S190" s="3356"/>
      <c r="T190" s="3355"/>
      <c r="Y190" s="3352">
        <f t="shared" si="40"/>
        <v>0</v>
      </c>
      <c r="Z190" s="3352">
        <f t="shared" si="41"/>
        <v>0</v>
      </c>
      <c r="AA190" s="3352">
        <f t="shared" si="42"/>
        <v>0</v>
      </c>
      <c r="AB190" s="3352">
        <f t="shared" si="43"/>
        <v>0</v>
      </c>
      <c r="AC190" s="3352">
        <f t="shared" si="44"/>
        <v>0</v>
      </c>
      <c r="AD190" s="3352">
        <f t="shared" si="45"/>
        <v>0</v>
      </c>
      <c r="AE190" s="3352">
        <f t="shared" si="46"/>
        <v>0</v>
      </c>
      <c r="AF190" s="3352">
        <f t="shared" si="47"/>
        <v>0</v>
      </c>
      <c r="AG190" s="3352">
        <f t="shared" si="48"/>
        <v>0</v>
      </c>
      <c r="AH190" s="3352">
        <f t="shared" si="49"/>
        <v>0</v>
      </c>
      <c r="AI190" s="3352">
        <f t="shared" si="50"/>
        <v>0</v>
      </c>
      <c r="AJ190" s="3352">
        <f t="shared" si="51"/>
        <v>0</v>
      </c>
    </row>
    <row r="191" spans="1:36" s="3352" customFormat="1" ht="24">
      <c r="A191" s="3347">
        <v>53</v>
      </c>
      <c r="B191" s="3347" t="s">
        <v>3897</v>
      </c>
      <c r="C191" s="3347" t="s">
        <v>3898</v>
      </c>
      <c r="D191" s="3347" t="s">
        <v>3898</v>
      </c>
      <c r="E191" s="3347"/>
      <c r="F191" s="3348" t="s">
        <v>3166</v>
      </c>
      <c r="G191" s="3347"/>
      <c r="H191" s="3347" t="s">
        <v>3899</v>
      </c>
      <c r="I191" s="3347">
        <v>29.7</v>
      </c>
      <c r="J191" s="3347">
        <v>20.79</v>
      </c>
      <c r="K191" s="3347"/>
      <c r="L191" s="3347" t="s">
        <v>3372</v>
      </c>
      <c r="M191" s="3349">
        <v>3</v>
      </c>
      <c r="N191" s="3350">
        <f>700/30</f>
        <v>23.333333333333332</v>
      </c>
      <c r="O191" s="3351">
        <f t="shared" si="52"/>
        <v>693</v>
      </c>
      <c r="P191" s="3351" t="s">
        <v>3900</v>
      </c>
      <c r="Q191" s="3350" t="s">
        <v>3901</v>
      </c>
      <c r="R191" s="3350" t="s">
        <v>3300</v>
      </c>
      <c r="S191" s="3347">
        <v>2079</v>
      </c>
      <c r="T191" s="3347">
        <v>297</v>
      </c>
      <c r="Y191" s="3352">
        <f t="shared" si="40"/>
        <v>121968</v>
      </c>
      <c r="Z191" s="3352">
        <f t="shared" si="41"/>
        <v>252252</v>
      </c>
      <c r="AA191" s="3352">
        <f t="shared" si="42"/>
        <v>252252</v>
      </c>
      <c r="AB191" s="3352">
        <f t="shared" si="43"/>
        <v>252252</v>
      </c>
      <c r="AC191" s="3352">
        <f t="shared" si="44"/>
        <v>252945</v>
      </c>
      <c r="AD191" s="3352">
        <f t="shared" si="45"/>
        <v>252252</v>
      </c>
      <c r="AE191" s="3352">
        <f t="shared" si="46"/>
        <v>252252</v>
      </c>
      <c r="AF191" s="3352">
        <f t="shared" si="47"/>
        <v>252252</v>
      </c>
      <c r="AG191" s="3352">
        <f t="shared" si="48"/>
        <v>252945</v>
      </c>
      <c r="AH191" s="3352">
        <f t="shared" si="49"/>
        <v>252252</v>
      </c>
      <c r="AI191" s="3352">
        <f t="shared" si="50"/>
        <v>252252</v>
      </c>
      <c r="AJ191" s="3352">
        <f t="shared" si="51"/>
        <v>252252</v>
      </c>
    </row>
    <row r="192" spans="1:36" s="3352" customFormat="1">
      <c r="A192" s="3353"/>
      <c r="B192" s="3353"/>
      <c r="C192" s="3353"/>
      <c r="D192" s="3353"/>
      <c r="E192" s="3353"/>
      <c r="F192" s="3353"/>
      <c r="G192" s="3353"/>
      <c r="H192" s="3353"/>
      <c r="I192" s="3353"/>
      <c r="J192" s="3353"/>
      <c r="K192" s="3353"/>
      <c r="L192" s="3353"/>
      <c r="M192" s="3354"/>
      <c r="N192" s="3350">
        <f>730/30</f>
        <v>24.333333333333332</v>
      </c>
      <c r="O192" s="3351">
        <f t="shared" si="52"/>
        <v>0</v>
      </c>
      <c r="P192" s="3351" t="s">
        <v>3902</v>
      </c>
      <c r="Q192" s="3350" t="s">
        <v>3903</v>
      </c>
      <c r="R192" s="3350" t="s">
        <v>3255</v>
      </c>
      <c r="S192" s="3353"/>
      <c r="T192" s="3353"/>
      <c r="Y192" s="3352">
        <f t="shared" si="40"/>
        <v>0</v>
      </c>
      <c r="Z192" s="3352">
        <f t="shared" si="41"/>
        <v>0</v>
      </c>
      <c r="AA192" s="3352">
        <f t="shared" si="42"/>
        <v>0</v>
      </c>
      <c r="AB192" s="3352">
        <f t="shared" si="43"/>
        <v>0</v>
      </c>
      <c r="AC192" s="3352">
        <f t="shared" si="44"/>
        <v>0</v>
      </c>
      <c r="AD192" s="3352">
        <f t="shared" si="45"/>
        <v>0</v>
      </c>
      <c r="AE192" s="3352">
        <f t="shared" si="46"/>
        <v>0</v>
      </c>
      <c r="AF192" s="3352">
        <f t="shared" si="47"/>
        <v>0</v>
      </c>
      <c r="AG192" s="3352">
        <f t="shared" si="48"/>
        <v>0</v>
      </c>
      <c r="AH192" s="3352">
        <f t="shared" si="49"/>
        <v>0</v>
      </c>
      <c r="AI192" s="3352">
        <f t="shared" si="50"/>
        <v>0</v>
      </c>
      <c r="AJ192" s="3352">
        <f t="shared" si="51"/>
        <v>0</v>
      </c>
    </row>
    <row r="193" spans="1:37" s="3352" customFormat="1">
      <c r="A193" s="3355"/>
      <c r="B193" s="3355"/>
      <c r="C193" s="3355"/>
      <c r="D193" s="3355"/>
      <c r="E193" s="3355"/>
      <c r="F193" s="3355"/>
      <c r="G193" s="3355"/>
      <c r="H193" s="3355"/>
      <c r="I193" s="3355"/>
      <c r="J193" s="3355"/>
      <c r="K193" s="3355"/>
      <c r="L193" s="3355"/>
      <c r="M193" s="3356"/>
      <c r="N193" s="3350">
        <f>760/30</f>
        <v>25.333333333333332</v>
      </c>
      <c r="O193" s="3351">
        <f t="shared" si="52"/>
        <v>0</v>
      </c>
      <c r="P193" s="3351" t="s">
        <v>3904</v>
      </c>
      <c r="Q193" s="3350" t="s">
        <v>3905</v>
      </c>
      <c r="R193" s="3350" t="s">
        <v>3582</v>
      </c>
      <c r="S193" s="3355"/>
      <c r="T193" s="3355"/>
      <c r="Y193" s="3352">
        <f t="shared" si="40"/>
        <v>0</v>
      </c>
      <c r="Z193" s="3352">
        <f t="shared" si="41"/>
        <v>0</v>
      </c>
      <c r="AA193" s="3352">
        <f t="shared" si="42"/>
        <v>0</v>
      </c>
      <c r="AB193" s="3352">
        <f t="shared" si="43"/>
        <v>0</v>
      </c>
      <c r="AC193" s="3352">
        <f t="shared" si="44"/>
        <v>0</v>
      </c>
      <c r="AD193" s="3352">
        <f t="shared" si="45"/>
        <v>0</v>
      </c>
      <c r="AE193" s="3352">
        <f t="shared" si="46"/>
        <v>0</v>
      </c>
      <c r="AF193" s="3352">
        <f t="shared" si="47"/>
        <v>0</v>
      </c>
      <c r="AG193" s="3352">
        <f t="shared" si="48"/>
        <v>0</v>
      </c>
      <c r="AH193" s="3352">
        <f t="shared" si="49"/>
        <v>0</v>
      </c>
      <c r="AI193" s="3352">
        <f t="shared" si="50"/>
        <v>0</v>
      </c>
      <c r="AJ193" s="3352">
        <f t="shared" si="51"/>
        <v>0</v>
      </c>
    </row>
    <row r="194" spans="1:37" s="3352" customFormat="1" ht="24">
      <c r="A194" s="3347">
        <v>54</v>
      </c>
      <c r="B194" s="3347" t="s">
        <v>3906</v>
      </c>
      <c r="C194" s="3347" t="s">
        <v>3907</v>
      </c>
      <c r="D194" s="3347" t="s">
        <v>3908</v>
      </c>
      <c r="E194" s="3347" t="s">
        <v>3909</v>
      </c>
      <c r="F194" s="3348" t="s">
        <v>3166</v>
      </c>
      <c r="G194" s="3347"/>
      <c r="H194" s="3347" t="s">
        <v>3910</v>
      </c>
      <c r="I194" s="3347">
        <v>19.63</v>
      </c>
      <c r="J194" s="3347">
        <v>13.74</v>
      </c>
      <c r="K194" s="3347" t="s">
        <v>3472</v>
      </c>
      <c r="L194" s="3347" t="s">
        <v>3372</v>
      </c>
      <c r="M194" s="3349">
        <v>2</v>
      </c>
      <c r="N194" s="3350">
        <f>900/30</f>
        <v>30</v>
      </c>
      <c r="O194" s="3351">
        <f t="shared" si="52"/>
        <v>588.9</v>
      </c>
      <c r="P194" s="3351" t="s">
        <v>3911</v>
      </c>
      <c r="Q194" s="3350" t="s">
        <v>3912</v>
      </c>
      <c r="R194" s="3350" t="s">
        <v>3188</v>
      </c>
      <c r="S194" s="3347">
        <v>1374</v>
      </c>
      <c r="T194" s="3347">
        <v>196</v>
      </c>
      <c r="Y194" s="3352">
        <f t="shared" si="40"/>
        <v>103646.39999999999</v>
      </c>
      <c r="Z194" s="3352">
        <f t="shared" si="41"/>
        <v>214359.6</v>
      </c>
      <c r="AA194" s="3352">
        <f t="shared" si="42"/>
        <v>214359.6</v>
      </c>
      <c r="AB194" s="3352">
        <f t="shared" si="43"/>
        <v>214359.6</v>
      </c>
      <c r="AC194" s="3352">
        <f t="shared" si="44"/>
        <v>214948.5</v>
      </c>
      <c r="AD194" s="3352">
        <f t="shared" si="45"/>
        <v>214359.6</v>
      </c>
      <c r="AE194" s="3352">
        <f t="shared" si="46"/>
        <v>214359.6</v>
      </c>
      <c r="AF194" s="3352">
        <f t="shared" si="47"/>
        <v>214359.6</v>
      </c>
      <c r="AG194" s="3352">
        <f t="shared" si="48"/>
        <v>214948.5</v>
      </c>
      <c r="AH194" s="3352">
        <f t="shared" si="49"/>
        <v>214359.6</v>
      </c>
      <c r="AI194" s="3352">
        <f t="shared" si="50"/>
        <v>214359.6</v>
      </c>
      <c r="AJ194" s="3352">
        <f t="shared" si="51"/>
        <v>214359.6</v>
      </c>
    </row>
    <row r="195" spans="1:37" s="3352" customFormat="1">
      <c r="A195" s="3355"/>
      <c r="B195" s="3355"/>
      <c r="C195" s="3355"/>
      <c r="D195" s="3355"/>
      <c r="E195" s="3355"/>
      <c r="F195" s="3355"/>
      <c r="G195" s="3355"/>
      <c r="H195" s="3355"/>
      <c r="I195" s="3355"/>
      <c r="J195" s="3355"/>
      <c r="K195" s="3355"/>
      <c r="L195" s="3355"/>
      <c r="M195" s="3356"/>
      <c r="N195" s="3350">
        <f>930/30</f>
        <v>31</v>
      </c>
      <c r="O195" s="3351">
        <f t="shared" si="52"/>
        <v>0</v>
      </c>
      <c r="P195" s="3351" t="s">
        <v>3913</v>
      </c>
      <c r="Q195" s="3350" t="s">
        <v>3914</v>
      </c>
      <c r="R195" s="3350" t="s">
        <v>3915</v>
      </c>
      <c r="S195" s="3355"/>
      <c r="T195" s="3355"/>
      <c r="Y195" s="3352">
        <f t="shared" si="40"/>
        <v>0</v>
      </c>
      <c r="Z195" s="3352">
        <f t="shared" si="41"/>
        <v>0</v>
      </c>
      <c r="AA195" s="3352">
        <f t="shared" si="42"/>
        <v>0</v>
      </c>
      <c r="AB195" s="3352">
        <f t="shared" si="43"/>
        <v>0</v>
      </c>
      <c r="AC195" s="3352">
        <f t="shared" si="44"/>
        <v>0</v>
      </c>
      <c r="AD195" s="3352">
        <f t="shared" si="45"/>
        <v>0</v>
      </c>
      <c r="AE195" s="3352">
        <f t="shared" si="46"/>
        <v>0</v>
      </c>
      <c r="AF195" s="3352">
        <f t="shared" si="47"/>
        <v>0</v>
      </c>
      <c r="AG195" s="3352">
        <f t="shared" si="48"/>
        <v>0</v>
      </c>
      <c r="AH195" s="3352">
        <f t="shared" si="49"/>
        <v>0</v>
      </c>
      <c r="AI195" s="3352">
        <f t="shared" si="50"/>
        <v>0</v>
      </c>
      <c r="AJ195" s="3352">
        <f t="shared" si="51"/>
        <v>0</v>
      </c>
    </row>
    <row r="196" spans="1:37" s="3352" customFormat="1" ht="24">
      <c r="A196" s="3349">
        <v>56</v>
      </c>
      <c r="B196" s="3347" t="s">
        <v>3916</v>
      </c>
      <c r="C196" s="3358" t="s">
        <v>3917</v>
      </c>
      <c r="D196" s="3347" t="s">
        <v>3918</v>
      </c>
      <c r="E196" s="3347" t="s">
        <v>3918</v>
      </c>
      <c r="F196" s="3348" t="s">
        <v>3166</v>
      </c>
      <c r="G196" s="3358"/>
      <c r="H196" s="3347" t="s">
        <v>3919</v>
      </c>
      <c r="I196" s="3347">
        <v>466</v>
      </c>
      <c r="J196" s="3347">
        <v>326</v>
      </c>
      <c r="K196" s="3347" t="s">
        <v>3920</v>
      </c>
      <c r="L196" s="3347" t="s">
        <v>3921</v>
      </c>
      <c r="M196" s="3349">
        <v>6</v>
      </c>
      <c r="N196" s="3350">
        <f>125/30</f>
        <v>4.166666666666667</v>
      </c>
      <c r="O196" s="3351">
        <f t="shared" si="52"/>
        <v>1941.6666666666667</v>
      </c>
      <c r="P196" s="3351" t="s">
        <v>3922</v>
      </c>
      <c r="Q196" s="3350" t="s">
        <v>3923</v>
      </c>
      <c r="R196" s="3350" t="s">
        <v>3924</v>
      </c>
      <c r="S196" s="3347">
        <v>32620</v>
      </c>
      <c r="T196" s="3347">
        <v>4660</v>
      </c>
      <c r="Y196" s="3352">
        <f t="shared" si="40"/>
        <v>341733.33333333337</v>
      </c>
      <c r="Z196" s="3352">
        <f t="shared" si="41"/>
        <v>706766.66666666674</v>
      </c>
      <c r="AA196" s="3352">
        <f t="shared" si="42"/>
        <v>706766.66666666674</v>
      </c>
      <c r="AB196" s="3352">
        <f t="shared" si="43"/>
        <v>706766.66666666674</v>
      </c>
      <c r="AC196" s="3352">
        <f t="shared" si="44"/>
        <v>708708.33333333337</v>
      </c>
      <c r="AD196" s="3352">
        <f t="shared" si="45"/>
        <v>706766.66666666674</v>
      </c>
      <c r="AE196" s="3352">
        <f t="shared" si="46"/>
        <v>706766.66666666674</v>
      </c>
      <c r="AF196" s="3352">
        <f t="shared" si="47"/>
        <v>706766.66666666674</v>
      </c>
      <c r="AG196" s="3352">
        <f t="shared" si="48"/>
        <v>708708.33333333337</v>
      </c>
      <c r="AH196" s="3352">
        <f t="shared" si="49"/>
        <v>706766.66666666674</v>
      </c>
      <c r="AI196" s="3352">
        <f t="shared" si="50"/>
        <v>706766.66666666674</v>
      </c>
      <c r="AJ196" s="3352">
        <f t="shared" si="51"/>
        <v>706766.66666666674</v>
      </c>
    </row>
    <row r="197" spans="1:37" s="3352" customFormat="1">
      <c r="A197" s="3354"/>
      <c r="B197" s="3353"/>
      <c r="C197" s="3362"/>
      <c r="D197" s="3353"/>
      <c r="E197" s="3353"/>
      <c r="F197" s="3353"/>
      <c r="G197" s="3362"/>
      <c r="H197" s="3353"/>
      <c r="I197" s="3353"/>
      <c r="J197" s="3353"/>
      <c r="K197" s="3353"/>
      <c r="L197" s="3353"/>
      <c r="M197" s="3354"/>
      <c r="N197" s="3350">
        <f>155/30</f>
        <v>5.166666666666667</v>
      </c>
      <c r="O197" s="3351">
        <f t="shared" si="52"/>
        <v>0</v>
      </c>
      <c r="P197" s="3351" t="s">
        <v>3925</v>
      </c>
      <c r="Q197" s="3350" t="s">
        <v>3926</v>
      </c>
      <c r="R197" s="3350" t="s">
        <v>3927</v>
      </c>
      <c r="S197" s="3353"/>
      <c r="T197" s="3353"/>
      <c r="Y197" s="3352">
        <f t="shared" si="40"/>
        <v>0</v>
      </c>
      <c r="Z197" s="3352">
        <f t="shared" si="41"/>
        <v>0</v>
      </c>
      <c r="AA197" s="3352">
        <f t="shared" si="42"/>
        <v>0</v>
      </c>
      <c r="AB197" s="3352">
        <f t="shared" si="43"/>
        <v>0</v>
      </c>
      <c r="AC197" s="3352">
        <f t="shared" si="44"/>
        <v>0</v>
      </c>
      <c r="AD197" s="3352">
        <f t="shared" si="45"/>
        <v>0</v>
      </c>
      <c r="AE197" s="3352">
        <f t="shared" si="46"/>
        <v>0</v>
      </c>
      <c r="AF197" s="3352">
        <f t="shared" si="47"/>
        <v>0</v>
      </c>
      <c r="AG197" s="3352">
        <f t="shared" si="48"/>
        <v>0</v>
      </c>
      <c r="AH197" s="3352">
        <f t="shared" si="49"/>
        <v>0</v>
      </c>
      <c r="AI197" s="3352">
        <f t="shared" si="50"/>
        <v>0</v>
      </c>
      <c r="AJ197" s="3352">
        <f t="shared" si="51"/>
        <v>0</v>
      </c>
    </row>
    <row r="198" spans="1:37" s="3352" customFormat="1" ht="24">
      <c r="A198" s="3356"/>
      <c r="B198" s="3355"/>
      <c r="C198" s="3359"/>
      <c r="D198" s="3355"/>
      <c r="E198" s="3355"/>
      <c r="F198" s="3355"/>
      <c r="G198" s="3359"/>
      <c r="H198" s="3355"/>
      <c r="I198" s="3355"/>
      <c r="J198" s="3355"/>
      <c r="K198" s="3355"/>
      <c r="L198" s="3355"/>
      <c r="M198" s="3356"/>
      <c r="N198" s="3350"/>
      <c r="O198" s="3351">
        <f t="shared" si="52"/>
        <v>0</v>
      </c>
      <c r="P198" s="3351"/>
      <c r="Q198" s="3350"/>
      <c r="R198" s="3350" t="s">
        <v>3928</v>
      </c>
      <c r="S198" s="3355"/>
      <c r="T198" s="3355"/>
      <c r="Y198" s="3352">
        <f t="shared" si="40"/>
        <v>0</v>
      </c>
      <c r="Z198" s="3352">
        <f t="shared" si="41"/>
        <v>0</v>
      </c>
      <c r="AA198" s="3352">
        <f t="shared" si="42"/>
        <v>0</v>
      </c>
      <c r="AB198" s="3352">
        <f t="shared" si="43"/>
        <v>0</v>
      </c>
      <c r="AC198" s="3352">
        <f t="shared" si="44"/>
        <v>0</v>
      </c>
      <c r="AD198" s="3352">
        <f t="shared" si="45"/>
        <v>0</v>
      </c>
      <c r="AE198" s="3352">
        <f t="shared" si="46"/>
        <v>0</v>
      </c>
      <c r="AF198" s="3352">
        <f t="shared" si="47"/>
        <v>0</v>
      </c>
      <c r="AG198" s="3352">
        <f t="shared" si="48"/>
        <v>0</v>
      </c>
      <c r="AH198" s="3352">
        <f t="shared" si="49"/>
        <v>0</v>
      </c>
      <c r="AI198" s="3352">
        <f t="shared" si="50"/>
        <v>0</v>
      </c>
      <c r="AJ198" s="3352">
        <f t="shared" si="51"/>
        <v>0</v>
      </c>
    </row>
    <row r="199" spans="1:37" ht="24">
      <c r="A199" s="3363">
        <v>57</v>
      </c>
      <c r="B199" s="3364" t="s">
        <v>3929</v>
      </c>
      <c r="C199" s="3365" t="s">
        <v>3930</v>
      </c>
      <c r="D199" s="3365" t="s">
        <v>3931</v>
      </c>
      <c r="E199" s="3365" t="s">
        <v>3931</v>
      </c>
      <c r="F199" s="3366" t="s">
        <v>3166</v>
      </c>
      <c r="G199" s="3363"/>
      <c r="H199" s="3363" t="s">
        <v>3932</v>
      </c>
      <c r="I199" s="3363">
        <v>12.1</v>
      </c>
      <c r="J199" s="3363">
        <v>8.5</v>
      </c>
      <c r="K199" s="3363" t="s">
        <v>3372</v>
      </c>
      <c r="L199" s="3363" t="s">
        <v>3372</v>
      </c>
      <c r="M199" s="3367">
        <v>2</v>
      </c>
      <c r="N199" s="3368">
        <f>827/30</f>
        <v>27.566666666666666</v>
      </c>
      <c r="O199" s="3351">
        <f t="shared" si="52"/>
        <v>333.55666666666667</v>
      </c>
      <c r="P199" s="3369" t="s">
        <v>3933</v>
      </c>
      <c r="Q199" s="3370" t="s">
        <v>3934</v>
      </c>
      <c r="R199" s="3370" t="s">
        <v>3935</v>
      </c>
      <c r="S199" s="3363">
        <v>847</v>
      </c>
      <c r="T199" s="3363">
        <v>121</v>
      </c>
      <c r="Y199" s="3352">
        <f t="shared" si="40"/>
        <v>58705.973333333335</v>
      </c>
      <c r="Z199" s="3352">
        <f t="shared" si="41"/>
        <v>121414.62666666666</v>
      </c>
      <c r="AA199" s="3352">
        <f t="shared" si="42"/>
        <v>121414.62666666666</v>
      </c>
      <c r="AB199" s="3352">
        <f t="shared" si="43"/>
        <v>121414.62666666666</v>
      </c>
      <c r="AC199" s="3352">
        <f t="shared" si="44"/>
        <v>121748.18333333333</v>
      </c>
      <c r="AD199" s="3352">
        <f t="shared" si="45"/>
        <v>121414.62666666666</v>
      </c>
      <c r="AE199" s="3352">
        <f t="shared" si="46"/>
        <v>121414.62666666666</v>
      </c>
      <c r="AF199" s="3352">
        <f t="shared" si="47"/>
        <v>121414.62666666666</v>
      </c>
      <c r="AG199" s="3352">
        <f t="shared" si="48"/>
        <v>121748.18333333333</v>
      </c>
      <c r="AH199" s="3352">
        <f t="shared" si="49"/>
        <v>121414.62666666666</v>
      </c>
      <c r="AI199" s="3352">
        <f t="shared" si="50"/>
        <v>121414.62666666666</v>
      </c>
      <c r="AJ199" s="3352">
        <f t="shared" si="51"/>
        <v>121414.62666666666</v>
      </c>
    </row>
    <row r="200" spans="1:37">
      <c r="A200" s="3371"/>
      <c r="B200" s="3371"/>
      <c r="C200" s="3371"/>
      <c r="D200" s="3371"/>
      <c r="E200" s="3371"/>
      <c r="F200" s="3371"/>
      <c r="G200" s="3371"/>
      <c r="H200" s="3371"/>
      <c r="I200" s="3371"/>
      <c r="J200" s="3371"/>
      <c r="K200" s="3371"/>
      <c r="L200" s="3371"/>
      <c r="M200" s="3372"/>
      <c r="N200" s="3368">
        <f>827/30</f>
        <v>27.566666666666666</v>
      </c>
      <c r="O200" s="3351">
        <f t="shared" si="52"/>
        <v>0</v>
      </c>
      <c r="P200" s="3369" t="s">
        <v>3936</v>
      </c>
      <c r="Q200" s="3370" t="s">
        <v>3937</v>
      </c>
      <c r="R200" s="3370" t="s">
        <v>3938</v>
      </c>
      <c r="S200" s="3371"/>
      <c r="T200" s="3371"/>
      <c r="Y200" s="3352">
        <f t="shared" si="40"/>
        <v>0</v>
      </c>
      <c r="Z200" s="3352">
        <f t="shared" si="41"/>
        <v>0</v>
      </c>
      <c r="AA200" s="3352">
        <f t="shared" si="42"/>
        <v>0</v>
      </c>
      <c r="AB200" s="3352">
        <f t="shared" si="43"/>
        <v>0</v>
      </c>
      <c r="AC200" s="3352">
        <f t="shared" si="44"/>
        <v>0</v>
      </c>
      <c r="AD200" s="3352">
        <f t="shared" si="45"/>
        <v>0</v>
      </c>
      <c r="AE200" s="3352">
        <f t="shared" si="46"/>
        <v>0</v>
      </c>
      <c r="AF200" s="3352">
        <f t="shared" si="47"/>
        <v>0</v>
      </c>
      <c r="AG200" s="3352">
        <f t="shared" si="48"/>
        <v>0</v>
      </c>
      <c r="AH200" s="3352">
        <f t="shared" si="49"/>
        <v>0</v>
      </c>
      <c r="AI200" s="3352">
        <f t="shared" si="50"/>
        <v>0</v>
      </c>
      <c r="AJ200" s="3352">
        <f t="shared" si="51"/>
        <v>0</v>
      </c>
    </row>
    <row r="201" spans="1:37" ht="24">
      <c r="A201" s="3363">
        <v>58</v>
      </c>
      <c r="B201" s="3365" t="s">
        <v>3939</v>
      </c>
      <c r="C201" s="3365" t="s">
        <v>3940</v>
      </c>
      <c r="D201" s="3365" t="s">
        <v>3941</v>
      </c>
      <c r="E201" s="3365" t="s">
        <v>3941</v>
      </c>
      <c r="F201" s="3366" t="s">
        <v>3166</v>
      </c>
      <c r="G201" s="3363"/>
      <c r="H201" s="3363" t="s">
        <v>3942</v>
      </c>
      <c r="I201" s="3363">
        <v>34.700000000000003</v>
      </c>
      <c r="J201" s="3363">
        <v>24.3</v>
      </c>
      <c r="K201" s="3363" t="s">
        <v>3943</v>
      </c>
      <c r="L201" s="3363"/>
      <c r="M201" s="3367">
        <v>2</v>
      </c>
      <c r="N201" s="3368">
        <f>503/30</f>
        <v>16.766666666666666</v>
      </c>
      <c r="O201" s="3351">
        <f t="shared" si="52"/>
        <v>581.8033333333334</v>
      </c>
      <c r="P201" s="3369" t="s">
        <v>3944</v>
      </c>
      <c r="Q201" s="3370" t="s">
        <v>3945</v>
      </c>
      <c r="R201" s="3368">
        <v>0.12</v>
      </c>
      <c r="S201" s="3363">
        <v>2429</v>
      </c>
      <c r="T201" s="3363">
        <v>347</v>
      </c>
      <c r="Y201" s="3352">
        <f t="shared" si="40"/>
        <v>102397.38666666667</v>
      </c>
      <c r="Z201" s="3352">
        <f t="shared" si="41"/>
        <v>211776.41333333336</v>
      </c>
      <c r="AA201" s="3352">
        <f t="shared" si="42"/>
        <v>211776.41333333336</v>
      </c>
      <c r="AB201" s="3352">
        <f t="shared" si="43"/>
        <v>211776.41333333336</v>
      </c>
      <c r="AC201" s="3352">
        <f t="shared" si="44"/>
        <v>212358.2166666667</v>
      </c>
      <c r="AD201" s="3352">
        <f t="shared" si="45"/>
        <v>211776.41333333336</v>
      </c>
      <c r="AE201" s="3352">
        <f t="shared" si="46"/>
        <v>211776.41333333336</v>
      </c>
      <c r="AF201" s="3352">
        <f t="shared" si="47"/>
        <v>211776.41333333336</v>
      </c>
      <c r="AG201" s="3352">
        <f t="shared" si="48"/>
        <v>212358.2166666667</v>
      </c>
      <c r="AH201" s="3352">
        <f t="shared" si="49"/>
        <v>211776.41333333336</v>
      </c>
      <c r="AI201" s="3352">
        <f t="shared" si="50"/>
        <v>211776.41333333336</v>
      </c>
      <c r="AJ201" s="3352">
        <f t="shared" si="51"/>
        <v>211776.41333333336</v>
      </c>
    </row>
    <row r="202" spans="1:37">
      <c r="A202" s="3371"/>
      <c r="B202" s="3371"/>
      <c r="C202" s="3371"/>
      <c r="D202" s="3371"/>
      <c r="E202" s="3371"/>
      <c r="F202" s="3371"/>
      <c r="G202" s="3371"/>
      <c r="H202" s="3371"/>
      <c r="I202" s="3371"/>
      <c r="J202" s="3371"/>
      <c r="K202" s="3371"/>
      <c r="L202" s="3371"/>
      <c r="M202" s="3372"/>
      <c r="N202" s="3368">
        <f>503/30</f>
        <v>16.766666666666666</v>
      </c>
      <c r="O202" s="3351">
        <f t="shared" si="52"/>
        <v>0</v>
      </c>
      <c r="P202" s="3369" t="s">
        <v>3946</v>
      </c>
      <c r="Q202" s="3370" t="s">
        <v>3947</v>
      </c>
      <c r="R202" s="3368">
        <v>0.12</v>
      </c>
      <c r="S202" s="3371"/>
      <c r="T202" s="3371"/>
      <c r="Y202" s="3352">
        <f t="shared" si="40"/>
        <v>0</v>
      </c>
      <c r="Z202" s="3352">
        <f t="shared" si="41"/>
        <v>0</v>
      </c>
      <c r="AA202" s="3352">
        <f t="shared" si="42"/>
        <v>0</v>
      </c>
      <c r="AB202" s="3352">
        <f t="shared" si="43"/>
        <v>0</v>
      </c>
      <c r="AC202" s="3352">
        <f t="shared" si="44"/>
        <v>0</v>
      </c>
      <c r="AD202" s="3352">
        <f t="shared" si="45"/>
        <v>0</v>
      </c>
      <c r="AE202" s="3352">
        <f t="shared" si="46"/>
        <v>0</v>
      </c>
      <c r="AF202" s="3352">
        <f t="shared" si="47"/>
        <v>0</v>
      </c>
      <c r="AG202" s="3352">
        <f t="shared" si="48"/>
        <v>0</v>
      </c>
      <c r="AH202" s="3352">
        <f t="shared" si="49"/>
        <v>0</v>
      </c>
      <c r="AI202" s="3352">
        <f t="shared" si="50"/>
        <v>0</v>
      </c>
      <c r="AJ202" s="3352">
        <f t="shared" si="51"/>
        <v>0</v>
      </c>
    </row>
    <row r="203" spans="1:37" s="3352" customFormat="1">
      <c r="A203" s="3347">
        <v>59</v>
      </c>
      <c r="B203" s="3347" t="s">
        <v>3948</v>
      </c>
      <c r="C203" s="3347" t="s">
        <v>3949</v>
      </c>
      <c r="D203" s="3347" t="s">
        <v>3950</v>
      </c>
      <c r="E203" s="3347"/>
      <c r="F203" s="3348" t="s">
        <v>3166</v>
      </c>
      <c r="G203" s="3347"/>
      <c r="H203" s="3349" t="s">
        <v>3951</v>
      </c>
      <c r="I203" s="3347">
        <v>250</v>
      </c>
      <c r="J203" s="3347">
        <v>175</v>
      </c>
      <c r="K203" s="3347" t="s">
        <v>3952</v>
      </c>
      <c r="L203" s="3347" t="s">
        <v>3921</v>
      </c>
      <c r="M203" s="3349">
        <v>5</v>
      </c>
      <c r="N203" s="3350">
        <f>345/30</f>
        <v>11.5</v>
      </c>
      <c r="O203" s="3351">
        <f t="shared" si="52"/>
        <v>2875</v>
      </c>
      <c r="P203" s="3351" t="s">
        <v>3953</v>
      </c>
      <c r="Q203" s="3350" t="s">
        <v>3954</v>
      </c>
      <c r="R203" s="3350">
        <v>0.08</v>
      </c>
      <c r="S203" s="3347">
        <v>17500</v>
      </c>
      <c r="T203" s="3347">
        <v>2500</v>
      </c>
      <c r="Y203" s="3352">
        <f t="shared" si="40"/>
        <v>506000</v>
      </c>
      <c r="Z203" s="3352">
        <f t="shared" si="41"/>
        <v>1046500</v>
      </c>
      <c r="AA203" s="3352">
        <f t="shared" si="42"/>
        <v>1046500</v>
      </c>
      <c r="AB203" s="3352">
        <f t="shared" si="43"/>
        <v>1046500</v>
      </c>
      <c r="AC203" s="3352">
        <f t="shared" si="44"/>
        <v>1049375</v>
      </c>
      <c r="AD203" s="3352">
        <f t="shared" si="45"/>
        <v>1046500</v>
      </c>
      <c r="AE203" s="3352">
        <f t="shared" si="46"/>
        <v>1046500</v>
      </c>
      <c r="AF203" s="3352">
        <f t="shared" si="47"/>
        <v>1046500</v>
      </c>
      <c r="AG203" s="3352">
        <f t="shared" si="48"/>
        <v>1049375</v>
      </c>
      <c r="AH203" s="3352">
        <f t="shared" si="49"/>
        <v>1046500</v>
      </c>
      <c r="AI203" s="3352">
        <f t="shared" si="50"/>
        <v>1046500</v>
      </c>
      <c r="AJ203" s="3352">
        <f t="shared" si="51"/>
        <v>1046500</v>
      </c>
    </row>
    <row r="204" spans="1:37" s="3352" customFormat="1">
      <c r="A204" s="3353"/>
      <c r="B204" s="3353"/>
      <c r="C204" s="3353"/>
      <c r="D204" s="3353"/>
      <c r="E204" s="3353"/>
      <c r="F204" s="3353"/>
      <c r="G204" s="3353"/>
      <c r="H204" s="3354"/>
      <c r="I204" s="3353"/>
      <c r="J204" s="3353"/>
      <c r="K204" s="3353"/>
      <c r="L204" s="3353"/>
      <c r="M204" s="3354"/>
      <c r="N204" s="3350">
        <f>345/30</f>
        <v>11.5</v>
      </c>
      <c r="O204" s="3351">
        <f t="shared" si="52"/>
        <v>0</v>
      </c>
      <c r="P204" s="3351" t="s">
        <v>3955</v>
      </c>
      <c r="Q204" s="3350" t="s">
        <v>3956</v>
      </c>
      <c r="R204" s="3350">
        <v>0.08</v>
      </c>
      <c r="S204" s="3353"/>
      <c r="T204" s="3353"/>
      <c r="Y204" s="3352">
        <f t="shared" si="40"/>
        <v>0</v>
      </c>
      <c r="Z204" s="3352">
        <f t="shared" si="41"/>
        <v>0</v>
      </c>
      <c r="AA204" s="3352">
        <f t="shared" si="42"/>
        <v>0</v>
      </c>
      <c r="AB204" s="3352">
        <f t="shared" si="43"/>
        <v>0</v>
      </c>
      <c r="AC204" s="3352">
        <f t="shared" si="44"/>
        <v>0</v>
      </c>
      <c r="AD204" s="3352">
        <f t="shared" si="45"/>
        <v>0</v>
      </c>
      <c r="AE204" s="3352">
        <f t="shared" si="46"/>
        <v>0</v>
      </c>
      <c r="AF204" s="3352">
        <f t="shared" si="47"/>
        <v>0</v>
      </c>
      <c r="AG204" s="3352">
        <f t="shared" si="48"/>
        <v>0</v>
      </c>
      <c r="AH204" s="3352">
        <f t="shared" si="49"/>
        <v>0</v>
      </c>
      <c r="AI204" s="3352">
        <f t="shared" si="50"/>
        <v>0</v>
      </c>
      <c r="AJ204" s="3352">
        <f t="shared" si="51"/>
        <v>0</v>
      </c>
    </row>
    <row r="205" spans="1:37" s="3352" customFormat="1">
      <c r="A205" s="3353"/>
      <c r="B205" s="3353"/>
      <c r="C205" s="3353"/>
      <c r="D205" s="3353"/>
      <c r="E205" s="3353"/>
      <c r="F205" s="3353"/>
      <c r="G205" s="3353"/>
      <c r="H205" s="3354"/>
      <c r="I205" s="3353"/>
      <c r="J205" s="3353"/>
      <c r="K205" s="3353"/>
      <c r="L205" s="3353"/>
      <c r="M205" s="3354"/>
      <c r="N205" s="3350">
        <f>375/30</f>
        <v>12.5</v>
      </c>
      <c r="O205" s="3351">
        <f t="shared" si="52"/>
        <v>0</v>
      </c>
      <c r="P205" s="3351" t="s">
        <v>3957</v>
      </c>
      <c r="Q205" s="3350" t="s">
        <v>3958</v>
      </c>
      <c r="R205" s="3350">
        <v>0.09</v>
      </c>
      <c r="S205" s="3353"/>
      <c r="T205" s="3353"/>
      <c r="Y205" s="3352">
        <f t="shared" si="40"/>
        <v>0</v>
      </c>
      <c r="Z205" s="3352">
        <f t="shared" si="41"/>
        <v>0</v>
      </c>
      <c r="AA205" s="3352">
        <f t="shared" si="42"/>
        <v>0</v>
      </c>
      <c r="AB205" s="3352">
        <f t="shared" si="43"/>
        <v>0</v>
      </c>
      <c r="AC205" s="3352">
        <f t="shared" si="44"/>
        <v>0</v>
      </c>
      <c r="AD205" s="3352">
        <f t="shared" si="45"/>
        <v>0</v>
      </c>
      <c r="AE205" s="3352">
        <f t="shared" si="46"/>
        <v>0</v>
      </c>
      <c r="AF205" s="3352">
        <f t="shared" si="47"/>
        <v>0</v>
      </c>
      <c r="AG205" s="3352">
        <f t="shared" si="48"/>
        <v>0</v>
      </c>
      <c r="AH205" s="3352">
        <f t="shared" si="49"/>
        <v>0</v>
      </c>
      <c r="AI205" s="3352">
        <f t="shared" si="50"/>
        <v>0</v>
      </c>
      <c r="AJ205" s="3352">
        <f t="shared" si="51"/>
        <v>0</v>
      </c>
    </row>
    <row r="206" spans="1:37" s="3352" customFormat="1">
      <c r="A206" s="3353"/>
      <c r="B206" s="3353"/>
      <c r="C206" s="3353"/>
      <c r="D206" s="3353"/>
      <c r="E206" s="3353"/>
      <c r="F206" s="3353"/>
      <c r="G206" s="3353"/>
      <c r="H206" s="3354"/>
      <c r="I206" s="3353"/>
      <c r="J206" s="3353"/>
      <c r="K206" s="3353"/>
      <c r="L206" s="3353"/>
      <c r="M206" s="3354"/>
      <c r="N206" s="3350">
        <f>375/30</f>
        <v>12.5</v>
      </c>
      <c r="O206" s="3351">
        <f t="shared" si="52"/>
        <v>0</v>
      </c>
      <c r="P206" s="3351" t="s">
        <v>3959</v>
      </c>
      <c r="Q206" s="3350" t="s">
        <v>3960</v>
      </c>
      <c r="R206" s="3350">
        <v>0.09</v>
      </c>
      <c r="S206" s="3353"/>
      <c r="T206" s="3353"/>
      <c r="Y206" s="3352">
        <f t="shared" si="40"/>
        <v>0</v>
      </c>
      <c r="Z206" s="3352">
        <f t="shared" si="41"/>
        <v>0</v>
      </c>
      <c r="AA206" s="3352">
        <f t="shared" si="42"/>
        <v>0</v>
      </c>
      <c r="AB206" s="3352">
        <f t="shared" si="43"/>
        <v>0</v>
      </c>
      <c r="AC206" s="3352">
        <f t="shared" si="44"/>
        <v>0</v>
      </c>
      <c r="AD206" s="3352">
        <f t="shared" si="45"/>
        <v>0</v>
      </c>
      <c r="AE206" s="3352">
        <f t="shared" si="46"/>
        <v>0</v>
      </c>
      <c r="AF206" s="3352">
        <f t="shared" si="47"/>
        <v>0</v>
      </c>
      <c r="AG206" s="3352">
        <f t="shared" si="48"/>
        <v>0</v>
      </c>
      <c r="AH206" s="3352">
        <f t="shared" si="49"/>
        <v>0</v>
      </c>
      <c r="AI206" s="3352">
        <f t="shared" si="50"/>
        <v>0</v>
      </c>
      <c r="AJ206" s="3352">
        <f t="shared" si="51"/>
        <v>0</v>
      </c>
    </row>
    <row r="207" spans="1:37" s="3352" customFormat="1">
      <c r="A207" s="3355"/>
      <c r="B207" s="3355"/>
      <c r="C207" s="3355"/>
      <c r="D207" s="3355"/>
      <c r="E207" s="3355"/>
      <c r="F207" s="3355"/>
      <c r="G207" s="3355"/>
      <c r="H207" s="3356"/>
      <c r="I207" s="3355"/>
      <c r="J207" s="3355"/>
      <c r="K207" s="3355"/>
      <c r="L207" s="3355"/>
      <c r="M207" s="3356"/>
      <c r="N207" s="3350">
        <f>405/30</f>
        <v>13.5</v>
      </c>
      <c r="O207" s="3351">
        <f t="shared" si="52"/>
        <v>0</v>
      </c>
      <c r="P207" s="3351" t="s">
        <v>3961</v>
      </c>
      <c r="Q207" s="3350" t="s">
        <v>3962</v>
      </c>
      <c r="R207" s="3350">
        <v>0.1</v>
      </c>
      <c r="S207" s="3355"/>
      <c r="T207" s="3355"/>
      <c r="Y207" s="3352">
        <f>SUM(Y86:Y206)</f>
        <v>8052861.3439999996</v>
      </c>
      <c r="Z207" s="3352">
        <f t="shared" ref="Z207:AJ207" si="53">SUM(Z86:Z206)</f>
        <v>16654781.416000003</v>
      </c>
      <c r="AA207" s="3352">
        <f t="shared" si="53"/>
        <v>16654781.416000003</v>
      </c>
      <c r="AB207" s="3352">
        <f t="shared" si="53"/>
        <v>16654781.416000003</v>
      </c>
      <c r="AC207" s="3352">
        <f t="shared" si="53"/>
        <v>16700536.310000001</v>
      </c>
      <c r="AD207" s="3352">
        <f t="shared" si="53"/>
        <v>16654781.416000003</v>
      </c>
      <c r="AE207" s="3352">
        <f t="shared" si="53"/>
        <v>16654781.416000003</v>
      </c>
      <c r="AF207" s="3352">
        <f t="shared" si="53"/>
        <v>16654781.416000003</v>
      </c>
      <c r="AG207" s="3352">
        <f t="shared" si="53"/>
        <v>16700536.310000001</v>
      </c>
      <c r="AH207" s="3352">
        <f t="shared" si="53"/>
        <v>16654781.416000003</v>
      </c>
      <c r="AI207" s="3352">
        <f t="shared" si="53"/>
        <v>16654781.416000003</v>
      </c>
      <c r="AJ207" s="3352">
        <f t="shared" si="53"/>
        <v>16654781.416000003</v>
      </c>
      <c r="AK207" s="3352">
        <f>SUM(Y207:AJ207)</f>
        <v>191346966.70800006</v>
      </c>
    </row>
    <row r="208" spans="1:37" s="3346" customFormat="1" ht="24">
      <c r="A208" s="3341"/>
      <c r="B208" s="3373" t="s">
        <v>3963</v>
      </c>
      <c r="C208" s="3341"/>
      <c r="D208" s="3341"/>
      <c r="E208" s="3341"/>
      <c r="F208" s="3341"/>
      <c r="G208" s="3341"/>
      <c r="H208" s="3342"/>
      <c r="I208" s="3373">
        <f>SUM(I86:I203)</f>
        <v>3179.329999999999</v>
      </c>
      <c r="J208" s="3341"/>
      <c r="K208" s="3341"/>
      <c r="L208" s="3341"/>
      <c r="M208" s="3342"/>
      <c r="N208" s="3343"/>
      <c r="O208" s="3345">
        <f>SUM(O86:O207)</f>
        <v>45754.894</v>
      </c>
      <c r="P208" s="3345"/>
      <c r="Q208" s="3343"/>
      <c r="R208" s="3374"/>
      <c r="S208" s="3341"/>
      <c r="T208" s="3341"/>
    </row>
    <row r="209" spans="1:36" s="3346" customFormat="1">
      <c r="A209" s="3341"/>
      <c r="B209" s="3373"/>
      <c r="C209" s="3341"/>
      <c r="D209" s="3341"/>
      <c r="E209" s="3341"/>
      <c r="F209" s="3341"/>
      <c r="G209" s="3341"/>
      <c r="H209" s="3342"/>
      <c r="I209" s="3373"/>
      <c r="J209" s="3341"/>
      <c r="K209" s="3341"/>
      <c r="L209" s="3341"/>
      <c r="M209" s="3342"/>
      <c r="N209" s="3343">
        <f>O208/'[1]数据-汇总表'!G20</f>
        <v>6.2376394116660689</v>
      </c>
      <c r="O209" s="3345"/>
      <c r="P209" s="3345"/>
      <c r="Q209" s="3343"/>
      <c r="R209" s="3341">
        <f>N209*1.1</f>
        <v>6.8614033528326761</v>
      </c>
      <c r="T209" s="3341"/>
    </row>
    <row r="210" spans="1:36" s="3381" customFormat="1" ht="24">
      <c r="A210" s="3375">
        <v>60</v>
      </c>
      <c r="B210" s="3376" t="s">
        <v>3964</v>
      </c>
      <c r="C210" s="3375" t="s">
        <v>3965</v>
      </c>
      <c r="D210" s="3375" t="s">
        <v>3966</v>
      </c>
      <c r="E210" s="3375" t="s">
        <v>3966</v>
      </c>
      <c r="F210" s="3377" t="s">
        <v>3166</v>
      </c>
      <c r="G210" s="3375"/>
      <c r="H210" s="3375" t="s">
        <v>3967</v>
      </c>
      <c r="I210" s="3376">
        <v>141.9</v>
      </c>
      <c r="J210" s="3375">
        <v>99.34</v>
      </c>
      <c r="K210" s="3375" t="s">
        <v>3472</v>
      </c>
      <c r="L210" s="3375" t="s">
        <v>3968</v>
      </c>
      <c r="M210" s="3378">
        <v>8</v>
      </c>
      <c r="N210" s="3379">
        <f>335/30</f>
        <v>11.166666666666666</v>
      </c>
      <c r="O210" s="3380">
        <f>I210*N210</f>
        <v>1584.55</v>
      </c>
      <c r="P210" s="3380" t="s">
        <v>3969</v>
      </c>
      <c r="Q210" s="3379" t="s">
        <v>3970</v>
      </c>
      <c r="R210" s="3375">
        <v>0</v>
      </c>
      <c r="S210" s="3375" t="s">
        <v>3971</v>
      </c>
      <c r="T210" s="3375">
        <v>1500</v>
      </c>
      <c r="Y210" s="3381">
        <f t="shared" ref="Y210:Y273" si="54">I210*N210*($Y$2-$X$2)</f>
        <v>278880.8</v>
      </c>
      <c r="Z210" s="3381">
        <f t="shared" ref="Z210:Z273" si="55">I210*N210*($Z$2-$Z$1)</f>
        <v>576776.19999999995</v>
      </c>
      <c r="AA210" s="3381">
        <f t="shared" ref="AA210:AA273" si="56">I210*N210*($AA$2-$AA$1)</f>
        <v>576776.19999999995</v>
      </c>
      <c r="AB210" s="3381">
        <f t="shared" ref="AB210:AB273" si="57">I210*N210*($AB$2-$AB$1)</f>
        <v>576776.19999999995</v>
      </c>
      <c r="AC210" s="3381">
        <f t="shared" ref="AC210:AC273" si="58">I210*N210*($AC$2-$AC$1)</f>
        <v>578360.75</v>
      </c>
      <c r="AD210" s="3381">
        <f t="shared" ref="AD210:AD273" si="59">I210*N210*($AD$2-$AD$1)</f>
        <v>576776.19999999995</v>
      </c>
      <c r="AE210" s="3381">
        <f t="shared" ref="AE210:AE273" si="60">I210*N210*($AE$2-$AE$1)</f>
        <v>576776.19999999995</v>
      </c>
      <c r="AF210" s="3381">
        <f t="shared" ref="AF210:AF273" si="61">I210*N210*($AF$2-$AF$1)</f>
        <v>576776.19999999995</v>
      </c>
      <c r="AG210" s="3381">
        <f t="shared" ref="AG210:AG273" si="62">I210*N210*($AG$2-$AG$1)</f>
        <v>578360.75</v>
      </c>
      <c r="AH210" s="3381">
        <f t="shared" ref="AH210:AH273" si="63">I210*N210*($AH$2-$AH$1)</f>
        <v>576776.19999999995</v>
      </c>
      <c r="AI210" s="3381">
        <f t="shared" ref="AI210:AI273" si="64">I210*N210*($AI$2-$AI$1)</f>
        <v>576776.19999999995</v>
      </c>
      <c r="AJ210" s="3381">
        <f t="shared" ref="AJ210:AJ273" si="65">I210*N210*($AJ$2-$AJ$1)</f>
        <v>576776.19999999995</v>
      </c>
    </row>
    <row r="211" spans="1:36" s="3381" customFormat="1">
      <c r="A211" s="3382"/>
      <c r="B211" s="3383"/>
      <c r="C211" s="3382"/>
      <c r="D211" s="3382"/>
      <c r="E211" s="3382"/>
      <c r="F211" s="3382"/>
      <c r="G211" s="3382"/>
      <c r="H211" s="3382"/>
      <c r="I211" s="3382"/>
      <c r="J211" s="3382"/>
      <c r="K211" s="3382"/>
      <c r="L211" s="3382"/>
      <c r="M211" s="3384"/>
      <c r="N211" s="3379">
        <f>335/30</f>
        <v>11.166666666666666</v>
      </c>
      <c r="O211" s="3380">
        <f t="shared" ref="O211:O274" si="66">I211*N211</f>
        <v>0</v>
      </c>
      <c r="P211" s="3380" t="s">
        <v>3972</v>
      </c>
      <c r="Q211" s="3379" t="s">
        <v>3973</v>
      </c>
      <c r="R211" s="3382">
        <v>0</v>
      </c>
      <c r="S211" s="3382">
        <v>9900</v>
      </c>
      <c r="T211" s="3382"/>
      <c r="Y211" s="3381">
        <f t="shared" si="54"/>
        <v>0</v>
      </c>
      <c r="Z211" s="3381">
        <f t="shared" si="55"/>
        <v>0</v>
      </c>
      <c r="AA211" s="3381">
        <f t="shared" si="56"/>
        <v>0</v>
      </c>
      <c r="AB211" s="3381">
        <f t="shared" si="57"/>
        <v>0</v>
      </c>
      <c r="AC211" s="3381">
        <f t="shared" si="58"/>
        <v>0</v>
      </c>
      <c r="AD211" s="3381">
        <f t="shared" si="59"/>
        <v>0</v>
      </c>
      <c r="AE211" s="3381">
        <f t="shared" si="60"/>
        <v>0</v>
      </c>
      <c r="AF211" s="3381">
        <f t="shared" si="61"/>
        <v>0</v>
      </c>
      <c r="AG211" s="3381">
        <f t="shared" si="62"/>
        <v>0</v>
      </c>
      <c r="AH211" s="3381">
        <f t="shared" si="63"/>
        <v>0</v>
      </c>
      <c r="AI211" s="3381">
        <f t="shared" si="64"/>
        <v>0</v>
      </c>
      <c r="AJ211" s="3381">
        <f t="shared" si="65"/>
        <v>0</v>
      </c>
    </row>
    <row r="212" spans="1:36" s="3381" customFormat="1">
      <c r="A212" s="3382"/>
      <c r="B212" s="3383"/>
      <c r="C212" s="3382"/>
      <c r="D212" s="3382"/>
      <c r="E212" s="3382"/>
      <c r="F212" s="3382"/>
      <c r="G212" s="3382"/>
      <c r="H212" s="3382"/>
      <c r="I212" s="3382"/>
      <c r="J212" s="3382"/>
      <c r="K212" s="3382"/>
      <c r="L212" s="3382"/>
      <c r="M212" s="3384"/>
      <c r="N212" s="3379">
        <f>365/30</f>
        <v>12.166666666666666</v>
      </c>
      <c r="O212" s="3380">
        <f t="shared" si="66"/>
        <v>0</v>
      </c>
      <c r="P212" s="3380" t="s">
        <v>3974</v>
      </c>
      <c r="Q212" s="3379" t="s">
        <v>3975</v>
      </c>
      <c r="R212" s="3382">
        <v>0.08</v>
      </c>
      <c r="S212" s="3382"/>
      <c r="T212" s="3382"/>
      <c r="Y212" s="3381">
        <f t="shared" si="54"/>
        <v>0</v>
      </c>
      <c r="Z212" s="3381">
        <f t="shared" si="55"/>
        <v>0</v>
      </c>
      <c r="AA212" s="3381">
        <f t="shared" si="56"/>
        <v>0</v>
      </c>
      <c r="AB212" s="3381">
        <f t="shared" si="57"/>
        <v>0</v>
      </c>
      <c r="AC212" s="3381">
        <f t="shared" si="58"/>
        <v>0</v>
      </c>
      <c r="AD212" s="3381">
        <f t="shared" si="59"/>
        <v>0</v>
      </c>
      <c r="AE212" s="3381">
        <f t="shared" si="60"/>
        <v>0</v>
      </c>
      <c r="AF212" s="3381">
        <f t="shared" si="61"/>
        <v>0</v>
      </c>
      <c r="AG212" s="3381">
        <f t="shared" si="62"/>
        <v>0</v>
      </c>
      <c r="AH212" s="3381">
        <f t="shared" si="63"/>
        <v>0</v>
      </c>
      <c r="AI212" s="3381">
        <f t="shared" si="64"/>
        <v>0</v>
      </c>
      <c r="AJ212" s="3381">
        <f t="shared" si="65"/>
        <v>0</v>
      </c>
    </row>
    <row r="213" spans="1:36" s="3381" customFormat="1">
      <c r="A213" s="3382"/>
      <c r="B213" s="3383"/>
      <c r="C213" s="3382"/>
      <c r="D213" s="3382"/>
      <c r="E213" s="3382"/>
      <c r="F213" s="3382"/>
      <c r="G213" s="3382"/>
      <c r="H213" s="3382"/>
      <c r="I213" s="3382"/>
      <c r="J213" s="3382"/>
      <c r="K213" s="3382"/>
      <c r="L213" s="3382"/>
      <c r="M213" s="3384"/>
      <c r="N213" s="3379">
        <f>365/30</f>
        <v>12.166666666666666</v>
      </c>
      <c r="O213" s="3380">
        <f t="shared" si="66"/>
        <v>0</v>
      </c>
      <c r="P213" s="3380" t="s">
        <v>3976</v>
      </c>
      <c r="Q213" s="3379" t="s">
        <v>3977</v>
      </c>
      <c r="R213" s="3382">
        <v>0.08</v>
      </c>
      <c r="S213" s="3382"/>
      <c r="T213" s="3382"/>
      <c r="Y213" s="3381">
        <f t="shared" si="54"/>
        <v>0</v>
      </c>
      <c r="Z213" s="3381">
        <f t="shared" si="55"/>
        <v>0</v>
      </c>
      <c r="AA213" s="3381">
        <f t="shared" si="56"/>
        <v>0</v>
      </c>
      <c r="AB213" s="3381">
        <f t="shared" si="57"/>
        <v>0</v>
      </c>
      <c r="AC213" s="3381">
        <f t="shared" si="58"/>
        <v>0</v>
      </c>
      <c r="AD213" s="3381">
        <f t="shared" si="59"/>
        <v>0</v>
      </c>
      <c r="AE213" s="3381">
        <f t="shared" si="60"/>
        <v>0</v>
      </c>
      <c r="AF213" s="3381">
        <f t="shared" si="61"/>
        <v>0</v>
      </c>
      <c r="AG213" s="3381">
        <f t="shared" si="62"/>
        <v>0</v>
      </c>
      <c r="AH213" s="3381">
        <f t="shared" si="63"/>
        <v>0</v>
      </c>
      <c r="AI213" s="3381">
        <f t="shared" si="64"/>
        <v>0</v>
      </c>
      <c r="AJ213" s="3381">
        <f t="shared" si="65"/>
        <v>0</v>
      </c>
    </row>
    <row r="214" spans="1:36" s="3381" customFormat="1">
      <c r="A214" s="3382"/>
      <c r="B214" s="3383"/>
      <c r="C214" s="3382"/>
      <c r="D214" s="3382"/>
      <c r="E214" s="3382"/>
      <c r="F214" s="3382"/>
      <c r="G214" s="3382"/>
      <c r="H214" s="3382"/>
      <c r="I214" s="3382"/>
      <c r="J214" s="3382"/>
      <c r="K214" s="3382"/>
      <c r="L214" s="3382"/>
      <c r="M214" s="3384"/>
      <c r="N214" s="3379">
        <f>395/30</f>
        <v>13.166666666666666</v>
      </c>
      <c r="O214" s="3380">
        <f t="shared" si="66"/>
        <v>0</v>
      </c>
      <c r="P214" s="3380" t="s">
        <v>3978</v>
      </c>
      <c r="Q214" s="3379" t="s">
        <v>3979</v>
      </c>
      <c r="R214" s="3382">
        <v>0.09</v>
      </c>
      <c r="S214" s="3382"/>
      <c r="T214" s="3382"/>
      <c r="Y214" s="3381">
        <f t="shared" si="54"/>
        <v>0</v>
      </c>
      <c r="Z214" s="3381">
        <f t="shared" si="55"/>
        <v>0</v>
      </c>
      <c r="AA214" s="3381">
        <f t="shared" si="56"/>
        <v>0</v>
      </c>
      <c r="AB214" s="3381">
        <f t="shared" si="57"/>
        <v>0</v>
      </c>
      <c r="AC214" s="3381">
        <f t="shared" si="58"/>
        <v>0</v>
      </c>
      <c r="AD214" s="3381">
        <f t="shared" si="59"/>
        <v>0</v>
      </c>
      <c r="AE214" s="3381">
        <f t="shared" si="60"/>
        <v>0</v>
      </c>
      <c r="AF214" s="3381">
        <f t="shared" si="61"/>
        <v>0</v>
      </c>
      <c r="AG214" s="3381">
        <f t="shared" si="62"/>
        <v>0</v>
      </c>
      <c r="AH214" s="3381">
        <f t="shared" si="63"/>
        <v>0</v>
      </c>
      <c r="AI214" s="3381">
        <f t="shared" si="64"/>
        <v>0</v>
      </c>
      <c r="AJ214" s="3381">
        <f t="shared" si="65"/>
        <v>0</v>
      </c>
    </row>
    <row r="215" spans="1:36" s="3381" customFormat="1">
      <c r="A215" s="3382"/>
      <c r="B215" s="3383"/>
      <c r="C215" s="3382"/>
      <c r="D215" s="3382"/>
      <c r="E215" s="3382"/>
      <c r="F215" s="3382"/>
      <c r="G215" s="3382"/>
      <c r="H215" s="3382"/>
      <c r="I215" s="3382"/>
      <c r="J215" s="3382"/>
      <c r="K215" s="3382"/>
      <c r="L215" s="3382"/>
      <c r="M215" s="3384"/>
      <c r="N215" s="3379">
        <f>395/30</f>
        <v>13.166666666666666</v>
      </c>
      <c r="O215" s="3380">
        <f t="shared" si="66"/>
        <v>0</v>
      </c>
      <c r="P215" s="3380" t="s">
        <v>3980</v>
      </c>
      <c r="Q215" s="3379" t="s">
        <v>3981</v>
      </c>
      <c r="R215" s="3382">
        <v>0.09</v>
      </c>
      <c r="S215" s="3382"/>
      <c r="T215" s="3382"/>
      <c r="Y215" s="3381">
        <f t="shared" si="54"/>
        <v>0</v>
      </c>
      <c r="Z215" s="3381">
        <f t="shared" si="55"/>
        <v>0</v>
      </c>
      <c r="AA215" s="3381">
        <f t="shared" si="56"/>
        <v>0</v>
      </c>
      <c r="AB215" s="3381">
        <f t="shared" si="57"/>
        <v>0</v>
      </c>
      <c r="AC215" s="3381">
        <f t="shared" si="58"/>
        <v>0</v>
      </c>
      <c r="AD215" s="3381">
        <f t="shared" si="59"/>
        <v>0</v>
      </c>
      <c r="AE215" s="3381">
        <f t="shared" si="60"/>
        <v>0</v>
      </c>
      <c r="AF215" s="3381">
        <f t="shared" si="61"/>
        <v>0</v>
      </c>
      <c r="AG215" s="3381">
        <f t="shared" si="62"/>
        <v>0</v>
      </c>
      <c r="AH215" s="3381">
        <f t="shared" si="63"/>
        <v>0</v>
      </c>
      <c r="AI215" s="3381">
        <f t="shared" si="64"/>
        <v>0</v>
      </c>
      <c r="AJ215" s="3381">
        <f t="shared" si="65"/>
        <v>0</v>
      </c>
    </row>
    <row r="216" spans="1:36" s="3381" customFormat="1">
      <c r="A216" s="3382"/>
      <c r="B216" s="3383"/>
      <c r="C216" s="3382"/>
      <c r="D216" s="3382"/>
      <c r="E216" s="3382"/>
      <c r="F216" s="3382"/>
      <c r="G216" s="3382"/>
      <c r="H216" s="3382"/>
      <c r="I216" s="3382"/>
      <c r="J216" s="3382"/>
      <c r="K216" s="3382"/>
      <c r="L216" s="3382"/>
      <c r="M216" s="3384"/>
      <c r="N216" s="3379">
        <f>425/30</f>
        <v>14.166666666666666</v>
      </c>
      <c r="O216" s="3380">
        <f t="shared" si="66"/>
        <v>0</v>
      </c>
      <c r="P216" s="3383" t="s">
        <v>3982</v>
      </c>
      <c r="Q216" s="3382" t="s">
        <v>3983</v>
      </c>
      <c r="R216" s="3382">
        <v>9.5000000000000001E-2</v>
      </c>
      <c r="S216" s="3382"/>
      <c r="T216" s="3382"/>
      <c r="Y216" s="3381">
        <f t="shared" si="54"/>
        <v>0</v>
      </c>
      <c r="Z216" s="3381">
        <f t="shared" si="55"/>
        <v>0</v>
      </c>
      <c r="AA216" s="3381">
        <f t="shared" si="56"/>
        <v>0</v>
      </c>
      <c r="AB216" s="3381">
        <f t="shared" si="57"/>
        <v>0</v>
      </c>
      <c r="AC216" s="3381">
        <f t="shared" si="58"/>
        <v>0</v>
      </c>
      <c r="AD216" s="3381">
        <f t="shared" si="59"/>
        <v>0</v>
      </c>
      <c r="AE216" s="3381">
        <f t="shared" si="60"/>
        <v>0</v>
      </c>
      <c r="AF216" s="3381">
        <f t="shared" si="61"/>
        <v>0</v>
      </c>
      <c r="AG216" s="3381">
        <f t="shared" si="62"/>
        <v>0</v>
      </c>
      <c r="AH216" s="3381">
        <f t="shared" si="63"/>
        <v>0</v>
      </c>
      <c r="AI216" s="3381">
        <f t="shared" si="64"/>
        <v>0</v>
      </c>
      <c r="AJ216" s="3381">
        <f t="shared" si="65"/>
        <v>0</v>
      </c>
    </row>
    <row r="217" spans="1:36" s="3381" customFormat="1">
      <c r="A217" s="3382"/>
      <c r="B217" s="3383"/>
      <c r="C217" s="3382"/>
      <c r="D217" s="3382"/>
      <c r="E217" s="3382"/>
      <c r="F217" s="3382"/>
      <c r="G217" s="3382"/>
      <c r="H217" s="3385"/>
      <c r="I217" s="3385"/>
      <c r="J217" s="3385"/>
      <c r="K217" s="3385"/>
      <c r="L217" s="3385"/>
      <c r="M217" s="3386"/>
      <c r="N217" s="3379">
        <f>425/30</f>
        <v>14.166666666666666</v>
      </c>
      <c r="O217" s="3380">
        <f t="shared" si="66"/>
        <v>0</v>
      </c>
      <c r="P217" s="3383" t="s">
        <v>3984</v>
      </c>
      <c r="Q217" s="3382" t="s">
        <v>3985</v>
      </c>
      <c r="R217" s="3385">
        <v>9.5000000000000001E-2</v>
      </c>
      <c r="S217" s="3385"/>
      <c r="T217" s="3385"/>
      <c r="Y217" s="3381">
        <f t="shared" si="54"/>
        <v>0</v>
      </c>
      <c r="Z217" s="3381">
        <f t="shared" si="55"/>
        <v>0</v>
      </c>
      <c r="AA217" s="3381">
        <f t="shared" si="56"/>
        <v>0</v>
      </c>
      <c r="AB217" s="3381">
        <f t="shared" si="57"/>
        <v>0</v>
      </c>
      <c r="AC217" s="3381">
        <f t="shared" si="58"/>
        <v>0</v>
      </c>
      <c r="AD217" s="3381">
        <f t="shared" si="59"/>
        <v>0</v>
      </c>
      <c r="AE217" s="3381">
        <f t="shared" si="60"/>
        <v>0</v>
      </c>
      <c r="AF217" s="3381">
        <f t="shared" si="61"/>
        <v>0</v>
      </c>
      <c r="AG217" s="3381">
        <f t="shared" si="62"/>
        <v>0</v>
      </c>
      <c r="AH217" s="3381">
        <f t="shared" si="63"/>
        <v>0</v>
      </c>
      <c r="AI217" s="3381">
        <f t="shared" si="64"/>
        <v>0</v>
      </c>
      <c r="AJ217" s="3381">
        <f t="shared" si="65"/>
        <v>0</v>
      </c>
    </row>
    <row r="218" spans="1:36" s="3381" customFormat="1">
      <c r="A218" s="3382"/>
      <c r="B218" s="3383"/>
      <c r="C218" s="3382"/>
      <c r="D218" s="3382"/>
      <c r="E218" s="3382"/>
      <c r="F218" s="3382"/>
      <c r="G218" s="3382"/>
      <c r="H218" s="3375" t="s">
        <v>3986</v>
      </c>
      <c r="I218" s="3375">
        <v>507.2</v>
      </c>
      <c r="J218" s="3375">
        <v>355.1</v>
      </c>
      <c r="K218" s="3375"/>
      <c r="L218" s="3375"/>
      <c r="M218" s="3378">
        <v>8</v>
      </c>
      <c r="N218" s="3379">
        <f>120/30</f>
        <v>4</v>
      </c>
      <c r="O218" s="3380">
        <f t="shared" si="66"/>
        <v>2028.8</v>
      </c>
      <c r="P218" s="3380" t="s">
        <v>3987</v>
      </c>
      <c r="Q218" s="3379" t="s">
        <v>3988</v>
      </c>
      <c r="R218" s="3375">
        <v>0</v>
      </c>
      <c r="S218" s="3375">
        <v>28000</v>
      </c>
      <c r="T218" s="3375">
        <v>3000</v>
      </c>
      <c r="Y218" s="3381">
        <f t="shared" si="54"/>
        <v>357068.79999999999</v>
      </c>
      <c r="Z218" s="3381">
        <f t="shared" si="55"/>
        <v>738483.19999999995</v>
      </c>
      <c r="AA218" s="3381">
        <f t="shared" si="56"/>
        <v>738483.19999999995</v>
      </c>
      <c r="AB218" s="3381">
        <f t="shared" si="57"/>
        <v>738483.19999999995</v>
      </c>
      <c r="AC218" s="3381">
        <f t="shared" si="58"/>
        <v>740512</v>
      </c>
      <c r="AD218" s="3381">
        <f t="shared" si="59"/>
        <v>738483.19999999995</v>
      </c>
      <c r="AE218" s="3381">
        <f t="shared" si="60"/>
        <v>738483.19999999995</v>
      </c>
      <c r="AF218" s="3381">
        <f t="shared" si="61"/>
        <v>738483.19999999995</v>
      </c>
      <c r="AG218" s="3381">
        <f t="shared" si="62"/>
        <v>740512</v>
      </c>
      <c r="AH218" s="3381">
        <f t="shared" si="63"/>
        <v>738483.19999999995</v>
      </c>
      <c r="AI218" s="3381">
        <f t="shared" si="64"/>
        <v>738483.19999999995</v>
      </c>
      <c r="AJ218" s="3381">
        <f t="shared" si="65"/>
        <v>738483.19999999995</v>
      </c>
    </row>
    <row r="219" spans="1:36" s="3381" customFormat="1">
      <c r="A219" s="3382"/>
      <c r="B219" s="3383"/>
      <c r="C219" s="3382"/>
      <c r="D219" s="3382"/>
      <c r="E219" s="3382"/>
      <c r="F219" s="3382"/>
      <c r="G219" s="3382"/>
      <c r="H219" s="3382"/>
      <c r="I219" s="3382">
        <v>649.1</v>
      </c>
      <c r="J219" s="3382">
        <v>454.4</v>
      </c>
      <c r="K219" s="3382"/>
      <c r="L219" s="3382"/>
      <c r="M219" s="3384"/>
      <c r="N219" s="3379">
        <f>120/30</f>
        <v>4</v>
      </c>
      <c r="O219" s="3380">
        <f t="shared" si="66"/>
        <v>2596.4</v>
      </c>
      <c r="P219" s="3380" t="s">
        <v>3989</v>
      </c>
      <c r="Q219" s="3379" t="s">
        <v>3990</v>
      </c>
      <c r="R219" s="3382">
        <v>0</v>
      </c>
      <c r="S219" s="3382">
        <v>28000</v>
      </c>
      <c r="T219" s="3382"/>
      <c r="Y219" s="3381">
        <f t="shared" si="54"/>
        <v>456966.40000000002</v>
      </c>
      <c r="Z219" s="3381">
        <f t="shared" si="55"/>
        <v>945089.6</v>
      </c>
      <c r="AA219" s="3381">
        <f t="shared" si="56"/>
        <v>945089.6</v>
      </c>
      <c r="AB219" s="3381">
        <f t="shared" si="57"/>
        <v>945089.6</v>
      </c>
      <c r="AC219" s="3381">
        <f t="shared" si="58"/>
        <v>947686</v>
      </c>
      <c r="AD219" s="3381">
        <f t="shared" si="59"/>
        <v>945089.6</v>
      </c>
      <c r="AE219" s="3381">
        <f t="shared" si="60"/>
        <v>945089.6</v>
      </c>
      <c r="AF219" s="3381">
        <f t="shared" si="61"/>
        <v>945089.6</v>
      </c>
      <c r="AG219" s="3381">
        <f t="shared" si="62"/>
        <v>947686</v>
      </c>
      <c r="AH219" s="3381">
        <f t="shared" si="63"/>
        <v>945089.6</v>
      </c>
      <c r="AI219" s="3381">
        <f t="shared" si="64"/>
        <v>945089.6</v>
      </c>
      <c r="AJ219" s="3381">
        <f t="shared" si="65"/>
        <v>945089.6</v>
      </c>
    </row>
    <row r="220" spans="1:36" s="3381" customFormat="1">
      <c r="A220" s="3382"/>
      <c r="B220" s="3383"/>
      <c r="C220" s="3382"/>
      <c r="D220" s="3382"/>
      <c r="E220" s="3382"/>
      <c r="F220" s="3382"/>
      <c r="G220" s="3382"/>
      <c r="H220" s="3382"/>
      <c r="I220" s="3382"/>
      <c r="J220" s="3382"/>
      <c r="K220" s="3382"/>
      <c r="L220" s="3382"/>
      <c r="M220" s="3384"/>
      <c r="N220" s="3379">
        <f>130/30</f>
        <v>4.333333333333333</v>
      </c>
      <c r="O220" s="3380">
        <f t="shared" si="66"/>
        <v>0</v>
      </c>
      <c r="P220" s="3380" t="s">
        <v>3991</v>
      </c>
      <c r="Q220" s="3379" t="s">
        <v>3992</v>
      </c>
      <c r="R220" s="3382">
        <v>0.08</v>
      </c>
      <c r="S220" s="3382">
        <v>30000</v>
      </c>
      <c r="T220" s="3382"/>
      <c r="Y220" s="3381">
        <f t="shared" si="54"/>
        <v>0</v>
      </c>
      <c r="Z220" s="3381">
        <f t="shared" si="55"/>
        <v>0</v>
      </c>
      <c r="AA220" s="3381">
        <f t="shared" si="56"/>
        <v>0</v>
      </c>
      <c r="AB220" s="3381">
        <f t="shared" si="57"/>
        <v>0</v>
      </c>
      <c r="AC220" s="3381">
        <f t="shared" si="58"/>
        <v>0</v>
      </c>
      <c r="AD220" s="3381">
        <f t="shared" si="59"/>
        <v>0</v>
      </c>
      <c r="AE220" s="3381">
        <f t="shared" si="60"/>
        <v>0</v>
      </c>
      <c r="AF220" s="3381">
        <f t="shared" si="61"/>
        <v>0</v>
      </c>
      <c r="AG220" s="3381">
        <f t="shared" si="62"/>
        <v>0</v>
      </c>
      <c r="AH220" s="3381">
        <f t="shared" si="63"/>
        <v>0</v>
      </c>
      <c r="AI220" s="3381">
        <f t="shared" si="64"/>
        <v>0</v>
      </c>
      <c r="AJ220" s="3381">
        <f t="shared" si="65"/>
        <v>0</v>
      </c>
    </row>
    <row r="221" spans="1:36" s="3381" customFormat="1">
      <c r="A221" s="3382"/>
      <c r="B221" s="3383"/>
      <c r="C221" s="3382"/>
      <c r="D221" s="3382"/>
      <c r="E221" s="3382"/>
      <c r="F221" s="3382"/>
      <c r="G221" s="3382"/>
      <c r="H221" s="3382"/>
      <c r="I221" s="3382"/>
      <c r="J221" s="3382"/>
      <c r="K221" s="3382"/>
      <c r="L221" s="3382"/>
      <c r="M221" s="3384"/>
      <c r="N221" s="3379">
        <f>130/30</f>
        <v>4.333333333333333</v>
      </c>
      <c r="O221" s="3380">
        <f t="shared" si="66"/>
        <v>0</v>
      </c>
      <c r="P221" s="3380" t="s">
        <v>3993</v>
      </c>
      <c r="Q221" s="3379" t="s">
        <v>3994</v>
      </c>
      <c r="R221" s="3382">
        <v>0.08</v>
      </c>
      <c r="S221" s="3382">
        <v>30000</v>
      </c>
      <c r="T221" s="3382"/>
      <c r="Y221" s="3381">
        <f t="shared" si="54"/>
        <v>0</v>
      </c>
      <c r="Z221" s="3381">
        <f t="shared" si="55"/>
        <v>0</v>
      </c>
      <c r="AA221" s="3381">
        <f t="shared" si="56"/>
        <v>0</v>
      </c>
      <c r="AB221" s="3381">
        <f t="shared" si="57"/>
        <v>0</v>
      </c>
      <c r="AC221" s="3381">
        <f t="shared" si="58"/>
        <v>0</v>
      </c>
      <c r="AD221" s="3381">
        <f t="shared" si="59"/>
        <v>0</v>
      </c>
      <c r="AE221" s="3381">
        <f t="shared" si="60"/>
        <v>0</v>
      </c>
      <c r="AF221" s="3381">
        <f t="shared" si="61"/>
        <v>0</v>
      </c>
      <c r="AG221" s="3381">
        <f t="shared" si="62"/>
        <v>0</v>
      </c>
      <c r="AH221" s="3381">
        <f t="shared" si="63"/>
        <v>0</v>
      </c>
      <c r="AI221" s="3381">
        <f t="shared" si="64"/>
        <v>0</v>
      </c>
      <c r="AJ221" s="3381">
        <f t="shared" si="65"/>
        <v>0</v>
      </c>
    </row>
    <row r="222" spans="1:36" s="3381" customFormat="1">
      <c r="A222" s="3382"/>
      <c r="B222" s="3383"/>
      <c r="C222" s="3382"/>
      <c r="D222" s="3382"/>
      <c r="E222" s="3382"/>
      <c r="F222" s="3382"/>
      <c r="G222" s="3382"/>
      <c r="H222" s="3382"/>
      <c r="I222" s="3382"/>
      <c r="J222" s="3382"/>
      <c r="K222" s="3382"/>
      <c r="L222" s="3382"/>
      <c r="M222" s="3384"/>
      <c r="N222" s="3379">
        <f>140/30</f>
        <v>4.666666666666667</v>
      </c>
      <c r="O222" s="3380">
        <f t="shared" si="66"/>
        <v>0</v>
      </c>
      <c r="P222" s="3380" t="s">
        <v>3995</v>
      </c>
      <c r="Q222" s="3379" t="s">
        <v>3996</v>
      </c>
      <c r="R222" s="3382">
        <v>0.09</v>
      </c>
      <c r="S222" s="3382">
        <v>30000</v>
      </c>
      <c r="T222" s="3382"/>
      <c r="Y222" s="3381">
        <f t="shared" si="54"/>
        <v>0</v>
      </c>
      <c r="Z222" s="3381">
        <f t="shared" si="55"/>
        <v>0</v>
      </c>
      <c r="AA222" s="3381">
        <f t="shared" si="56"/>
        <v>0</v>
      </c>
      <c r="AB222" s="3381">
        <f t="shared" si="57"/>
        <v>0</v>
      </c>
      <c r="AC222" s="3381">
        <f t="shared" si="58"/>
        <v>0</v>
      </c>
      <c r="AD222" s="3381">
        <f t="shared" si="59"/>
        <v>0</v>
      </c>
      <c r="AE222" s="3381">
        <f t="shared" si="60"/>
        <v>0</v>
      </c>
      <c r="AF222" s="3381">
        <f t="shared" si="61"/>
        <v>0</v>
      </c>
      <c r="AG222" s="3381">
        <f t="shared" si="62"/>
        <v>0</v>
      </c>
      <c r="AH222" s="3381">
        <f t="shared" si="63"/>
        <v>0</v>
      </c>
      <c r="AI222" s="3381">
        <f t="shared" si="64"/>
        <v>0</v>
      </c>
      <c r="AJ222" s="3381">
        <f t="shared" si="65"/>
        <v>0</v>
      </c>
    </row>
    <row r="223" spans="1:36" s="3381" customFormat="1">
      <c r="A223" s="3382"/>
      <c r="B223" s="3383"/>
      <c r="C223" s="3382"/>
      <c r="D223" s="3382"/>
      <c r="E223" s="3382"/>
      <c r="F223" s="3382"/>
      <c r="G223" s="3382"/>
      <c r="H223" s="3382"/>
      <c r="I223" s="3382"/>
      <c r="J223" s="3382"/>
      <c r="K223" s="3382"/>
      <c r="L223" s="3382"/>
      <c r="M223" s="3384"/>
      <c r="N223" s="3379">
        <f>140/30</f>
        <v>4.666666666666667</v>
      </c>
      <c r="O223" s="3380">
        <f t="shared" si="66"/>
        <v>0</v>
      </c>
      <c r="P223" s="3380" t="s">
        <v>3997</v>
      </c>
      <c r="Q223" s="3379" t="s">
        <v>3998</v>
      </c>
      <c r="R223" s="3382">
        <v>0.09</v>
      </c>
      <c r="S223" s="3382">
        <v>30000</v>
      </c>
      <c r="T223" s="3382"/>
      <c r="Y223" s="3381">
        <f t="shared" si="54"/>
        <v>0</v>
      </c>
      <c r="Z223" s="3381">
        <f t="shared" si="55"/>
        <v>0</v>
      </c>
      <c r="AA223" s="3381">
        <f t="shared" si="56"/>
        <v>0</v>
      </c>
      <c r="AB223" s="3381">
        <f t="shared" si="57"/>
        <v>0</v>
      </c>
      <c r="AC223" s="3381">
        <f t="shared" si="58"/>
        <v>0</v>
      </c>
      <c r="AD223" s="3381">
        <f t="shared" si="59"/>
        <v>0</v>
      </c>
      <c r="AE223" s="3381">
        <f t="shared" si="60"/>
        <v>0</v>
      </c>
      <c r="AF223" s="3381">
        <f t="shared" si="61"/>
        <v>0</v>
      </c>
      <c r="AG223" s="3381">
        <f t="shared" si="62"/>
        <v>0</v>
      </c>
      <c r="AH223" s="3381">
        <f t="shared" si="63"/>
        <v>0</v>
      </c>
      <c r="AI223" s="3381">
        <f t="shared" si="64"/>
        <v>0</v>
      </c>
      <c r="AJ223" s="3381">
        <f t="shared" si="65"/>
        <v>0</v>
      </c>
    </row>
    <row r="224" spans="1:36" s="3381" customFormat="1">
      <c r="A224" s="3382"/>
      <c r="B224" s="3383"/>
      <c r="C224" s="3382"/>
      <c r="D224" s="3382"/>
      <c r="E224" s="3382"/>
      <c r="F224" s="3382"/>
      <c r="G224" s="3382"/>
      <c r="H224" s="3382"/>
      <c r="I224" s="3382"/>
      <c r="J224" s="3382"/>
      <c r="K224" s="3382"/>
      <c r="L224" s="3382"/>
      <c r="M224" s="3384"/>
      <c r="N224" s="3379">
        <f>150/30</f>
        <v>5</v>
      </c>
      <c r="O224" s="3380">
        <f t="shared" si="66"/>
        <v>0</v>
      </c>
      <c r="P224" s="3383" t="s">
        <v>3999</v>
      </c>
      <c r="Q224" s="3382" t="s">
        <v>4000</v>
      </c>
      <c r="R224" s="3382">
        <v>9.5000000000000001E-2</v>
      </c>
      <c r="S224" s="3382">
        <v>30000</v>
      </c>
      <c r="T224" s="3382"/>
      <c r="Y224" s="3381">
        <f t="shared" si="54"/>
        <v>0</v>
      </c>
      <c r="Z224" s="3381">
        <f t="shared" si="55"/>
        <v>0</v>
      </c>
      <c r="AA224" s="3381">
        <f t="shared" si="56"/>
        <v>0</v>
      </c>
      <c r="AB224" s="3381">
        <f t="shared" si="57"/>
        <v>0</v>
      </c>
      <c r="AC224" s="3381">
        <f t="shared" si="58"/>
        <v>0</v>
      </c>
      <c r="AD224" s="3381">
        <f t="shared" si="59"/>
        <v>0</v>
      </c>
      <c r="AE224" s="3381">
        <f t="shared" si="60"/>
        <v>0</v>
      </c>
      <c r="AF224" s="3381">
        <f t="shared" si="61"/>
        <v>0</v>
      </c>
      <c r="AG224" s="3381">
        <f t="shared" si="62"/>
        <v>0</v>
      </c>
      <c r="AH224" s="3381">
        <f t="shared" si="63"/>
        <v>0</v>
      </c>
      <c r="AI224" s="3381">
        <f t="shared" si="64"/>
        <v>0</v>
      </c>
      <c r="AJ224" s="3381">
        <f t="shared" si="65"/>
        <v>0</v>
      </c>
    </row>
    <row r="225" spans="1:36" s="3381" customFormat="1">
      <c r="A225" s="3382"/>
      <c r="B225" s="3387"/>
      <c r="C225" s="3385"/>
      <c r="D225" s="3385"/>
      <c r="E225" s="3385"/>
      <c r="F225" s="3385"/>
      <c r="G225" s="3385"/>
      <c r="H225" s="3385"/>
      <c r="I225" s="3385"/>
      <c r="J225" s="3385"/>
      <c r="K225" s="3385"/>
      <c r="L225" s="3385"/>
      <c r="M225" s="3386"/>
      <c r="N225" s="3379">
        <f>150/30</f>
        <v>5</v>
      </c>
      <c r="O225" s="3380">
        <f t="shared" si="66"/>
        <v>0</v>
      </c>
      <c r="P225" s="3387" t="s">
        <v>4001</v>
      </c>
      <c r="Q225" s="3385" t="s">
        <v>4002</v>
      </c>
      <c r="R225" s="3385">
        <v>9.5000000000000001E-2</v>
      </c>
      <c r="S225" s="3385">
        <v>30000</v>
      </c>
      <c r="T225" s="3385"/>
      <c r="Y225" s="3381">
        <f t="shared" si="54"/>
        <v>0</v>
      </c>
      <c r="Z225" s="3381">
        <f t="shared" si="55"/>
        <v>0</v>
      </c>
      <c r="AA225" s="3381">
        <f t="shared" si="56"/>
        <v>0</v>
      </c>
      <c r="AB225" s="3381">
        <f t="shared" si="57"/>
        <v>0</v>
      </c>
      <c r="AC225" s="3381">
        <f t="shared" si="58"/>
        <v>0</v>
      </c>
      <c r="AD225" s="3381">
        <f t="shared" si="59"/>
        <v>0</v>
      </c>
      <c r="AE225" s="3381">
        <f t="shared" si="60"/>
        <v>0</v>
      </c>
      <c r="AF225" s="3381">
        <f t="shared" si="61"/>
        <v>0</v>
      </c>
      <c r="AG225" s="3381">
        <f t="shared" si="62"/>
        <v>0</v>
      </c>
      <c r="AH225" s="3381">
        <f t="shared" si="63"/>
        <v>0</v>
      </c>
      <c r="AI225" s="3381">
        <f t="shared" si="64"/>
        <v>0</v>
      </c>
      <c r="AJ225" s="3381">
        <f t="shared" si="65"/>
        <v>0</v>
      </c>
    </row>
    <row r="226" spans="1:36" s="3381" customFormat="1" ht="24">
      <c r="A226" s="3382"/>
      <c r="B226" s="3376" t="s">
        <v>4003</v>
      </c>
      <c r="C226" s="3375"/>
      <c r="D226" s="3375"/>
      <c r="E226" s="3375"/>
      <c r="F226" s="3375"/>
      <c r="G226" s="3375"/>
      <c r="H226" s="3375" t="s">
        <v>4004</v>
      </c>
      <c r="I226" s="3375"/>
      <c r="J226" s="3375"/>
      <c r="K226" s="3375"/>
      <c r="L226" s="3375"/>
      <c r="M226" s="3378" t="s">
        <v>4005</v>
      </c>
      <c r="N226" s="3379"/>
      <c r="O226" s="3380">
        <f t="shared" si="66"/>
        <v>0</v>
      </c>
      <c r="P226" s="3376" t="s">
        <v>3805</v>
      </c>
      <c r="Q226" s="3375"/>
      <c r="R226" s="3375"/>
      <c r="S226" s="3375" t="s">
        <v>4006</v>
      </c>
      <c r="T226" s="3375"/>
      <c r="Y226" s="3381">
        <f t="shared" si="54"/>
        <v>0</v>
      </c>
      <c r="Z226" s="3381">
        <f t="shared" si="55"/>
        <v>0</v>
      </c>
      <c r="AA226" s="3381">
        <f t="shared" si="56"/>
        <v>0</v>
      </c>
      <c r="AB226" s="3381">
        <f t="shared" si="57"/>
        <v>0</v>
      </c>
      <c r="AC226" s="3381">
        <f t="shared" si="58"/>
        <v>0</v>
      </c>
      <c r="AD226" s="3381">
        <f t="shared" si="59"/>
        <v>0</v>
      </c>
      <c r="AE226" s="3381">
        <f t="shared" si="60"/>
        <v>0</v>
      </c>
      <c r="AF226" s="3381">
        <f t="shared" si="61"/>
        <v>0</v>
      </c>
      <c r="AG226" s="3381">
        <f t="shared" si="62"/>
        <v>0</v>
      </c>
      <c r="AH226" s="3381">
        <f t="shared" si="63"/>
        <v>0</v>
      </c>
      <c r="AI226" s="3381">
        <f t="shared" si="64"/>
        <v>0</v>
      </c>
      <c r="AJ226" s="3381">
        <f t="shared" si="65"/>
        <v>0</v>
      </c>
    </row>
    <row r="227" spans="1:36" s="3381" customFormat="1">
      <c r="A227" s="3382"/>
      <c r="B227" s="3383"/>
      <c r="C227" s="3382"/>
      <c r="D227" s="3382"/>
      <c r="E227" s="3382"/>
      <c r="F227" s="3382"/>
      <c r="G227" s="3382"/>
      <c r="H227" s="3382"/>
      <c r="I227" s="3382"/>
      <c r="J227" s="3382"/>
      <c r="K227" s="3382"/>
      <c r="L227" s="3382"/>
      <c r="M227" s="3384"/>
      <c r="N227" s="3379"/>
      <c r="O227" s="3380">
        <f t="shared" si="66"/>
        <v>0</v>
      </c>
      <c r="P227" s="3383" t="s">
        <v>4007</v>
      </c>
      <c r="Q227" s="3382"/>
      <c r="R227" s="3382"/>
      <c r="S227" s="3382" t="s">
        <v>4008</v>
      </c>
      <c r="T227" s="3382"/>
      <c r="Y227" s="3381">
        <f t="shared" si="54"/>
        <v>0</v>
      </c>
      <c r="Z227" s="3381">
        <f t="shared" si="55"/>
        <v>0</v>
      </c>
      <c r="AA227" s="3381">
        <f t="shared" si="56"/>
        <v>0</v>
      </c>
      <c r="AB227" s="3381">
        <f t="shared" si="57"/>
        <v>0</v>
      </c>
      <c r="AC227" s="3381">
        <f t="shared" si="58"/>
        <v>0</v>
      </c>
      <c r="AD227" s="3381">
        <f t="shared" si="59"/>
        <v>0</v>
      </c>
      <c r="AE227" s="3381">
        <f t="shared" si="60"/>
        <v>0</v>
      </c>
      <c r="AF227" s="3381">
        <f t="shared" si="61"/>
        <v>0</v>
      </c>
      <c r="AG227" s="3381">
        <f t="shared" si="62"/>
        <v>0</v>
      </c>
      <c r="AH227" s="3381">
        <f t="shared" si="63"/>
        <v>0</v>
      </c>
      <c r="AI227" s="3381">
        <f t="shared" si="64"/>
        <v>0</v>
      </c>
      <c r="AJ227" s="3381">
        <f t="shared" si="65"/>
        <v>0</v>
      </c>
    </row>
    <row r="228" spans="1:36" s="3381" customFormat="1">
      <c r="A228" s="3385"/>
      <c r="B228" s="3387"/>
      <c r="C228" s="3385"/>
      <c r="D228" s="3385"/>
      <c r="E228" s="3385"/>
      <c r="F228" s="3385"/>
      <c r="G228" s="3385"/>
      <c r="H228" s="3385"/>
      <c r="I228" s="3385"/>
      <c r="J228" s="3385"/>
      <c r="K228" s="3385"/>
      <c r="L228" s="3385"/>
      <c r="M228" s="3386"/>
      <c r="N228" s="3379"/>
      <c r="O228" s="3380">
        <f t="shared" si="66"/>
        <v>0</v>
      </c>
      <c r="P228" s="3387" t="s">
        <v>4009</v>
      </c>
      <c r="Q228" s="3385"/>
      <c r="R228" s="3385"/>
      <c r="S228" s="3385" t="s">
        <v>4009</v>
      </c>
      <c r="T228" s="3385"/>
      <c r="Y228" s="3381">
        <f t="shared" si="54"/>
        <v>0</v>
      </c>
      <c r="Z228" s="3381">
        <f t="shared" si="55"/>
        <v>0</v>
      </c>
      <c r="AA228" s="3381">
        <f t="shared" si="56"/>
        <v>0</v>
      </c>
      <c r="AB228" s="3381">
        <f t="shared" si="57"/>
        <v>0</v>
      </c>
      <c r="AC228" s="3381">
        <f t="shared" si="58"/>
        <v>0</v>
      </c>
      <c r="AD228" s="3381">
        <f t="shared" si="59"/>
        <v>0</v>
      </c>
      <c r="AE228" s="3381">
        <f t="shared" si="60"/>
        <v>0</v>
      </c>
      <c r="AF228" s="3381">
        <f t="shared" si="61"/>
        <v>0</v>
      </c>
      <c r="AG228" s="3381">
        <f t="shared" si="62"/>
        <v>0</v>
      </c>
      <c r="AH228" s="3381">
        <f t="shared" si="63"/>
        <v>0</v>
      </c>
      <c r="AI228" s="3381">
        <f t="shared" si="64"/>
        <v>0</v>
      </c>
      <c r="AJ228" s="3381">
        <f t="shared" si="65"/>
        <v>0</v>
      </c>
    </row>
    <row r="229" spans="1:36" s="3352" customFormat="1">
      <c r="A229" s="3347">
        <v>61</v>
      </c>
      <c r="B229" s="3347" t="s">
        <v>4010</v>
      </c>
      <c r="C229" s="3347" t="s">
        <v>4011</v>
      </c>
      <c r="D229" s="3347"/>
      <c r="E229" s="3347"/>
      <c r="F229" s="3348" t="s">
        <v>3166</v>
      </c>
      <c r="G229" s="3347"/>
      <c r="H229" s="3347" t="s">
        <v>4012</v>
      </c>
      <c r="I229" s="3347">
        <v>18.22</v>
      </c>
      <c r="J229" s="3347">
        <v>12.76</v>
      </c>
      <c r="K229" s="3347" t="s">
        <v>3372</v>
      </c>
      <c r="L229" s="3347"/>
      <c r="M229" s="3349">
        <v>3</v>
      </c>
      <c r="N229" s="3350"/>
      <c r="O229" s="3380">
        <f t="shared" si="66"/>
        <v>0</v>
      </c>
      <c r="P229" s="3358" t="s">
        <v>4013</v>
      </c>
      <c r="Q229" s="3347" t="s">
        <v>4014</v>
      </c>
      <c r="R229" s="3350">
        <v>0.1</v>
      </c>
      <c r="S229" s="3347">
        <v>1275.4000000000001</v>
      </c>
      <c r="T229" s="3347">
        <v>182.2</v>
      </c>
      <c r="Y229" s="3381">
        <f t="shared" si="54"/>
        <v>0</v>
      </c>
      <c r="Z229" s="3381">
        <f t="shared" si="55"/>
        <v>0</v>
      </c>
      <c r="AA229" s="3381">
        <f t="shared" si="56"/>
        <v>0</v>
      </c>
      <c r="AB229" s="3381">
        <f t="shared" si="57"/>
        <v>0</v>
      </c>
      <c r="AC229" s="3381">
        <f t="shared" si="58"/>
        <v>0</v>
      </c>
      <c r="AD229" s="3381">
        <f t="shared" si="59"/>
        <v>0</v>
      </c>
      <c r="AE229" s="3381">
        <f t="shared" si="60"/>
        <v>0</v>
      </c>
      <c r="AF229" s="3381">
        <f t="shared" si="61"/>
        <v>0</v>
      </c>
      <c r="AG229" s="3381">
        <f t="shared" si="62"/>
        <v>0</v>
      </c>
      <c r="AH229" s="3381">
        <f t="shared" si="63"/>
        <v>0</v>
      </c>
      <c r="AI229" s="3381">
        <f t="shared" si="64"/>
        <v>0</v>
      </c>
      <c r="AJ229" s="3381">
        <f t="shared" si="65"/>
        <v>0</v>
      </c>
    </row>
    <row r="230" spans="1:36" s="3352" customFormat="1">
      <c r="A230" s="3353"/>
      <c r="B230" s="3353"/>
      <c r="C230" s="3353"/>
      <c r="D230" s="3353"/>
      <c r="E230" s="3353"/>
      <c r="F230" s="3353"/>
      <c r="G230" s="3353"/>
      <c r="H230" s="3353"/>
      <c r="I230" s="3353"/>
      <c r="J230" s="3353"/>
      <c r="K230" s="3353"/>
      <c r="L230" s="3353"/>
      <c r="M230" s="3354"/>
      <c r="N230" s="3350"/>
      <c r="O230" s="3380">
        <f t="shared" si="66"/>
        <v>0</v>
      </c>
      <c r="P230" s="3362"/>
      <c r="Q230" s="3353"/>
      <c r="R230" s="3350">
        <v>0.11</v>
      </c>
      <c r="S230" s="3353"/>
      <c r="T230" s="3353"/>
      <c r="Y230" s="3381">
        <f t="shared" si="54"/>
        <v>0</v>
      </c>
      <c r="Z230" s="3381">
        <f t="shared" si="55"/>
        <v>0</v>
      </c>
      <c r="AA230" s="3381">
        <f t="shared" si="56"/>
        <v>0</v>
      </c>
      <c r="AB230" s="3381">
        <f t="shared" si="57"/>
        <v>0</v>
      </c>
      <c r="AC230" s="3381">
        <f t="shared" si="58"/>
        <v>0</v>
      </c>
      <c r="AD230" s="3381">
        <f t="shared" si="59"/>
        <v>0</v>
      </c>
      <c r="AE230" s="3381">
        <f t="shared" si="60"/>
        <v>0</v>
      </c>
      <c r="AF230" s="3381">
        <f t="shared" si="61"/>
        <v>0</v>
      </c>
      <c r="AG230" s="3381">
        <f t="shared" si="62"/>
        <v>0</v>
      </c>
      <c r="AH230" s="3381">
        <f t="shared" si="63"/>
        <v>0</v>
      </c>
      <c r="AI230" s="3381">
        <f t="shared" si="64"/>
        <v>0</v>
      </c>
      <c r="AJ230" s="3381">
        <f t="shared" si="65"/>
        <v>0</v>
      </c>
    </row>
    <row r="231" spans="1:36" s="3352" customFormat="1">
      <c r="A231" s="3355"/>
      <c r="B231" s="3355"/>
      <c r="C231" s="3355"/>
      <c r="D231" s="3355"/>
      <c r="E231" s="3355"/>
      <c r="F231" s="3355"/>
      <c r="G231" s="3355"/>
      <c r="H231" s="3355"/>
      <c r="I231" s="3355"/>
      <c r="J231" s="3355"/>
      <c r="K231" s="3355"/>
      <c r="L231" s="3355"/>
      <c r="M231" s="3356"/>
      <c r="N231" s="3350"/>
      <c r="O231" s="3380">
        <f t="shared" si="66"/>
        <v>0</v>
      </c>
      <c r="P231" s="3359"/>
      <c r="Q231" s="3355"/>
      <c r="R231" s="3350">
        <v>0.12</v>
      </c>
      <c r="S231" s="3355"/>
      <c r="T231" s="3355"/>
      <c r="Y231" s="3381">
        <f t="shared" si="54"/>
        <v>0</v>
      </c>
      <c r="Z231" s="3381">
        <f t="shared" si="55"/>
        <v>0</v>
      </c>
      <c r="AA231" s="3381">
        <f t="shared" si="56"/>
        <v>0</v>
      </c>
      <c r="AB231" s="3381">
        <f t="shared" si="57"/>
        <v>0</v>
      </c>
      <c r="AC231" s="3381">
        <f t="shared" si="58"/>
        <v>0</v>
      </c>
      <c r="AD231" s="3381">
        <f t="shared" si="59"/>
        <v>0</v>
      </c>
      <c r="AE231" s="3381">
        <f t="shared" si="60"/>
        <v>0</v>
      </c>
      <c r="AF231" s="3381">
        <f t="shared" si="61"/>
        <v>0</v>
      </c>
      <c r="AG231" s="3381">
        <f t="shared" si="62"/>
        <v>0</v>
      </c>
      <c r="AH231" s="3381">
        <f t="shared" si="63"/>
        <v>0</v>
      </c>
      <c r="AI231" s="3381">
        <f t="shared" si="64"/>
        <v>0</v>
      </c>
      <c r="AJ231" s="3381">
        <f t="shared" si="65"/>
        <v>0</v>
      </c>
    </row>
    <row r="232" spans="1:36" s="3381" customFormat="1">
      <c r="A232" s="3375">
        <v>62</v>
      </c>
      <c r="B232" s="3375" t="s">
        <v>4015</v>
      </c>
      <c r="C232" s="3375" t="s">
        <v>4016</v>
      </c>
      <c r="D232" s="3375"/>
      <c r="E232" s="3375"/>
      <c r="F232" s="3375"/>
      <c r="G232" s="3377" t="s">
        <v>3791</v>
      </c>
      <c r="H232" s="3377" t="s">
        <v>4017</v>
      </c>
      <c r="I232" s="3375">
        <v>63.5</v>
      </c>
      <c r="J232" s="3375">
        <v>44.45</v>
      </c>
      <c r="K232" s="3375" t="s">
        <v>4018</v>
      </c>
      <c r="L232" s="3375"/>
      <c r="M232" s="3378">
        <v>3</v>
      </c>
      <c r="N232" s="3379"/>
      <c r="O232" s="3380">
        <f t="shared" si="66"/>
        <v>0</v>
      </c>
      <c r="P232" s="3376" t="s">
        <v>4014</v>
      </c>
      <c r="Q232" s="3375" t="s">
        <v>4014</v>
      </c>
      <c r="R232" s="3379" t="s">
        <v>4019</v>
      </c>
      <c r="S232" s="3375">
        <v>4445</v>
      </c>
      <c r="T232" s="3375">
        <v>635</v>
      </c>
      <c r="Y232" s="3381">
        <f t="shared" si="54"/>
        <v>0</v>
      </c>
      <c r="Z232" s="3381">
        <f t="shared" si="55"/>
        <v>0</v>
      </c>
      <c r="AA232" s="3381">
        <f t="shared" si="56"/>
        <v>0</v>
      </c>
      <c r="AB232" s="3381">
        <f t="shared" si="57"/>
        <v>0</v>
      </c>
      <c r="AC232" s="3381">
        <f t="shared" si="58"/>
        <v>0</v>
      </c>
      <c r="AD232" s="3381">
        <f t="shared" si="59"/>
        <v>0</v>
      </c>
      <c r="AE232" s="3381">
        <f t="shared" si="60"/>
        <v>0</v>
      </c>
      <c r="AF232" s="3381">
        <f t="shared" si="61"/>
        <v>0</v>
      </c>
      <c r="AG232" s="3381">
        <f t="shared" si="62"/>
        <v>0</v>
      </c>
      <c r="AH232" s="3381">
        <f t="shared" si="63"/>
        <v>0</v>
      </c>
      <c r="AI232" s="3381">
        <f t="shared" si="64"/>
        <v>0</v>
      </c>
      <c r="AJ232" s="3381">
        <f t="shared" si="65"/>
        <v>0</v>
      </c>
    </row>
    <row r="233" spans="1:36" s="3381" customFormat="1">
      <c r="A233" s="3382"/>
      <c r="B233" s="3382"/>
      <c r="C233" s="3382"/>
      <c r="D233" s="3382"/>
      <c r="E233" s="3382"/>
      <c r="F233" s="3382"/>
      <c r="G233" s="3382"/>
      <c r="H233" s="3382"/>
      <c r="I233" s="3382"/>
      <c r="J233" s="3382"/>
      <c r="K233" s="3382"/>
      <c r="L233" s="3382"/>
      <c r="M233" s="3384"/>
      <c r="N233" s="3379"/>
      <c r="O233" s="3380">
        <f t="shared" si="66"/>
        <v>0</v>
      </c>
      <c r="P233" s="3383"/>
      <c r="Q233" s="3382"/>
      <c r="R233" s="3379" t="s">
        <v>4020</v>
      </c>
      <c r="S233" s="3382"/>
      <c r="T233" s="3382"/>
      <c r="Y233" s="3381">
        <f t="shared" si="54"/>
        <v>0</v>
      </c>
      <c r="Z233" s="3381">
        <f t="shared" si="55"/>
        <v>0</v>
      </c>
      <c r="AA233" s="3381">
        <f t="shared" si="56"/>
        <v>0</v>
      </c>
      <c r="AB233" s="3381">
        <f t="shared" si="57"/>
        <v>0</v>
      </c>
      <c r="AC233" s="3381">
        <f t="shared" si="58"/>
        <v>0</v>
      </c>
      <c r="AD233" s="3381">
        <f t="shared" si="59"/>
        <v>0</v>
      </c>
      <c r="AE233" s="3381">
        <f t="shared" si="60"/>
        <v>0</v>
      </c>
      <c r="AF233" s="3381">
        <f t="shared" si="61"/>
        <v>0</v>
      </c>
      <c r="AG233" s="3381">
        <f t="shared" si="62"/>
        <v>0</v>
      </c>
      <c r="AH233" s="3381">
        <f t="shared" si="63"/>
        <v>0</v>
      </c>
      <c r="AI233" s="3381">
        <f t="shared" si="64"/>
        <v>0</v>
      </c>
      <c r="AJ233" s="3381">
        <f t="shared" si="65"/>
        <v>0</v>
      </c>
    </row>
    <row r="234" spans="1:36" s="3381" customFormat="1">
      <c r="A234" s="3382"/>
      <c r="B234" s="3382"/>
      <c r="C234" s="3382"/>
      <c r="D234" s="3382"/>
      <c r="E234" s="3382"/>
      <c r="F234" s="3382"/>
      <c r="G234" s="3382"/>
      <c r="H234" s="3385"/>
      <c r="I234" s="3385"/>
      <c r="J234" s="3385"/>
      <c r="K234" s="3385"/>
      <c r="L234" s="3385"/>
      <c r="M234" s="3386"/>
      <c r="N234" s="3379"/>
      <c r="O234" s="3380">
        <f t="shared" si="66"/>
        <v>0</v>
      </c>
      <c r="P234" s="3387"/>
      <c r="Q234" s="3385"/>
      <c r="R234" s="3379" t="s">
        <v>4021</v>
      </c>
      <c r="S234" s="3385"/>
      <c r="T234" s="3385"/>
      <c r="Y234" s="3381">
        <f t="shared" si="54"/>
        <v>0</v>
      </c>
      <c r="Z234" s="3381">
        <f t="shared" si="55"/>
        <v>0</v>
      </c>
      <c r="AA234" s="3381">
        <f t="shared" si="56"/>
        <v>0</v>
      </c>
      <c r="AB234" s="3381">
        <f t="shared" si="57"/>
        <v>0</v>
      </c>
      <c r="AC234" s="3381">
        <f t="shared" si="58"/>
        <v>0</v>
      </c>
      <c r="AD234" s="3381">
        <f t="shared" si="59"/>
        <v>0</v>
      </c>
      <c r="AE234" s="3381">
        <f t="shared" si="60"/>
        <v>0</v>
      </c>
      <c r="AF234" s="3381">
        <f t="shared" si="61"/>
        <v>0</v>
      </c>
      <c r="AG234" s="3381">
        <f t="shared" si="62"/>
        <v>0</v>
      </c>
      <c r="AH234" s="3381">
        <f t="shared" si="63"/>
        <v>0</v>
      </c>
      <c r="AI234" s="3381">
        <f t="shared" si="64"/>
        <v>0</v>
      </c>
      <c r="AJ234" s="3381">
        <f t="shared" si="65"/>
        <v>0</v>
      </c>
    </row>
    <row r="235" spans="1:36" s="3381" customFormat="1">
      <c r="A235" s="3378">
        <v>63</v>
      </c>
      <c r="B235" s="3378" t="s">
        <v>4022</v>
      </c>
      <c r="C235" s="3378" t="s">
        <v>4023</v>
      </c>
      <c r="D235" s="3378" t="s">
        <v>4024</v>
      </c>
      <c r="E235" s="3378" t="s">
        <v>4024</v>
      </c>
      <c r="F235" s="3388" t="s">
        <v>3791</v>
      </c>
      <c r="G235" s="3375"/>
      <c r="H235" s="3376" t="s">
        <v>4025</v>
      </c>
      <c r="I235" s="3375">
        <v>70.23</v>
      </c>
      <c r="J235" s="3375">
        <v>49.16</v>
      </c>
      <c r="K235" s="3375" t="s">
        <v>4026</v>
      </c>
      <c r="L235" s="3375" t="s">
        <v>4027</v>
      </c>
      <c r="M235" s="3378">
        <v>5</v>
      </c>
      <c r="N235" s="3379">
        <f>285/30</f>
        <v>9.5</v>
      </c>
      <c r="O235" s="3380">
        <f t="shared" si="66"/>
        <v>667.18500000000006</v>
      </c>
      <c r="P235" s="3380" t="s">
        <v>4028</v>
      </c>
      <c r="Q235" s="3379" t="s">
        <v>4029</v>
      </c>
      <c r="R235" s="3379">
        <v>0.1</v>
      </c>
      <c r="S235" s="3375">
        <v>24605</v>
      </c>
      <c r="T235" s="3375">
        <v>3515</v>
      </c>
      <c r="Y235" s="3381">
        <f t="shared" si="54"/>
        <v>117424.56000000001</v>
      </c>
      <c r="Z235" s="3381">
        <f t="shared" si="55"/>
        <v>242855.34000000003</v>
      </c>
      <c r="AA235" s="3381">
        <f t="shared" si="56"/>
        <v>242855.34000000003</v>
      </c>
      <c r="AB235" s="3381">
        <f t="shared" si="57"/>
        <v>242855.34000000003</v>
      </c>
      <c r="AC235" s="3381">
        <f t="shared" si="58"/>
        <v>243522.52500000002</v>
      </c>
      <c r="AD235" s="3381">
        <f t="shared" si="59"/>
        <v>242855.34000000003</v>
      </c>
      <c r="AE235" s="3381">
        <f t="shared" si="60"/>
        <v>242855.34000000003</v>
      </c>
      <c r="AF235" s="3381">
        <f t="shared" si="61"/>
        <v>242855.34000000003</v>
      </c>
      <c r="AG235" s="3381">
        <f t="shared" si="62"/>
        <v>243522.52500000002</v>
      </c>
      <c r="AH235" s="3381">
        <f t="shared" si="63"/>
        <v>242855.34000000003</v>
      </c>
      <c r="AI235" s="3381">
        <f t="shared" si="64"/>
        <v>242855.34000000003</v>
      </c>
      <c r="AJ235" s="3381">
        <f t="shared" si="65"/>
        <v>242855.34000000003</v>
      </c>
    </row>
    <row r="236" spans="1:36" s="3381" customFormat="1">
      <c r="A236" s="3384"/>
      <c r="B236" s="3384"/>
      <c r="C236" s="3384"/>
      <c r="D236" s="3384"/>
      <c r="E236" s="3384"/>
      <c r="F236" s="3384"/>
      <c r="G236" s="3382"/>
      <c r="H236" s="3383" t="s">
        <v>4030</v>
      </c>
      <c r="I236" s="3382">
        <v>281.26</v>
      </c>
      <c r="J236" s="3382">
        <v>196.88</v>
      </c>
      <c r="K236" s="3382"/>
      <c r="L236" s="3382"/>
      <c r="M236" s="3384"/>
      <c r="N236" s="3379">
        <f>285/30</f>
        <v>9.5</v>
      </c>
      <c r="O236" s="3380">
        <f t="shared" si="66"/>
        <v>2671.97</v>
      </c>
      <c r="P236" s="3380" t="s">
        <v>4031</v>
      </c>
      <c r="Q236" s="3379" t="s">
        <v>4032</v>
      </c>
      <c r="R236" s="3379">
        <v>0.1</v>
      </c>
      <c r="S236" s="3382"/>
      <c r="T236" s="3382"/>
      <c r="Y236" s="3381">
        <f t="shared" si="54"/>
        <v>470266.72</v>
      </c>
      <c r="Z236" s="3381">
        <f t="shared" si="55"/>
        <v>972597.08</v>
      </c>
      <c r="AA236" s="3381">
        <f t="shared" si="56"/>
        <v>972597.08</v>
      </c>
      <c r="AB236" s="3381">
        <f t="shared" si="57"/>
        <v>972597.08</v>
      </c>
      <c r="AC236" s="3381">
        <f t="shared" si="58"/>
        <v>975269.04999999993</v>
      </c>
      <c r="AD236" s="3381">
        <f t="shared" si="59"/>
        <v>972597.08</v>
      </c>
      <c r="AE236" s="3381">
        <f t="shared" si="60"/>
        <v>972597.08</v>
      </c>
      <c r="AF236" s="3381">
        <f t="shared" si="61"/>
        <v>972597.08</v>
      </c>
      <c r="AG236" s="3381">
        <f t="shared" si="62"/>
        <v>975269.04999999993</v>
      </c>
      <c r="AH236" s="3381">
        <f t="shared" si="63"/>
        <v>972597.08</v>
      </c>
      <c r="AI236" s="3381">
        <f t="shared" si="64"/>
        <v>972597.08</v>
      </c>
      <c r="AJ236" s="3381">
        <f t="shared" si="65"/>
        <v>972597.08</v>
      </c>
    </row>
    <row r="237" spans="1:36" s="3381" customFormat="1">
      <c r="A237" s="3384"/>
      <c r="B237" s="3384"/>
      <c r="C237" s="3384"/>
      <c r="D237" s="3384"/>
      <c r="E237" s="3384"/>
      <c r="F237" s="3384"/>
      <c r="G237" s="3382"/>
      <c r="H237" s="3383"/>
      <c r="I237" s="3382"/>
      <c r="J237" s="3382"/>
      <c r="K237" s="3382"/>
      <c r="L237" s="3382"/>
      <c r="M237" s="3384"/>
      <c r="N237" s="3379">
        <f>315/30</f>
        <v>10.5</v>
      </c>
      <c r="O237" s="3380">
        <f t="shared" si="66"/>
        <v>0</v>
      </c>
      <c r="P237" s="3380" t="s">
        <v>4033</v>
      </c>
      <c r="Q237" s="3379" t="s">
        <v>4034</v>
      </c>
      <c r="R237" s="3379">
        <v>0.11</v>
      </c>
      <c r="S237" s="3382"/>
      <c r="T237" s="3382"/>
      <c r="Y237" s="3381">
        <f t="shared" si="54"/>
        <v>0</v>
      </c>
      <c r="Z237" s="3381">
        <f t="shared" si="55"/>
        <v>0</v>
      </c>
      <c r="AA237" s="3381">
        <f t="shared" si="56"/>
        <v>0</v>
      </c>
      <c r="AB237" s="3381">
        <f t="shared" si="57"/>
        <v>0</v>
      </c>
      <c r="AC237" s="3381">
        <f t="shared" si="58"/>
        <v>0</v>
      </c>
      <c r="AD237" s="3381">
        <f t="shared" si="59"/>
        <v>0</v>
      </c>
      <c r="AE237" s="3381">
        <f t="shared" si="60"/>
        <v>0</v>
      </c>
      <c r="AF237" s="3381">
        <f t="shared" si="61"/>
        <v>0</v>
      </c>
      <c r="AG237" s="3381">
        <f t="shared" si="62"/>
        <v>0</v>
      </c>
      <c r="AH237" s="3381">
        <f t="shared" si="63"/>
        <v>0</v>
      </c>
      <c r="AI237" s="3381">
        <f t="shared" si="64"/>
        <v>0</v>
      </c>
      <c r="AJ237" s="3381">
        <f t="shared" si="65"/>
        <v>0</v>
      </c>
    </row>
    <row r="238" spans="1:36" s="3381" customFormat="1" ht="24">
      <c r="A238" s="3384"/>
      <c r="B238" s="3384"/>
      <c r="C238" s="3384"/>
      <c r="D238" s="3384"/>
      <c r="E238" s="3384"/>
      <c r="F238" s="3384"/>
      <c r="G238" s="3382"/>
      <c r="H238" s="3383"/>
      <c r="I238" s="3385"/>
      <c r="J238" s="3385"/>
      <c r="K238" s="3382"/>
      <c r="L238" s="3382"/>
      <c r="M238" s="3384"/>
      <c r="N238" s="3379">
        <f>315/30</f>
        <v>10.5</v>
      </c>
      <c r="O238" s="3380">
        <f t="shared" si="66"/>
        <v>0</v>
      </c>
      <c r="P238" s="3380" t="s">
        <v>4035</v>
      </c>
      <c r="Q238" s="3379" t="s">
        <v>4036</v>
      </c>
      <c r="R238" s="3379">
        <v>0.11</v>
      </c>
      <c r="S238" s="3382"/>
      <c r="T238" s="3382"/>
      <c r="Y238" s="3381">
        <f t="shared" si="54"/>
        <v>0</v>
      </c>
      <c r="Z238" s="3381">
        <f t="shared" si="55"/>
        <v>0</v>
      </c>
      <c r="AA238" s="3381">
        <f t="shared" si="56"/>
        <v>0</v>
      </c>
      <c r="AB238" s="3381">
        <f t="shared" si="57"/>
        <v>0</v>
      </c>
      <c r="AC238" s="3381">
        <f t="shared" si="58"/>
        <v>0</v>
      </c>
      <c r="AD238" s="3381">
        <f t="shared" si="59"/>
        <v>0</v>
      </c>
      <c r="AE238" s="3381">
        <f t="shared" si="60"/>
        <v>0</v>
      </c>
      <c r="AF238" s="3381">
        <f t="shared" si="61"/>
        <v>0</v>
      </c>
      <c r="AG238" s="3381">
        <f t="shared" si="62"/>
        <v>0</v>
      </c>
      <c r="AH238" s="3381">
        <f t="shared" si="63"/>
        <v>0</v>
      </c>
      <c r="AI238" s="3381">
        <f t="shared" si="64"/>
        <v>0</v>
      </c>
      <c r="AJ238" s="3381">
        <f t="shared" si="65"/>
        <v>0</v>
      </c>
    </row>
    <row r="239" spans="1:36" s="3381" customFormat="1">
      <c r="A239" s="3384"/>
      <c r="B239" s="3384"/>
      <c r="C239" s="3384"/>
      <c r="D239" s="3384"/>
      <c r="E239" s="3384"/>
      <c r="F239" s="3384"/>
      <c r="G239" s="3382"/>
      <c r="H239" s="3387"/>
      <c r="I239" s="3379">
        <v>351.5</v>
      </c>
      <c r="J239" s="3379">
        <v>246.1</v>
      </c>
      <c r="K239" s="3385"/>
      <c r="L239" s="3385"/>
      <c r="M239" s="3386"/>
      <c r="N239" s="3379">
        <f>345/30</f>
        <v>11.5</v>
      </c>
      <c r="O239" s="3380">
        <f t="shared" si="66"/>
        <v>4042.25</v>
      </c>
      <c r="P239" s="3380" t="s">
        <v>4037</v>
      </c>
      <c r="Q239" s="3379" t="s">
        <v>4038</v>
      </c>
      <c r="R239" s="3379">
        <v>0.12</v>
      </c>
      <c r="S239" s="3385"/>
      <c r="T239" s="3385"/>
      <c r="Y239" s="3381">
        <f t="shared" si="54"/>
        <v>711436</v>
      </c>
      <c r="Z239" s="3381">
        <f t="shared" si="55"/>
        <v>1471379</v>
      </c>
      <c r="AA239" s="3381">
        <f t="shared" si="56"/>
        <v>1471379</v>
      </c>
      <c r="AB239" s="3381">
        <f t="shared" si="57"/>
        <v>1471379</v>
      </c>
      <c r="AC239" s="3381">
        <f t="shared" si="58"/>
        <v>1475421.25</v>
      </c>
      <c r="AD239" s="3381">
        <f t="shared" si="59"/>
        <v>1471379</v>
      </c>
      <c r="AE239" s="3381">
        <f t="shared" si="60"/>
        <v>1471379</v>
      </c>
      <c r="AF239" s="3381">
        <f t="shared" si="61"/>
        <v>1471379</v>
      </c>
      <c r="AG239" s="3381">
        <f t="shared" si="62"/>
        <v>1475421.25</v>
      </c>
      <c r="AH239" s="3381">
        <f t="shared" si="63"/>
        <v>1471379</v>
      </c>
      <c r="AI239" s="3381">
        <f t="shared" si="64"/>
        <v>1471379</v>
      </c>
      <c r="AJ239" s="3381">
        <f t="shared" si="65"/>
        <v>1471379</v>
      </c>
    </row>
    <row r="240" spans="1:36" s="3381" customFormat="1">
      <c r="A240" s="3384"/>
      <c r="B240" s="3384"/>
      <c r="C240" s="3384"/>
      <c r="D240" s="3384"/>
      <c r="E240" s="3384"/>
      <c r="F240" s="3384"/>
      <c r="G240" s="3382"/>
      <c r="H240" s="3376" t="s">
        <v>4039</v>
      </c>
      <c r="I240" s="3375"/>
      <c r="J240" s="3375"/>
      <c r="K240" s="3375"/>
      <c r="L240" s="3375"/>
      <c r="M240" s="3378"/>
      <c r="N240" s="3379"/>
      <c r="O240" s="3380">
        <f t="shared" si="66"/>
        <v>0</v>
      </c>
      <c r="P240" s="3380" t="s">
        <v>4040</v>
      </c>
      <c r="Q240" s="3379"/>
      <c r="R240" s="3375"/>
      <c r="S240" s="3375"/>
      <c r="T240" s="3375"/>
      <c r="Y240" s="3381">
        <f t="shared" si="54"/>
        <v>0</v>
      </c>
      <c r="Z240" s="3381">
        <f t="shared" si="55"/>
        <v>0</v>
      </c>
      <c r="AA240" s="3381">
        <f t="shared" si="56"/>
        <v>0</v>
      </c>
      <c r="AB240" s="3381">
        <f t="shared" si="57"/>
        <v>0</v>
      </c>
      <c r="AC240" s="3381">
        <f t="shared" si="58"/>
        <v>0</v>
      </c>
      <c r="AD240" s="3381">
        <f t="shared" si="59"/>
        <v>0</v>
      </c>
      <c r="AE240" s="3381">
        <f t="shared" si="60"/>
        <v>0</v>
      </c>
      <c r="AF240" s="3381">
        <f t="shared" si="61"/>
        <v>0</v>
      </c>
      <c r="AG240" s="3381">
        <f t="shared" si="62"/>
        <v>0</v>
      </c>
      <c r="AH240" s="3381">
        <f t="shared" si="63"/>
        <v>0</v>
      </c>
      <c r="AI240" s="3381">
        <f t="shared" si="64"/>
        <v>0</v>
      </c>
      <c r="AJ240" s="3381">
        <f t="shared" si="65"/>
        <v>0</v>
      </c>
    </row>
    <row r="241" spans="1:36" s="3381" customFormat="1">
      <c r="A241" s="3386"/>
      <c r="B241" s="3386"/>
      <c r="C241" s="3386"/>
      <c r="D241" s="3386"/>
      <c r="E241" s="3386"/>
      <c r="F241" s="3386"/>
      <c r="G241" s="3385"/>
      <c r="H241" s="3387"/>
      <c r="I241" s="3385"/>
      <c r="J241" s="3385"/>
      <c r="K241" s="3385"/>
      <c r="L241" s="3385"/>
      <c r="M241" s="3386"/>
      <c r="N241" s="3379"/>
      <c r="O241" s="3380">
        <f t="shared" si="66"/>
        <v>0</v>
      </c>
      <c r="P241" s="3380" t="s">
        <v>4041</v>
      </c>
      <c r="Q241" s="3379"/>
      <c r="R241" s="3385"/>
      <c r="S241" s="3385"/>
      <c r="T241" s="3385"/>
      <c r="Y241" s="3381">
        <f t="shared" si="54"/>
        <v>0</v>
      </c>
      <c r="Z241" s="3381">
        <f t="shared" si="55"/>
        <v>0</v>
      </c>
      <c r="AA241" s="3381">
        <f t="shared" si="56"/>
        <v>0</v>
      </c>
      <c r="AB241" s="3381">
        <f t="shared" si="57"/>
        <v>0</v>
      </c>
      <c r="AC241" s="3381">
        <f t="shared" si="58"/>
        <v>0</v>
      </c>
      <c r="AD241" s="3381">
        <f t="shared" si="59"/>
        <v>0</v>
      </c>
      <c r="AE241" s="3381">
        <f t="shared" si="60"/>
        <v>0</v>
      </c>
      <c r="AF241" s="3381">
        <f t="shared" si="61"/>
        <v>0</v>
      </c>
      <c r="AG241" s="3381">
        <f t="shared" si="62"/>
        <v>0</v>
      </c>
      <c r="AH241" s="3381">
        <f t="shared" si="63"/>
        <v>0</v>
      </c>
      <c r="AI241" s="3381">
        <f t="shared" si="64"/>
        <v>0</v>
      </c>
      <c r="AJ241" s="3381">
        <f t="shared" si="65"/>
        <v>0</v>
      </c>
    </row>
    <row r="242" spans="1:36" s="3381" customFormat="1">
      <c r="A242" s="3384"/>
      <c r="B242" s="3384" t="s">
        <v>4042</v>
      </c>
      <c r="C242" s="3384" t="s">
        <v>4043</v>
      </c>
      <c r="D242" s="3384"/>
      <c r="E242" s="3384"/>
      <c r="F242" s="3377" t="s">
        <v>3166</v>
      </c>
      <c r="G242" s="3382"/>
      <c r="H242" s="3383"/>
      <c r="I242" s="3382">
        <v>138.80000000000001</v>
      </c>
      <c r="J242" s="3382">
        <v>97.16</v>
      </c>
      <c r="K242" s="3382" t="s">
        <v>4044</v>
      </c>
      <c r="L242" s="3382"/>
      <c r="M242" s="3384">
        <v>5</v>
      </c>
      <c r="N242" s="3379"/>
      <c r="O242" s="3380">
        <f t="shared" si="66"/>
        <v>0</v>
      </c>
      <c r="P242" s="3380">
        <v>0</v>
      </c>
      <c r="Q242" s="3379">
        <v>0</v>
      </c>
      <c r="R242" s="3385" t="s">
        <v>4045</v>
      </c>
      <c r="S242" s="3382">
        <v>9716</v>
      </c>
      <c r="T242" s="3382">
        <v>1388</v>
      </c>
      <c r="Y242" s="3381">
        <f t="shared" si="54"/>
        <v>0</v>
      </c>
      <c r="Z242" s="3381">
        <f t="shared" si="55"/>
        <v>0</v>
      </c>
      <c r="AA242" s="3381">
        <f t="shared" si="56"/>
        <v>0</v>
      </c>
      <c r="AB242" s="3381">
        <f t="shared" si="57"/>
        <v>0</v>
      </c>
      <c r="AC242" s="3381">
        <f t="shared" si="58"/>
        <v>0</v>
      </c>
      <c r="AD242" s="3381">
        <f t="shared" si="59"/>
        <v>0</v>
      </c>
      <c r="AE242" s="3381">
        <f t="shared" si="60"/>
        <v>0</v>
      </c>
      <c r="AF242" s="3381">
        <f t="shared" si="61"/>
        <v>0</v>
      </c>
      <c r="AG242" s="3381">
        <f t="shared" si="62"/>
        <v>0</v>
      </c>
      <c r="AH242" s="3381">
        <f t="shared" si="63"/>
        <v>0</v>
      </c>
      <c r="AI242" s="3381">
        <f t="shared" si="64"/>
        <v>0</v>
      </c>
      <c r="AJ242" s="3381">
        <f t="shared" si="65"/>
        <v>0</v>
      </c>
    </row>
    <row r="243" spans="1:36" s="3381" customFormat="1">
      <c r="A243" s="3384"/>
      <c r="B243" s="3384"/>
      <c r="C243" s="3384"/>
      <c r="D243" s="3384"/>
      <c r="E243" s="3384"/>
      <c r="F243" s="3384"/>
      <c r="G243" s="3382"/>
      <c r="H243" s="3383"/>
      <c r="I243" s="3382"/>
      <c r="J243" s="3382"/>
      <c r="K243" s="3382"/>
      <c r="L243" s="3382"/>
      <c r="M243" s="3384"/>
      <c r="N243" s="3379"/>
      <c r="O243" s="3380">
        <f t="shared" si="66"/>
        <v>0</v>
      </c>
      <c r="P243" s="3380"/>
      <c r="Q243" s="3379"/>
      <c r="R243" s="3385" t="s">
        <v>4046</v>
      </c>
      <c r="S243" s="3382"/>
      <c r="T243" s="3382"/>
      <c r="Y243" s="3381">
        <f t="shared" si="54"/>
        <v>0</v>
      </c>
      <c r="Z243" s="3381">
        <f t="shared" si="55"/>
        <v>0</v>
      </c>
      <c r="AA243" s="3381">
        <f t="shared" si="56"/>
        <v>0</v>
      </c>
      <c r="AB243" s="3381">
        <f t="shared" si="57"/>
        <v>0</v>
      </c>
      <c r="AC243" s="3381">
        <f t="shared" si="58"/>
        <v>0</v>
      </c>
      <c r="AD243" s="3381">
        <f t="shared" si="59"/>
        <v>0</v>
      </c>
      <c r="AE243" s="3381">
        <f t="shared" si="60"/>
        <v>0</v>
      </c>
      <c r="AF243" s="3381">
        <f t="shared" si="61"/>
        <v>0</v>
      </c>
      <c r="AG243" s="3381">
        <f t="shared" si="62"/>
        <v>0</v>
      </c>
      <c r="AH243" s="3381">
        <f t="shared" si="63"/>
        <v>0</v>
      </c>
      <c r="AI243" s="3381">
        <f t="shared" si="64"/>
        <v>0</v>
      </c>
      <c r="AJ243" s="3381">
        <f t="shared" si="65"/>
        <v>0</v>
      </c>
    </row>
    <row r="244" spans="1:36" s="3381" customFormat="1" ht="24">
      <c r="A244" s="3375">
        <v>64</v>
      </c>
      <c r="B244" s="3375" t="s">
        <v>4047</v>
      </c>
      <c r="C244" s="3375" t="s">
        <v>4048</v>
      </c>
      <c r="D244" s="3375"/>
      <c r="E244" s="3375"/>
      <c r="F244" s="3377" t="s">
        <v>3166</v>
      </c>
      <c r="G244" s="3375"/>
      <c r="H244" s="3375" t="s">
        <v>4049</v>
      </c>
      <c r="I244" s="3375">
        <v>35.72</v>
      </c>
      <c r="J244" s="3375">
        <v>25</v>
      </c>
      <c r="K244" s="3375" t="s">
        <v>4050</v>
      </c>
      <c r="L244" s="3375"/>
      <c r="M244" s="3378">
        <v>2</v>
      </c>
      <c r="N244" s="3379">
        <f>250/30</f>
        <v>8.3333333333333339</v>
      </c>
      <c r="O244" s="3380">
        <f t="shared" si="66"/>
        <v>297.66666666666669</v>
      </c>
      <c r="P244" s="3380" t="s">
        <v>4051</v>
      </c>
      <c r="Q244" s="3379" t="s">
        <v>4052</v>
      </c>
      <c r="R244" s="3379">
        <v>0.14000000000000001</v>
      </c>
      <c r="S244" s="3375">
        <v>2500.4</v>
      </c>
      <c r="T244" s="3375">
        <v>357.2</v>
      </c>
      <c r="Y244" s="3381">
        <f t="shared" si="54"/>
        <v>52389.333333333336</v>
      </c>
      <c r="Z244" s="3381">
        <f t="shared" si="55"/>
        <v>108350.66666666667</v>
      </c>
      <c r="AA244" s="3381">
        <f t="shared" si="56"/>
        <v>108350.66666666667</v>
      </c>
      <c r="AB244" s="3381">
        <f t="shared" si="57"/>
        <v>108350.66666666667</v>
      </c>
      <c r="AC244" s="3381">
        <f t="shared" si="58"/>
        <v>108648.33333333334</v>
      </c>
      <c r="AD244" s="3381">
        <f t="shared" si="59"/>
        <v>108350.66666666667</v>
      </c>
      <c r="AE244" s="3381">
        <f t="shared" si="60"/>
        <v>108350.66666666667</v>
      </c>
      <c r="AF244" s="3381">
        <f t="shared" si="61"/>
        <v>108350.66666666667</v>
      </c>
      <c r="AG244" s="3381">
        <f t="shared" si="62"/>
        <v>108648.33333333334</v>
      </c>
      <c r="AH244" s="3381">
        <f t="shared" si="63"/>
        <v>108350.66666666667</v>
      </c>
      <c r="AI244" s="3381">
        <f t="shared" si="64"/>
        <v>108350.66666666667</v>
      </c>
      <c r="AJ244" s="3381">
        <f t="shared" si="65"/>
        <v>108350.66666666667</v>
      </c>
    </row>
    <row r="245" spans="1:36" s="3381" customFormat="1">
      <c r="A245" s="3385"/>
      <c r="B245" s="3385"/>
      <c r="C245" s="3385"/>
      <c r="D245" s="3385"/>
      <c r="E245" s="3385"/>
      <c r="F245" s="3385"/>
      <c r="G245" s="3385"/>
      <c r="H245" s="3385"/>
      <c r="I245" s="3385"/>
      <c r="J245" s="3385"/>
      <c r="K245" s="3385"/>
      <c r="L245" s="3385"/>
      <c r="M245" s="3386"/>
      <c r="N245" s="3379">
        <f>340/30</f>
        <v>11.333333333333334</v>
      </c>
      <c r="O245" s="3380">
        <f t="shared" si="66"/>
        <v>0</v>
      </c>
      <c r="P245" s="3380" t="s">
        <v>4053</v>
      </c>
      <c r="Q245" s="3379" t="s">
        <v>4054</v>
      </c>
      <c r="R245" s="3379">
        <v>0.15</v>
      </c>
      <c r="S245" s="3385"/>
      <c r="T245" s="3385"/>
      <c r="Y245" s="3381">
        <f t="shared" si="54"/>
        <v>0</v>
      </c>
      <c r="Z245" s="3381">
        <f t="shared" si="55"/>
        <v>0</v>
      </c>
      <c r="AA245" s="3381">
        <f t="shared" si="56"/>
        <v>0</v>
      </c>
      <c r="AB245" s="3381">
        <f t="shared" si="57"/>
        <v>0</v>
      </c>
      <c r="AC245" s="3381">
        <f t="shared" si="58"/>
        <v>0</v>
      </c>
      <c r="AD245" s="3381">
        <f t="shared" si="59"/>
        <v>0</v>
      </c>
      <c r="AE245" s="3381">
        <f t="shared" si="60"/>
        <v>0</v>
      </c>
      <c r="AF245" s="3381">
        <f t="shared" si="61"/>
        <v>0</v>
      </c>
      <c r="AG245" s="3381">
        <f t="shared" si="62"/>
        <v>0</v>
      </c>
      <c r="AH245" s="3381">
        <f t="shared" si="63"/>
        <v>0</v>
      </c>
      <c r="AI245" s="3381">
        <f t="shared" si="64"/>
        <v>0</v>
      </c>
      <c r="AJ245" s="3381">
        <f t="shared" si="65"/>
        <v>0</v>
      </c>
    </row>
    <row r="246" spans="1:36" s="3381" customFormat="1" ht="24">
      <c r="A246" s="3375">
        <v>65</v>
      </c>
      <c r="B246" s="3375" t="s">
        <v>4055</v>
      </c>
      <c r="C246" s="3375" t="s">
        <v>4056</v>
      </c>
      <c r="D246" s="3375"/>
      <c r="E246" s="3375"/>
      <c r="F246" s="3375"/>
      <c r="G246" s="3377" t="s">
        <v>3166</v>
      </c>
      <c r="H246" s="3377" t="s">
        <v>4057</v>
      </c>
      <c r="I246" s="3375">
        <v>31.97</v>
      </c>
      <c r="J246" s="3375">
        <v>22.38</v>
      </c>
      <c r="K246" s="3375" t="s">
        <v>4050</v>
      </c>
      <c r="L246" s="3375"/>
      <c r="M246" s="3378">
        <v>2</v>
      </c>
      <c r="N246" s="3379">
        <f>500/30</f>
        <v>16.666666666666668</v>
      </c>
      <c r="O246" s="3380">
        <f t="shared" si="66"/>
        <v>532.83333333333337</v>
      </c>
      <c r="P246" s="3380" t="s">
        <v>3629</v>
      </c>
      <c r="Q246" s="3379" t="s">
        <v>4058</v>
      </c>
      <c r="R246" s="3379">
        <v>0.14000000000000001</v>
      </c>
      <c r="S246" s="3375">
        <v>2238</v>
      </c>
      <c r="T246" s="3375">
        <v>319.7</v>
      </c>
      <c r="Y246" s="3381">
        <f t="shared" si="54"/>
        <v>93778.666666666672</v>
      </c>
      <c r="Z246" s="3381">
        <f t="shared" si="55"/>
        <v>193951.33333333334</v>
      </c>
      <c r="AA246" s="3381">
        <f t="shared" si="56"/>
        <v>193951.33333333334</v>
      </c>
      <c r="AB246" s="3381">
        <f t="shared" si="57"/>
        <v>193951.33333333334</v>
      </c>
      <c r="AC246" s="3381">
        <f t="shared" si="58"/>
        <v>194484.16666666669</v>
      </c>
      <c r="AD246" s="3381">
        <f t="shared" si="59"/>
        <v>193951.33333333334</v>
      </c>
      <c r="AE246" s="3381">
        <f t="shared" si="60"/>
        <v>193951.33333333334</v>
      </c>
      <c r="AF246" s="3381">
        <f t="shared" si="61"/>
        <v>193951.33333333334</v>
      </c>
      <c r="AG246" s="3381">
        <f t="shared" si="62"/>
        <v>194484.16666666669</v>
      </c>
      <c r="AH246" s="3381">
        <f t="shared" si="63"/>
        <v>193951.33333333334</v>
      </c>
      <c r="AI246" s="3381">
        <f t="shared" si="64"/>
        <v>193951.33333333334</v>
      </c>
      <c r="AJ246" s="3381">
        <f t="shared" si="65"/>
        <v>193951.33333333334</v>
      </c>
    </row>
    <row r="247" spans="1:36" s="3381" customFormat="1" ht="24">
      <c r="A247" s="3385"/>
      <c r="B247" s="3385"/>
      <c r="C247" s="3385"/>
      <c r="D247" s="3385"/>
      <c r="E247" s="3385"/>
      <c r="F247" s="3385"/>
      <c r="G247" s="3385"/>
      <c r="H247" s="3385"/>
      <c r="I247" s="3385"/>
      <c r="J247" s="3385"/>
      <c r="K247" s="3385"/>
      <c r="L247" s="3385"/>
      <c r="M247" s="3386"/>
      <c r="N247" s="3379">
        <f>530/30</f>
        <v>17.666666666666668</v>
      </c>
      <c r="O247" s="3380">
        <f t="shared" si="66"/>
        <v>0</v>
      </c>
      <c r="P247" s="3380" t="s">
        <v>4059</v>
      </c>
      <c r="Q247" s="3379" t="s">
        <v>4060</v>
      </c>
      <c r="R247" s="3379">
        <v>0.15</v>
      </c>
      <c r="S247" s="3385"/>
      <c r="T247" s="3385"/>
      <c r="Y247" s="3381">
        <f t="shared" si="54"/>
        <v>0</v>
      </c>
      <c r="Z247" s="3381">
        <f t="shared" si="55"/>
        <v>0</v>
      </c>
      <c r="AA247" s="3381">
        <f t="shared" si="56"/>
        <v>0</v>
      </c>
      <c r="AB247" s="3381">
        <f t="shared" si="57"/>
        <v>0</v>
      </c>
      <c r="AC247" s="3381">
        <f t="shared" si="58"/>
        <v>0</v>
      </c>
      <c r="AD247" s="3381">
        <f t="shared" si="59"/>
        <v>0</v>
      </c>
      <c r="AE247" s="3381">
        <f t="shared" si="60"/>
        <v>0</v>
      </c>
      <c r="AF247" s="3381">
        <f t="shared" si="61"/>
        <v>0</v>
      </c>
      <c r="AG247" s="3381">
        <f t="shared" si="62"/>
        <v>0</v>
      </c>
      <c r="AH247" s="3381">
        <f t="shared" si="63"/>
        <v>0</v>
      </c>
      <c r="AI247" s="3381">
        <f t="shared" si="64"/>
        <v>0</v>
      </c>
      <c r="AJ247" s="3381">
        <f t="shared" si="65"/>
        <v>0</v>
      </c>
    </row>
    <row r="248" spans="1:36" s="3381" customFormat="1">
      <c r="A248" s="3375">
        <v>66</v>
      </c>
      <c r="B248" s="3375" t="s">
        <v>4061</v>
      </c>
      <c r="C248" s="3375" t="s">
        <v>4062</v>
      </c>
      <c r="D248" s="3375"/>
      <c r="E248" s="3375"/>
      <c r="F248" s="3375"/>
      <c r="G248" s="3377" t="s">
        <v>3166</v>
      </c>
      <c r="H248" s="3377" t="s">
        <v>4063</v>
      </c>
      <c r="I248" s="3375">
        <v>42.86</v>
      </c>
      <c r="J248" s="3375">
        <v>30</v>
      </c>
      <c r="K248" s="3375" t="s">
        <v>3321</v>
      </c>
      <c r="L248" s="3375"/>
      <c r="M248" s="3378">
        <v>6</v>
      </c>
      <c r="N248" s="3379"/>
      <c r="O248" s="3380">
        <f t="shared" si="66"/>
        <v>0</v>
      </c>
      <c r="P248" s="3380" t="s">
        <v>3805</v>
      </c>
      <c r="Q248" s="3379" t="s">
        <v>4064</v>
      </c>
      <c r="R248" s="3379">
        <v>0.1</v>
      </c>
      <c r="S248" s="3375">
        <v>3000.2</v>
      </c>
      <c r="T248" s="3375">
        <v>428.6</v>
      </c>
      <c r="Y248" s="3381">
        <f t="shared" si="54"/>
        <v>0</v>
      </c>
      <c r="Z248" s="3381">
        <f t="shared" si="55"/>
        <v>0</v>
      </c>
      <c r="AA248" s="3381">
        <f t="shared" si="56"/>
        <v>0</v>
      </c>
      <c r="AB248" s="3381">
        <f t="shared" si="57"/>
        <v>0</v>
      </c>
      <c r="AC248" s="3381">
        <f t="shared" si="58"/>
        <v>0</v>
      </c>
      <c r="AD248" s="3381">
        <f t="shared" si="59"/>
        <v>0</v>
      </c>
      <c r="AE248" s="3381">
        <f t="shared" si="60"/>
        <v>0</v>
      </c>
      <c r="AF248" s="3381">
        <f t="shared" si="61"/>
        <v>0</v>
      </c>
      <c r="AG248" s="3381">
        <f t="shared" si="62"/>
        <v>0</v>
      </c>
      <c r="AH248" s="3381">
        <f t="shared" si="63"/>
        <v>0</v>
      </c>
      <c r="AI248" s="3381">
        <f t="shared" si="64"/>
        <v>0</v>
      </c>
      <c r="AJ248" s="3381">
        <f t="shared" si="65"/>
        <v>0</v>
      </c>
    </row>
    <row r="249" spans="1:36" s="3381" customFormat="1">
      <c r="A249" s="3382"/>
      <c r="B249" s="3382"/>
      <c r="C249" s="3382"/>
      <c r="D249" s="3382"/>
      <c r="E249" s="3382"/>
      <c r="F249" s="3382"/>
      <c r="G249" s="3382"/>
      <c r="H249" s="3382"/>
      <c r="I249" s="3382"/>
      <c r="J249" s="3382"/>
      <c r="K249" s="3382"/>
      <c r="L249" s="3382"/>
      <c r="M249" s="3384"/>
      <c r="N249" s="3379">
        <f>190/30</f>
        <v>6.333333333333333</v>
      </c>
      <c r="O249" s="3380">
        <f t="shared" si="66"/>
        <v>0</v>
      </c>
      <c r="P249" s="3380" t="s">
        <v>4065</v>
      </c>
      <c r="Q249" s="3379" t="s">
        <v>4066</v>
      </c>
      <c r="R249" s="3379">
        <v>0.1</v>
      </c>
      <c r="S249" s="3382"/>
      <c r="T249" s="3382"/>
      <c r="Y249" s="3381">
        <f t="shared" si="54"/>
        <v>0</v>
      </c>
      <c r="Z249" s="3381">
        <f t="shared" si="55"/>
        <v>0</v>
      </c>
      <c r="AA249" s="3381">
        <f t="shared" si="56"/>
        <v>0</v>
      </c>
      <c r="AB249" s="3381">
        <f t="shared" si="57"/>
        <v>0</v>
      </c>
      <c r="AC249" s="3381">
        <f t="shared" si="58"/>
        <v>0</v>
      </c>
      <c r="AD249" s="3381">
        <f t="shared" si="59"/>
        <v>0</v>
      </c>
      <c r="AE249" s="3381">
        <f t="shared" si="60"/>
        <v>0</v>
      </c>
      <c r="AF249" s="3381">
        <f t="shared" si="61"/>
        <v>0</v>
      </c>
      <c r="AG249" s="3381">
        <f t="shared" si="62"/>
        <v>0</v>
      </c>
      <c r="AH249" s="3381">
        <f t="shared" si="63"/>
        <v>0</v>
      </c>
      <c r="AI249" s="3381">
        <f t="shared" si="64"/>
        <v>0</v>
      </c>
      <c r="AJ249" s="3381">
        <f t="shared" si="65"/>
        <v>0</v>
      </c>
    </row>
    <row r="250" spans="1:36" s="3381" customFormat="1">
      <c r="A250" s="3382"/>
      <c r="B250" s="3382"/>
      <c r="C250" s="3382"/>
      <c r="D250" s="3382"/>
      <c r="E250" s="3382"/>
      <c r="F250" s="3382"/>
      <c r="G250" s="3382"/>
      <c r="H250" s="3382"/>
      <c r="I250" s="3382"/>
      <c r="J250" s="3382"/>
      <c r="K250" s="3382"/>
      <c r="L250" s="3382"/>
      <c r="M250" s="3384"/>
      <c r="N250" s="3379">
        <f>190/30</f>
        <v>6.333333333333333</v>
      </c>
      <c r="O250" s="3380">
        <f t="shared" si="66"/>
        <v>0</v>
      </c>
      <c r="P250" s="3380" t="s">
        <v>3305</v>
      </c>
      <c r="Q250" s="3379" t="s">
        <v>4067</v>
      </c>
      <c r="R250" s="3379">
        <v>0.1</v>
      </c>
      <c r="S250" s="3382"/>
      <c r="T250" s="3382"/>
      <c r="Y250" s="3381">
        <f t="shared" si="54"/>
        <v>0</v>
      </c>
      <c r="Z250" s="3381">
        <f t="shared" si="55"/>
        <v>0</v>
      </c>
      <c r="AA250" s="3381">
        <f t="shared" si="56"/>
        <v>0</v>
      </c>
      <c r="AB250" s="3381">
        <f t="shared" si="57"/>
        <v>0</v>
      </c>
      <c r="AC250" s="3381">
        <f t="shared" si="58"/>
        <v>0</v>
      </c>
      <c r="AD250" s="3381">
        <f t="shared" si="59"/>
        <v>0</v>
      </c>
      <c r="AE250" s="3381">
        <f t="shared" si="60"/>
        <v>0</v>
      </c>
      <c r="AF250" s="3381">
        <f t="shared" si="61"/>
        <v>0</v>
      </c>
      <c r="AG250" s="3381">
        <f t="shared" si="62"/>
        <v>0</v>
      </c>
      <c r="AH250" s="3381">
        <f t="shared" si="63"/>
        <v>0</v>
      </c>
      <c r="AI250" s="3381">
        <f t="shared" si="64"/>
        <v>0</v>
      </c>
      <c r="AJ250" s="3381">
        <f t="shared" si="65"/>
        <v>0</v>
      </c>
    </row>
    <row r="251" spans="1:36" s="3381" customFormat="1">
      <c r="A251" s="3382"/>
      <c r="B251" s="3382"/>
      <c r="C251" s="3382"/>
      <c r="D251" s="3382"/>
      <c r="E251" s="3382"/>
      <c r="F251" s="3382"/>
      <c r="G251" s="3382"/>
      <c r="H251" s="3382"/>
      <c r="I251" s="3382"/>
      <c r="J251" s="3382"/>
      <c r="K251" s="3382"/>
      <c r="L251" s="3382"/>
      <c r="M251" s="3384"/>
      <c r="N251" s="3379">
        <f>200/30</f>
        <v>6.666666666666667</v>
      </c>
      <c r="O251" s="3380">
        <f t="shared" si="66"/>
        <v>0</v>
      </c>
      <c r="P251" s="3380" t="s">
        <v>4068</v>
      </c>
      <c r="Q251" s="3379" t="s">
        <v>4069</v>
      </c>
      <c r="R251" s="3379">
        <v>0.1</v>
      </c>
      <c r="S251" s="3382"/>
      <c r="T251" s="3382"/>
      <c r="Y251" s="3381">
        <f t="shared" si="54"/>
        <v>0</v>
      </c>
      <c r="Z251" s="3381">
        <f t="shared" si="55"/>
        <v>0</v>
      </c>
      <c r="AA251" s="3381">
        <f t="shared" si="56"/>
        <v>0</v>
      </c>
      <c r="AB251" s="3381">
        <f t="shared" si="57"/>
        <v>0</v>
      </c>
      <c r="AC251" s="3381">
        <f t="shared" si="58"/>
        <v>0</v>
      </c>
      <c r="AD251" s="3381">
        <f t="shared" si="59"/>
        <v>0</v>
      </c>
      <c r="AE251" s="3381">
        <f t="shared" si="60"/>
        <v>0</v>
      </c>
      <c r="AF251" s="3381">
        <f t="shared" si="61"/>
        <v>0</v>
      </c>
      <c r="AG251" s="3381">
        <f t="shared" si="62"/>
        <v>0</v>
      </c>
      <c r="AH251" s="3381">
        <f t="shared" si="63"/>
        <v>0</v>
      </c>
      <c r="AI251" s="3381">
        <f t="shared" si="64"/>
        <v>0</v>
      </c>
      <c r="AJ251" s="3381">
        <f t="shared" si="65"/>
        <v>0</v>
      </c>
    </row>
    <row r="252" spans="1:36" s="3381" customFormat="1">
      <c r="A252" s="3382"/>
      <c r="B252" s="3382"/>
      <c r="C252" s="3382"/>
      <c r="D252" s="3382"/>
      <c r="E252" s="3382"/>
      <c r="F252" s="3382"/>
      <c r="G252" s="3382"/>
      <c r="H252" s="3382"/>
      <c r="I252" s="3382"/>
      <c r="J252" s="3382"/>
      <c r="K252" s="3382"/>
      <c r="L252" s="3382"/>
      <c r="M252" s="3384"/>
      <c r="N252" s="3379">
        <f>200/30</f>
        <v>6.666666666666667</v>
      </c>
      <c r="O252" s="3380">
        <f t="shared" si="66"/>
        <v>0</v>
      </c>
      <c r="P252" s="3380" t="s">
        <v>3311</v>
      </c>
      <c r="Q252" s="3379" t="s">
        <v>4070</v>
      </c>
      <c r="R252" s="3379">
        <v>0.1</v>
      </c>
      <c r="S252" s="3382"/>
      <c r="T252" s="3382"/>
      <c r="Y252" s="3381">
        <f t="shared" si="54"/>
        <v>0</v>
      </c>
      <c r="Z252" s="3381">
        <f t="shared" si="55"/>
        <v>0</v>
      </c>
      <c r="AA252" s="3381">
        <f t="shared" si="56"/>
        <v>0</v>
      </c>
      <c r="AB252" s="3381">
        <f t="shared" si="57"/>
        <v>0</v>
      </c>
      <c r="AC252" s="3381">
        <f t="shared" si="58"/>
        <v>0</v>
      </c>
      <c r="AD252" s="3381">
        <f t="shared" si="59"/>
        <v>0</v>
      </c>
      <c r="AE252" s="3381">
        <f t="shared" si="60"/>
        <v>0</v>
      </c>
      <c r="AF252" s="3381">
        <f t="shared" si="61"/>
        <v>0</v>
      </c>
      <c r="AG252" s="3381">
        <f t="shared" si="62"/>
        <v>0</v>
      </c>
      <c r="AH252" s="3381">
        <f t="shared" si="63"/>
        <v>0</v>
      </c>
      <c r="AI252" s="3381">
        <f t="shared" si="64"/>
        <v>0</v>
      </c>
      <c r="AJ252" s="3381">
        <f t="shared" si="65"/>
        <v>0</v>
      </c>
    </row>
    <row r="253" spans="1:36" s="3381" customFormat="1">
      <c r="A253" s="3385"/>
      <c r="B253" s="3385"/>
      <c r="C253" s="3385"/>
      <c r="D253" s="3385"/>
      <c r="E253" s="3385"/>
      <c r="F253" s="3385"/>
      <c r="G253" s="3385"/>
      <c r="H253" s="3385"/>
      <c r="I253" s="3385"/>
      <c r="J253" s="3385"/>
      <c r="K253" s="3385"/>
      <c r="L253" s="3385"/>
      <c r="M253" s="3386"/>
      <c r="N253" s="3379">
        <f>210/30</f>
        <v>7</v>
      </c>
      <c r="O253" s="3380">
        <f t="shared" si="66"/>
        <v>0</v>
      </c>
      <c r="P253" s="3380" t="s">
        <v>4071</v>
      </c>
      <c r="Q253" s="3379" t="s">
        <v>4072</v>
      </c>
      <c r="R253" s="3379">
        <v>0.1</v>
      </c>
      <c r="S253" s="3385"/>
      <c r="T253" s="3385"/>
      <c r="Y253" s="3381">
        <f t="shared" si="54"/>
        <v>0</v>
      </c>
      <c r="Z253" s="3381">
        <f t="shared" si="55"/>
        <v>0</v>
      </c>
      <c r="AA253" s="3381">
        <f t="shared" si="56"/>
        <v>0</v>
      </c>
      <c r="AB253" s="3381">
        <f t="shared" si="57"/>
        <v>0</v>
      </c>
      <c r="AC253" s="3381">
        <f t="shared" si="58"/>
        <v>0</v>
      </c>
      <c r="AD253" s="3381">
        <f t="shared" si="59"/>
        <v>0</v>
      </c>
      <c r="AE253" s="3381">
        <f t="shared" si="60"/>
        <v>0</v>
      </c>
      <c r="AF253" s="3381">
        <f t="shared" si="61"/>
        <v>0</v>
      </c>
      <c r="AG253" s="3381">
        <f t="shared" si="62"/>
        <v>0</v>
      </c>
      <c r="AH253" s="3381">
        <f t="shared" si="63"/>
        <v>0</v>
      </c>
      <c r="AI253" s="3381">
        <f t="shared" si="64"/>
        <v>0</v>
      </c>
      <c r="AJ253" s="3381">
        <f t="shared" si="65"/>
        <v>0</v>
      </c>
    </row>
    <row r="254" spans="1:36" s="3381" customFormat="1" ht="24">
      <c r="A254" s="3375">
        <v>67</v>
      </c>
      <c r="B254" s="3375" t="s">
        <v>4073</v>
      </c>
      <c r="C254" s="3375" t="s">
        <v>4074</v>
      </c>
      <c r="D254" s="3375"/>
      <c r="E254" s="3375"/>
      <c r="F254" s="3375"/>
      <c r="G254" s="3377" t="s">
        <v>3166</v>
      </c>
      <c r="H254" s="3377" t="s">
        <v>4075</v>
      </c>
      <c r="I254" s="3375">
        <v>39.43</v>
      </c>
      <c r="J254" s="3375">
        <v>27.6</v>
      </c>
      <c r="K254" s="3375" t="s">
        <v>3321</v>
      </c>
      <c r="L254" s="3375"/>
      <c r="M254" s="3378">
        <v>2</v>
      </c>
      <c r="N254" s="3379">
        <f>285/30</f>
        <v>9.5</v>
      </c>
      <c r="O254" s="3380">
        <f t="shared" si="66"/>
        <v>374.58499999999998</v>
      </c>
      <c r="P254" s="3380" t="s">
        <v>4076</v>
      </c>
      <c r="Q254" s="3379" t="s">
        <v>4077</v>
      </c>
      <c r="R254" s="3379">
        <v>0.12</v>
      </c>
      <c r="S254" s="3375">
        <v>2760.1</v>
      </c>
      <c r="T254" s="3375">
        <v>394.3</v>
      </c>
      <c r="Y254" s="3381">
        <f t="shared" si="54"/>
        <v>65926.959999999992</v>
      </c>
      <c r="Z254" s="3381">
        <f t="shared" si="55"/>
        <v>136348.94</v>
      </c>
      <c r="AA254" s="3381">
        <f t="shared" si="56"/>
        <v>136348.94</v>
      </c>
      <c r="AB254" s="3381">
        <f t="shared" si="57"/>
        <v>136348.94</v>
      </c>
      <c r="AC254" s="3381">
        <f t="shared" si="58"/>
        <v>136723.52499999999</v>
      </c>
      <c r="AD254" s="3381">
        <f t="shared" si="59"/>
        <v>136348.94</v>
      </c>
      <c r="AE254" s="3381">
        <f t="shared" si="60"/>
        <v>136348.94</v>
      </c>
      <c r="AF254" s="3381">
        <f t="shared" si="61"/>
        <v>136348.94</v>
      </c>
      <c r="AG254" s="3381">
        <f t="shared" si="62"/>
        <v>136723.52499999999</v>
      </c>
      <c r="AH254" s="3381">
        <f t="shared" si="63"/>
        <v>136348.94</v>
      </c>
      <c r="AI254" s="3381">
        <f t="shared" si="64"/>
        <v>136348.94</v>
      </c>
      <c r="AJ254" s="3381">
        <f t="shared" si="65"/>
        <v>136348.94</v>
      </c>
    </row>
    <row r="255" spans="1:36" s="3381" customFormat="1">
      <c r="A255" s="3385"/>
      <c r="B255" s="3385"/>
      <c r="C255" s="3385"/>
      <c r="D255" s="3385"/>
      <c r="E255" s="3385"/>
      <c r="F255" s="3385"/>
      <c r="G255" s="3385"/>
      <c r="H255" s="3385"/>
      <c r="I255" s="3385"/>
      <c r="J255" s="3385"/>
      <c r="K255" s="3385"/>
      <c r="L255" s="3385"/>
      <c r="M255" s="3386"/>
      <c r="N255" s="3379">
        <f>320/30</f>
        <v>10.666666666666666</v>
      </c>
      <c r="O255" s="3380">
        <f t="shared" si="66"/>
        <v>0</v>
      </c>
      <c r="P255" s="3380" t="s">
        <v>4078</v>
      </c>
      <c r="Q255" s="3379" t="s">
        <v>4079</v>
      </c>
      <c r="R255" s="3379">
        <v>0.13</v>
      </c>
      <c r="S255" s="3385"/>
      <c r="T255" s="3385"/>
      <c r="Y255" s="3381">
        <f t="shared" si="54"/>
        <v>0</v>
      </c>
      <c r="Z255" s="3381">
        <f t="shared" si="55"/>
        <v>0</v>
      </c>
      <c r="AA255" s="3381">
        <f t="shared" si="56"/>
        <v>0</v>
      </c>
      <c r="AB255" s="3381">
        <f t="shared" si="57"/>
        <v>0</v>
      </c>
      <c r="AC255" s="3381">
        <f t="shared" si="58"/>
        <v>0</v>
      </c>
      <c r="AD255" s="3381">
        <f t="shared" si="59"/>
        <v>0</v>
      </c>
      <c r="AE255" s="3381">
        <f t="shared" si="60"/>
        <v>0</v>
      </c>
      <c r="AF255" s="3381">
        <f t="shared" si="61"/>
        <v>0</v>
      </c>
      <c r="AG255" s="3381">
        <f t="shared" si="62"/>
        <v>0</v>
      </c>
      <c r="AH255" s="3381">
        <f t="shared" si="63"/>
        <v>0</v>
      </c>
      <c r="AI255" s="3381">
        <f t="shared" si="64"/>
        <v>0</v>
      </c>
      <c r="AJ255" s="3381">
        <f t="shared" si="65"/>
        <v>0</v>
      </c>
    </row>
    <row r="256" spans="1:36" s="3381" customFormat="1">
      <c r="A256" s="3375">
        <v>68</v>
      </c>
      <c r="B256" s="3375" t="s">
        <v>4080</v>
      </c>
      <c r="C256" s="3375" t="s">
        <v>4081</v>
      </c>
      <c r="D256" s="3375"/>
      <c r="E256" s="3375"/>
      <c r="F256" s="3375"/>
      <c r="G256" s="3377" t="s">
        <v>3166</v>
      </c>
      <c r="H256" s="3377" t="s">
        <v>4082</v>
      </c>
      <c r="I256" s="3375">
        <v>44.86</v>
      </c>
      <c r="J256" s="3375">
        <v>31.4</v>
      </c>
      <c r="K256" s="3375" t="s">
        <v>3321</v>
      </c>
      <c r="L256" s="3375"/>
      <c r="M256" s="3378">
        <v>2</v>
      </c>
      <c r="N256" s="3379">
        <f>175/30</f>
        <v>5.833333333333333</v>
      </c>
      <c r="O256" s="3380">
        <f t="shared" si="66"/>
        <v>261.68333333333334</v>
      </c>
      <c r="P256" s="3380" t="s">
        <v>4083</v>
      </c>
      <c r="Q256" s="3379" t="s">
        <v>4084</v>
      </c>
      <c r="R256" s="3379">
        <v>0.14000000000000001</v>
      </c>
      <c r="S256" s="3375">
        <v>3140.2</v>
      </c>
      <c r="T256" s="3375">
        <v>448.6</v>
      </c>
      <c r="Y256" s="3381">
        <f t="shared" si="54"/>
        <v>46056.26666666667</v>
      </c>
      <c r="Z256" s="3381">
        <f t="shared" si="55"/>
        <v>95252.733333333337</v>
      </c>
      <c r="AA256" s="3381">
        <f t="shared" si="56"/>
        <v>95252.733333333337</v>
      </c>
      <c r="AB256" s="3381">
        <f t="shared" si="57"/>
        <v>95252.733333333337</v>
      </c>
      <c r="AC256" s="3381">
        <f t="shared" si="58"/>
        <v>95514.416666666672</v>
      </c>
      <c r="AD256" s="3381">
        <f t="shared" si="59"/>
        <v>95252.733333333337</v>
      </c>
      <c r="AE256" s="3381">
        <f t="shared" si="60"/>
        <v>95252.733333333337</v>
      </c>
      <c r="AF256" s="3381">
        <f t="shared" si="61"/>
        <v>95252.733333333337</v>
      </c>
      <c r="AG256" s="3381">
        <f t="shared" si="62"/>
        <v>95514.416666666672</v>
      </c>
      <c r="AH256" s="3381">
        <f t="shared" si="63"/>
        <v>95252.733333333337</v>
      </c>
      <c r="AI256" s="3381">
        <f t="shared" si="64"/>
        <v>95252.733333333337</v>
      </c>
      <c r="AJ256" s="3381">
        <f t="shared" si="65"/>
        <v>95252.733333333337</v>
      </c>
    </row>
    <row r="257" spans="1:36" s="3381" customFormat="1">
      <c r="A257" s="3385"/>
      <c r="B257" s="3385"/>
      <c r="C257" s="3385"/>
      <c r="D257" s="3385"/>
      <c r="E257" s="3385"/>
      <c r="F257" s="3385"/>
      <c r="G257" s="3385"/>
      <c r="H257" s="3385"/>
      <c r="I257" s="3385"/>
      <c r="J257" s="3385"/>
      <c r="K257" s="3385"/>
      <c r="L257" s="3385"/>
      <c r="M257" s="3386"/>
      <c r="N257" s="3379">
        <f>205/30</f>
        <v>6.833333333333333</v>
      </c>
      <c r="O257" s="3380">
        <f t="shared" si="66"/>
        <v>0</v>
      </c>
      <c r="P257" s="3380" t="s">
        <v>4085</v>
      </c>
      <c r="Q257" s="3379" t="s">
        <v>4086</v>
      </c>
      <c r="R257" s="3379">
        <v>0.15</v>
      </c>
      <c r="S257" s="3385"/>
      <c r="T257" s="3385"/>
      <c r="Y257" s="3381">
        <f t="shared" si="54"/>
        <v>0</v>
      </c>
      <c r="Z257" s="3381">
        <f t="shared" si="55"/>
        <v>0</v>
      </c>
      <c r="AA257" s="3381">
        <f t="shared" si="56"/>
        <v>0</v>
      </c>
      <c r="AB257" s="3381">
        <f t="shared" si="57"/>
        <v>0</v>
      </c>
      <c r="AC257" s="3381">
        <f t="shared" si="58"/>
        <v>0</v>
      </c>
      <c r="AD257" s="3381">
        <f t="shared" si="59"/>
        <v>0</v>
      </c>
      <c r="AE257" s="3381">
        <f t="shared" si="60"/>
        <v>0</v>
      </c>
      <c r="AF257" s="3381">
        <f t="shared" si="61"/>
        <v>0</v>
      </c>
      <c r="AG257" s="3381">
        <f t="shared" si="62"/>
        <v>0</v>
      </c>
      <c r="AH257" s="3381">
        <f t="shared" si="63"/>
        <v>0</v>
      </c>
      <c r="AI257" s="3381">
        <f t="shared" si="64"/>
        <v>0</v>
      </c>
      <c r="AJ257" s="3381">
        <f t="shared" si="65"/>
        <v>0</v>
      </c>
    </row>
    <row r="258" spans="1:36" s="3381" customFormat="1" ht="24">
      <c r="A258" s="3375">
        <v>69</v>
      </c>
      <c r="B258" s="3375" t="s">
        <v>4087</v>
      </c>
      <c r="C258" s="3375" t="s">
        <v>4088</v>
      </c>
      <c r="D258" s="3375"/>
      <c r="E258" s="3375"/>
      <c r="F258" s="3375"/>
      <c r="G258" s="3377" t="s">
        <v>3166</v>
      </c>
      <c r="H258" s="3377" t="s">
        <v>4089</v>
      </c>
      <c r="I258" s="3375">
        <v>846.24</v>
      </c>
      <c r="J258" s="3375">
        <v>592.37</v>
      </c>
      <c r="K258" s="3375" t="s">
        <v>4090</v>
      </c>
      <c r="L258" s="3375"/>
      <c r="M258" s="3378">
        <v>6</v>
      </c>
      <c r="N258" s="3379">
        <f>130000/I258/30</f>
        <v>5.1206907417911385</v>
      </c>
      <c r="O258" s="3380">
        <f t="shared" si="66"/>
        <v>4333.333333333333</v>
      </c>
      <c r="P258" s="3376" t="s">
        <v>4091</v>
      </c>
      <c r="Q258" s="3375" t="s">
        <v>4092</v>
      </c>
      <c r="R258" s="3375">
        <v>0.13</v>
      </c>
      <c r="S258" s="3375">
        <v>38080.800000000003</v>
      </c>
      <c r="T258" s="3375">
        <v>59236.800000000003</v>
      </c>
      <c r="V258" s="3381" t="s">
        <v>4093</v>
      </c>
      <c r="Y258" s="3381">
        <f t="shared" si="54"/>
        <v>762666.66666666663</v>
      </c>
      <c r="Z258" s="3381">
        <f t="shared" si="55"/>
        <v>1577333.3333333333</v>
      </c>
      <c r="AA258" s="3381">
        <f t="shared" si="56"/>
        <v>1577333.3333333333</v>
      </c>
      <c r="AB258" s="3381">
        <f t="shared" si="57"/>
        <v>1577333.3333333333</v>
      </c>
      <c r="AC258" s="3381">
        <f t="shared" si="58"/>
        <v>1581666.6666666665</v>
      </c>
      <c r="AD258" s="3381">
        <f t="shared" si="59"/>
        <v>1577333.3333333333</v>
      </c>
      <c r="AE258" s="3381">
        <f t="shared" si="60"/>
        <v>1577333.3333333333</v>
      </c>
      <c r="AF258" s="3381">
        <f t="shared" si="61"/>
        <v>1577333.3333333333</v>
      </c>
      <c r="AG258" s="3381">
        <f t="shared" si="62"/>
        <v>1581666.6666666665</v>
      </c>
      <c r="AH258" s="3381">
        <f t="shared" si="63"/>
        <v>1577333.3333333333</v>
      </c>
      <c r="AI258" s="3381">
        <f t="shared" si="64"/>
        <v>1577333.3333333333</v>
      </c>
      <c r="AJ258" s="3381">
        <f t="shared" si="65"/>
        <v>1577333.3333333333</v>
      </c>
    </row>
    <row r="259" spans="1:36" s="3381" customFormat="1" ht="24">
      <c r="A259" s="3382"/>
      <c r="B259" s="3382"/>
      <c r="C259" s="3382"/>
      <c r="D259" s="3382"/>
      <c r="E259" s="3382"/>
      <c r="F259" s="3382"/>
      <c r="G259" s="3382"/>
      <c r="H259" s="3382"/>
      <c r="I259" s="3382"/>
      <c r="J259" s="3382"/>
      <c r="K259" s="3382"/>
      <c r="L259" s="3382"/>
      <c r="M259" s="3384"/>
      <c r="N259" s="3379"/>
      <c r="O259" s="3380">
        <f t="shared" si="66"/>
        <v>0</v>
      </c>
      <c r="P259" s="3387" t="s">
        <v>4094</v>
      </c>
      <c r="Q259" s="3385" t="s">
        <v>4095</v>
      </c>
      <c r="R259" s="3385"/>
      <c r="S259" s="3382"/>
      <c r="T259" s="3382"/>
      <c r="Y259" s="3381">
        <f t="shared" si="54"/>
        <v>0</v>
      </c>
      <c r="Z259" s="3381">
        <f t="shared" si="55"/>
        <v>0</v>
      </c>
      <c r="AA259" s="3381">
        <f t="shared" si="56"/>
        <v>0</v>
      </c>
      <c r="AB259" s="3381">
        <f t="shared" si="57"/>
        <v>0</v>
      </c>
      <c r="AC259" s="3381">
        <f t="shared" si="58"/>
        <v>0</v>
      </c>
      <c r="AD259" s="3381">
        <f t="shared" si="59"/>
        <v>0</v>
      </c>
      <c r="AE259" s="3381">
        <f t="shared" si="60"/>
        <v>0</v>
      </c>
      <c r="AF259" s="3381">
        <f t="shared" si="61"/>
        <v>0</v>
      </c>
      <c r="AG259" s="3381">
        <f t="shared" si="62"/>
        <v>0</v>
      </c>
      <c r="AH259" s="3381">
        <f t="shared" si="63"/>
        <v>0</v>
      </c>
      <c r="AI259" s="3381">
        <f t="shared" si="64"/>
        <v>0</v>
      </c>
      <c r="AJ259" s="3381">
        <f t="shared" si="65"/>
        <v>0</v>
      </c>
    </row>
    <row r="260" spans="1:36" s="3381" customFormat="1">
      <c r="A260" s="3382"/>
      <c r="B260" s="3382"/>
      <c r="C260" s="3382"/>
      <c r="D260" s="3382"/>
      <c r="E260" s="3382"/>
      <c r="F260" s="3382"/>
      <c r="G260" s="3382"/>
      <c r="H260" s="3382"/>
      <c r="I260" s="3382"/>
      <c r="J260" s="3382"/>
      <c r="K260" s="3382"/>
      <c r="L260" s="3382"/>
      <c r="M260" s="3384"/>
      <c r="N260" s="3379"/>
      <c r="O260" s="3380">
        <f t="shared" si="66"/>
        <v>0</v>
      </c>
      <c r="P260" s="3380" t="s">
        <v>4096</v>
      </c>
      <c r="Q260" s="3379" t="s">
        <v>4097</v>
      </c>
      <c r="R260" s="3379">
        <v>0.14000000000000001</v>
      </c>
      <c r="S260" s="3382"/>
      <c r="T260" s="3382"/>
      <c r="Y260" s="3381">
        <f t="shared" si="54"/>
        <v>0</v>
      </c>
      <c r="Z260" s="3381">
        <f t="shared" si="55"/>
        <v>0</v>
      </c>
      <c r="AA260" s="3381">
        <f t="shared" si="56"/>
        <v>0</v>
      </c>
      <c r="AB260" s="3381">
        <f t="shared" si="57"/>
        <v>0</v>
      </c>
      <c r="AC260" s="3381">
        <f t="shared" si="58"/>
        <v>0</v>
      </c>
      <c r="AD260" s="3381">
        <f t="shared" si="59"/>
        <v>0</v>
      </c>
      <c r="AE260" s="3381">
        <f t="shared" si="60"/>
        <v>0</v>
      </c>
      <c r="AF260" s="3381">
        <f t="shared" si="61"/>
        <v>0</v>
      </c>
      <c r="AG260" s="3381">
        <f t="shared" si="62"/>
        <v>0</v>
      </c>
      <c r="AH260" s="3381">
        <f t="shared" si="63"/>
        <v>0</v>
      </c>
      <c r="AI260" s="3381">
        <f t="shared" si="64"/>
        <v>0</v>
      </c>
      <c r="AJ260" s="3381">
        <f t="shared" si="65"/>
        <v>0</v>
      </c>
    </row>
    <row r="261" spans="1:36" s="3381" customFormat="1">
      <c r="A261" s="3382"/>
      <c r="B261" s="3382"/>
      <c r="C261" s="3382"/>
      <c r="D261" s="3382"/>
      <c r="E261" s="3382"/>
      <c r="F261" s="3382"/>
      <c r="G261" s="3382"/>
      <c r="H261" s="3382"/>
      <c r="I261" s="3382"/>
      <c r="J261" s="3382"/>
      <c r="K261" s="3382"/>
      <c r="L261" s="3382"/>
      <c r="M261" s="3384"/>
      <c r="N261" s="3379"/>
      <c r="O261" s="3380">
        <f t="shared" si="66"/>
        <v>0</v>
      </c>
      <c r="P261" s="3380" t="s">
        <v>4098</v>
      </c>
      <c r="Q261" s="3379" t="s">
        <v>4099</v>
      </c>
      <c r="R261" s="3379">
        <v>0.15</v>
      </c>
      <c r="S261" s="3382"/>
      <c r="T261" s="3382"/>
      <c r="Y261" s="3381">
        <f t="shared" si="54"/>
        <v>0</v>
      </c>
      <c r="Z261" s="3381">
        <f t="shared" si="55"/>
        <v>0</v>
      </c>
      <c r="AA261" s="3381">
        <f t="shared" si="56"/>
        <v>0</v>
      </c>
      <c r="AB261" s="3381">
        <f t="shared" si="57"/>
        <v>0</v>
      </c>
      <c r="AC261" s="3381">
        <f t="shared" si="58"/>
        <v>0</v>
      </c>
      <c r="AD261" s="3381">
        <f t="shared" si="59"/>
        <v>0</v>
      </c>
      <c r="AE261" s="3381">
        <f t="shared" si="60"/>
        <v>0</v>
      </c>
      <c r="AF261" s="3381">
        <f t="shared" si="61"/>
        <v>0</v>
      </c>
      <c r="AG261" s="3381">
        <f t="shared" si="62"/>
        <v>0</v>
      </c>
      <c r="AH261" s="3381">
        <f t="shared" si="63"/>
        <v>0</v>
      </c>
      <c r="AI261" s="3381">
        <f t="shared" si="64"/>
        <v>0</v>
      </c>
      <c r="AJ261" s="3381">
        <f t="shared" si="65"/>
        <v>0</v>
      </c>
    </row>
    <row r="262" spans="1:36" s="3381" customFormat="1">
      <c r="A262" s="3382"/>
      <c r="B262" s="3382"/>
      <c r="C262" s="3382"/>
      <c r="D262" s="3382"/>
      <c r="E262" s="3382"/>
      <c r="F262" s="3382"/>
      <c r="G262" s="3382"/>
      <c r="H262" s="3382"/>
      <c r="I262" s="3382"/>
      <c r="J262" s="3382"/>
      <c r="K262" s="3382"/>
      <c r="L262" s="3382"/>
      <c r="M262" s="3384"/>
      <c r="N262" s="3379"/>
      <c r="O262" s="3380">
        <f t="shared" si="66"/>
        <v>0</v>
      </c>
      <c r="P262" s="3380" t="s">
        <v>4100</v>
      </c>
      <c r="Q262" s="3379" t="s">
        <v>4101</v>
      </c>
      <c r="R262" s="3379">
        <v>0.16</v>
      </c>
      <c r="S262" s="3382"/>
      <c r="T262" s="3382"/>
      <c r="Y262" s="3381">
        <f t="shared" si="54"/>
        <v>0</v>
      </c>
      <c r="Z262" s="3381">
        <f t="shared" si="55"/>
        <v>0</v>
      </c>
      <c r="AA262" s="3381">
        <f t="shared" si="56"/>
        <v>0</v>
      </c>
      <c r="AB262" s="3381">
        <f t="shared" si="57"/>
        <v>0</v>
      </c>
      <c r="AC262" s="3381">
        <f t="shared" si="58"/>
        <v>0</v>
      </c>
      <c r="AD262" s="3381">
        <f t="shared" si="59"/>
        <v>0</v>
      </c>
      <c r="AE262" s="3381">
        <f t="shared" si="60"/>
        <v>0</v>
      </c>
      <c r="AF262" s="3381">
        <f t="shared" si="61"/>
        <v>0</v>
      </c>
      <c r="AG262" s="3381">
        <f t="shared" si="62"/>
        <v>0</v>
      </c>
      <c r="AH262" s="3381">
        <f t="shared" si="63"/>
        <v>0</v>
      </c>
      <c r="AI262" s="3381">
        <f t="shared" si="64"/>
        <v>0</v>
      </c>
      <c r="AJ262" s="3381">
        <f t="shared" si="65"/>
        <v>0</v>
      </c>
    </row>
    <row r="263" spans="1:36" s="3381" customFormat="1">
      <c r="A263" s="3382"/>
      <c r="B263" s="3382"/>
      <c r="C263" s="3382"/>
      <c r="D263" s="3382"/>
      <c r="E263" s="3382"/>
      <c r="F263" s="3382"/>
      <c r="G263" s="3382"/>
      <c r="H263" s="3382"/>
      <c r="I263" s="3382"/>
      <c r="J263" s="3382"/>
      <c r="K263" s="3382"/>
      <c r="L263" s="3382"/>
      <c r="M263" s="3384"/>
      <c r="N263" s="3379"/>
      <c r="O263" s="3380">
        <f t="shared" si="66"/>
        <v>0</v>
      </c>
      <c r="P263" s="3380" t="s">
        <v>4102</v>
      </c>
      <c r="Q263" s="3379" t="s">
        <v>4103</v>
      </c>
      <c r="R263" s="3379">
        <v>0.18</v>
      </c>
      <c r="S263" s="3382"/>
      <c r="T263" s="3382"/>
      <c r="Y263" s="3381">
        <f t="shared" si="54"/>
        <v>0</v>
      </c>
      <c r="Z263" s="3381">
        <f t="shared" si="55"/>
        <v>0</v>
      </c>
      <c r="AA263" s="3381">
        <f t="shared" si="56"/>
        <v>0</v>
      </c>
      <c r="AB263" s="3381">
        <f t="shared" si="57"/>
        <v>0</v>
      </c>
      <c r="AC263" s="3381">
        <f t="shared" si="58"/>
        <v>0</v>
      </c>
      <c r="AD263" s="3381">
        <f t="shared" si="59"/>
        <v>0</v>
      </c>
      <c r="AE263" s="3381">
        <f t="shared" si="60"/>
        <v>0</v>
      </c>
      <c r="AF263" s="3381">
        <f t="shared" si="61"/>
        <v>0</v>
      </c>
      <c r="AG263" s="3381">
        <f t="shared" si="62"/>
        <v>0</v>
      </c>
      <c r="AH263" s="3381">
        <f t="shared" si="63"/>
        <v>0</v>
      </c>
      <c r="AI263" s="3381">
        <f t="shared" si="64"/>
        <v>0</v>
      </c>
      <c r="AJ263" s="3381">
        <f t="shared" si="65"/>
        <v>0</v>
      </c>
    </row>
    <row r="264" spans="1:36" s="3381" customFormat="1">
      <c r="A264" s="3385"/>
      <c r="B264" s="3385"/>
      <c r="C264" s="3385"/>
      <c r="D264" s="3385"/>
      <c r="E264" s="3385"/>
      <c r="F264" s="3385"/>
      <c r="G264" s="3385"/>
      <c r="H264" s="3385"/>
      <c r="I264" s="3385"/>
      <c r="J264" s="3385"/>
      <c r="K264" s="3385"/>
      <c r="L264" s="3385"/>
      <c r="M264" s="3386"/>
      <c r="N264" s="3379"/>
      <c r="O264" s="3380">
        <f t="shared" si="66"/>
        <v>0</v>
      </c>
      <c r="P264" s="3380" t="s">
        <v>4104</v>
      </c>
      <c r="Q264" s="3379" t="s">
        <v>4105</v>
      </c>
      <c r="R264" s="3379">
        <v>0.2</v>
      </c>
      <c r="S264" s="3385"/>
      <c r="T264" s="3385"/>
      <c r="Y264" s="3381">
        <f t="shared" si="54"/>
        <v>0</v>
      </c>
      <c r="Z264" s="3381">
        <f t="shared" si="55"/>
        <v>0</v>
      </c>
      <c r="AA264" s="3381">
        <f t="shared" si="56"/>
        <v>0</v>
      </c>
      <c r="AB264" s="3381">
        <f t="shared" si="57"/>
        <v>0</v>
      </c>
      <c r="AC264" s="3381">
        <f t="shared" si="58"/>
        <v>0</v>
      </c>
      <c r="AD264" s="3381">
        <f t="shared" si="59"/>
        <v>0</v>
      </c>
      <c r="AE264" s="3381">
        <f t="shared" si="60"/>
        <v>0</v>
      </c>
      <c r="AF264" s="3381">
        <f t="shared" si="61"/>
        <v>0</v>
      </c>
      <c r="AG264" s="3381">
        <f t="shared" si="62"/>
        <v>0</v>
      </c>
      <c r="AH264" s="3381">
        <f t="shared" si="63"/>
        <v>0</v>
      </c>
      <c r="AI264" s="3381">
        <f t="shared" si="64"/>
        <v>0</v>
      </c>
      <c r="AJ264" s="3381">
        <f t="shared" si="65"/>
        <v>0</v>
      </c>
    </row>
    <row r="265" spans="1:36" s="3381" customFormat="1" ht="48">
      <c r="A265" s="3375">
        <v>70</v>
      </c>
      <c r="B265" s="3375" t="s">
        <v>4106</v>
      </c>
      <c r="C265" s="3375" t="s">
        <v>4107</v>
      </c>
      <c r="D265" s="3375"/>
      <c r="E265" s="3375"/>
      <c r="F265" s="3375"/>
      <c r="G265" s="3377" t="s">
        <v>3791</v>
      </c>
      <c r="H265" s="3377" t="s">
        <v>4108</v>
      </c>
      <c r="I265" s="3375">
        <v>260.83</v>
      </c>
      <c r="J265" s="3375">
        <v>182.58</v>
      </c>
      <c r="K265" s="3375" t="s">
        <v>3793</v>
      </c>
      <c r="L265" s="3375"/>
      <c r="M265" s="3378">
        <v>3</v>
      </c>
      <c r="N265" s="3379"/>
      <c r="O265" s="3380">
        <f t="shared" si="66"/>
        <v>0</v>
      </c>
      <c r="P265" s="3376" t="s">
        <v>4014</v>
      </c>
      <c r="Q265" s="3375" t="s">
        <v>4014</v>
      </c>
      <c r="R265" s="3379">
        <v>0.1</v>
      </c>
      <c r="S265" s="3375">
        <v>18258.099999999999</v>
      </c>
      <c r="T265" s="3375">
        <v>2608.3000000000002</v>
      </c>
      <c r="V265" s="3381" t="s">
        <v>4109</v>
      </c>
      <c r="Y265" s="3381">
        <f t="shared" si="54"/>
        <v>0</v>
      </c>
      <c r="Z265" s="3381">
        <f t="shared" si="55"/>
        <v>0</v>
      </c>
      <c r="AA265" s="3381">
        <f t="shared" si="56"/>
        <v>0</v>
      </c>
      <c r="AB265" s="3381">
        <f t="shared" si="57"/>
        <v>0</v>
      </c>
      <c r="AC265" s="3381">
        <f t="shared" si="58"/>
        <v>0</v>
      </c>
      <c r="AD265" s="3381">
        <f t="shared" si="59"/>
        <v>0</v>
      </c>
      <c r="AE265" s="3381">
        <f t="shared" si="60"/>
        <v>0</v>
      </c>
      <c r="AF265" s="3381">
        <f t="shared" si="61"/>
        <v>0</v>
      </c>
      <c r="AG265" s="3381">
        <f t="shared" si="62"/>
        <v>0</v>
      </c>
      <c r="AH265" s="3381">
        <f t="shared" si="63"/>
        <v>0</v>
      </c>
      <c r="AI265" s="3381">
        <f t="shared" si="64"/>
        <v>0</v>
      </c>
      <c r="AJ265" s="3381">
        <f t="shared" si="65"/>
        <v>0</v>
      </c>
    </row>
    <row r="266" spans="1:36" s="3381" customFormat="1">
      <c r="A266" s="3382"/>
      <c r="B266" s="3382"/>
      <c r="C266" s="3382"/>
      <c r="D266" s="3382"/>
      <c r="E266" s="3382"/>
      <c r="F266" s="3382"/>
      <c r="G266" s="3382"/>
      <c r="H266" s="3382"/>
      <c r="I266" s="3382"/>
      <c r="J266" s="3382"/>
      <c r="K266" s="3382"/>
      <c r="L266" s="3382"/>
      <c r="M266" s="3384"/>
      <c r="N266" s="3379"/>
      <c r="O266" s="3380">
        <f t="shared" si="66"/>
        <v>0</v>
      </c>
      <c r="P266" s="3383"/>
      <c r="Q266" s="3382"/>
      <c r="R266" s="3379">
        <v>0.11</v>
      </c>
      <c r="S266" s="3382"/>
      <c r="T266" s="3382"/>
      <c r="Y266" s="3381">
        <f t="shared" si="54"/>
        <v>0</v>
      </c>
      <c r="Z266" s="3381">
        <f t="shared" si="55"/>
        <v>0</v>
      </c>
      <c r="AA266" s="3381">
        <f t="shared" si="56"/>
        <v>0</v>
      </c>
      <c r="AB266" s="3381">
        <f t="shared" si="57"/>
        <v>0</v>
      </c>
      <c r="AC266" s="3381">
        <f t="shared" si="58"/>
        <v>0</v>
      </c>
      <c r="AD266" s="3381">
        <f t="shared" si="59"/>
        <v>0</v>
      </c>
      <c r="AE266" s="3381">
        <f t="shared" si="60"/>
        <v>0</v>
      </c>
      <c r="AF266" s="3381">
        <f t="shared" si="61"/>
        <v>0</v>
      </c>
      <c r="AG266" s="3381">
        <f t="shared" si="62"/>
        <v>0</v>
      </c>
      <c r="AH266" s="3381">
        <f t="shared" si="63"/>
        <v>0</v>
      </c>
      <c r="AI266" s="3381">
        <f t="shared" si="64"/>
        <v>0</v>
      </c>
      <c r="AJ266" s="3381">
        <f t="shared" si="65"/>
        <v>0</v>
      </c>
    </row>
    <row r="267" spans="1:36" s="3381" customFormat="1">
      <c r="A267" s="3385"/>
      <c r="B267" s="3385"/>
      <c r="C267" s="3385"/>
      <c r="D267" s="3385"/>
      <c r="E267" s="3385"/>
      <c r="F267" s="3385"/>
      <c r="G267" s="3385"/>
      <c r="H267" s="3385"/>
      <c r="I267" s="3385"/>
      <c r="J267" s="3385"/>
      <c r="K267" s="3385"/>
      <c r="L267" s="3385"/>
      <c r="M267" s="3386"/>
      <c r="N267" s="3379"/>
      <c r="O267" s="3380">
        <f t="shared" si="66"/>
        <v>0</v>
      </c>
      <c r="P267" s="3387"/>
      <c r="Q267" s="3382"/>
      <c r="R267" s="3379">
        <v>0.12</v>
      </c>
      <c r="S267" s="3382"/>
      <c r="T267" s="3382"/>
      <c r="Y267" s="3381">
        <f t="shared" si="54"/>
        <v>0</v>
      </c>
      <c r="Z267" s="3381">
        <f t="shared" si="55"/>
        <v>0</v>
      </c>
      <c r="AA267" s="3381">
        <f t="shared" si="56"/>
        <v>0</v>
      </c>
      <c r="AB267" s="3381">
        <f t="shared" si="57"/>
        <v>0</v>
      </c>
      <c r="AC267" s="3381">
        <f t="shared" si="58"/>
        <v>0</v>
      </c>
      <c r="AD267" s="3381">
        <f t="shared" si="59"/>
        <v>0</v>
      </c>
      <c r="AE267" s="3381">
        <f t="shared" si="60"/>
        <v>0</v>
      </c>
      <c r="AF267" s="3381">
        <f t="shared" si="61"/>
        <v>0</v>
      </c>
      <c r="AG267" s="3381">
        <f t="shared" si="62"/>
        <v>0</v>
      </c>
      <c r="AH267" s="3381">
        <f t="shared" si="63"/>
        <v>0</v>
      </c>
      <c r="AI267" s="3381">
        <f t="shared" si="64"/>
        <v>0</v>
      </c>
      <c r="AJ267" s="3381">
        <f t="shared" si="65"/>
        <v>0</v>
      </c>
    </row>
    <row r="268" spans="1:36" s="3381" customFormat="1" ht="24">
      <c r="A268" s="3375">
        <v>71</v>
      </c>
      <c r="B268" s="3375" t="s">
        <v>4110</v>
      </c>
      <c r="C268" s="3375" t="s">
        <v>4111</v>
      </c>
      <c r="D268" s="3375"/>
      <c r="E268" s="3375"/>
      <c r="F268" s="3375"/>
      <c r="G268" s="3377" t="s">
        <v>3791</v>
      </c>
      <c r="H268" s="3377" t="s">
        <v>4112</v>
      </c>
      <c r="I268" s="3375">
        <v>217.43</v>
      </c>
      <c r="J268" s="3375">
        <v>152.19999999999999</v>
      </c>
      <c r="K268" s="3375" t="s">
        <v>4113</v>
      </c>
      <c r="L268" s="3375"/>
      <c r="M268" s="3378">
        <v>8</v>
      </c>
      <c r="N268" s="3379">
        <f>40/30</f>
        <v>1.3333333333333333</v>
      </c>
      <c r="O268" s="3380">
        <f t="shared" si="66"/>
        <v>289.90666666666664</v>
      </c>
      <c r="P268" s="3389" t="s">
        <v>4114</v>
      </c>
      <c r="Q268" s="3375"/>
      <c r="R268" s="3389" t="s">
        <v>4115</v>
      </c>
      <c r="S268" s="3375">
        <v>41934.199999999997</v>
      </c>
      <c r="T268" s="3375">
        <v>5990.6</v>
      </c>
      <c r="Y268" s="3381">
        <f t="shared" si="54"/>
        <v>51023.573333333326</v>
      </c>
      <c r="Z268" s="3381">
        <f t="shared" si="55"/>
        <v>105526.02666666666</v>
      </c>
      <c r="AA268" s="3381">
        <f t="shared" si="56"/>
        <v>105526.02666666666</v>
      </c>
      <c r="AB268" s="3381">
        <f t="shared" si="57"/>
        <v>105526.02666666666</v>
      </c>
      <c r="AC268" s="3381">
        <f t="shared" si="58"/>
        <v>105815.93333333332</v>
      </c>
      <c r="AD268" s="3381">
        <f t="shared" si="59"/>
        <v>105526.02666666666</v>
      </c>
      <c r="AE268" s="3381">
        <f t="shared" si="60"/>
        <v>105526.02666666666</v>
      </c>
      <c r="AF268" s="3381">
        <f t="shared" si="61"/>
        <v>105526.02666666666</v>
      </c>
      <c r="AG268" s="3381">
        <f t="shared" si="62"/>
        <v>105815.93333333332</v>
      </c>
      <c r="AH268" s="3381">
        <f t="shared" si="63"/>
        <v>105526.02666666666</v>
      </c>
      <c r="AI268" s="3381">
        <f t="shared" si="64"/>
        <v>105526.02666666666</v>
      </c>
      <c r="AJ268" s="3381">
        <f t="shared" si="65"/>
        <v>105526.02666666666</v>
      </c>
    </row>
    <row r="269" spans="1:36" s="3381" customFormat="1">
      <c r="A269" s="3382"/>
      <c r="B269" s="3382"/>
      <c r="C269" s="3382"/>
      <c r="D269" s="3382"/>
      <c r="E269" s="3382"/>
      <c r="F269" s="3382"/>
      <c r="G269" s="3382"/>
      <c r="H269" s="3382"/>
      <c r="I269" s="3382"/>
      <c r="J269" s="3382"/>
      <c r="K269" s="3382"/>
      <c r="L269" s="3382"/>
      <c r="M269" s="3384"/>
      <c r="N269" s="3379">
        <f>70/30</f>
        <v>2.3333333333333335</v>
      </c>
      <c r="O269" s="3380">
        <f t="shared" si="66"/>
        <v>0</v>
      </c>
      <c r="P269" s="3389" t="s">
        <v>4116</v>
      </c>
      <c r="Q269" s="3382"/>
      <c r="R269" s="3389" t="s">
        <v>4115</v>
      </c>
      <c r="S269" s="3382"/>
      <c r="T269" s="3382"/>
      <c r="Y269" s="3381">
        <f t="shared" si="54"/>
        <v>0</v>
      </c>
      <c r="Z269" s="3381">
        <f t="shared" si="55"/>
        <v>0</v>
      </c>
      <c r="AA269" s="3381">
        <f t="shared" si="56"/>
        <v>0</v>
      </c>
      <c r="AB269" s="3381">
        <f t="shared" si="57"/>
        <v>0</v>
      </c>
      <c r="AC269" s="3381">
        <f t="shared" si="58"/>
        <v>0</v>
      </c>
      <c r="AD269" s="3381">
        <f t="shared" si="59"/>
        <v>0</v>
      </c>
      <c r="AE269" s="3381">
        <f t="shared" si="60"/>
        <v>0</v>
      </c>
      <c r="AF269" s="3381">
        <f t="shared" si="61"/>
        <v>0</v>
      </c>
      <c r="AG269" s="3381">
        <f t="shared" si="62"/>
        <v>0</v>
      </c>
      <c r="AH269" s="3381">
        <f t="shared" si="63"/>
        <v>0</v>
      </c>
      <c r="AI269" s="3381">
        <f t="shared" si="64"/>
        <v>0</v>
      </c>
      <c r="AJ269" s="3381">
        <f t="shared" si="65"/>
        <v>0</v>
      </c>
    </row>
    <row r="270" spans="1:36" s="3381" customFormat="1">
      <c r="A270" s="3382"/>
      <c r="B270" s="3382"/>
      <c r="C270" s="3382"/>
      <c r="D270" s="3382"/>
      <c r="E270" s="3382"/>
      <c r="F270" s="3382"/>
      <c r="G270" s="3382"/>
      <c r="H270" s="3382"/>
      <c r="I270" s="3382"/>
      <c r="J270" s="3382"/>
      <c r="K270" s="3382"/>
      <c r="L270" s="3382"/>
      <c r="M270" s="3384"/>
      <c r="N270" s="3379">
        <f>90/30</f>
        <v>3</v>
      </c>
      <c r="O270" s="3380">
        <f t="shared" si="66"/>
        <v>0</v>
      </c>
      <c r="P270" s="3389" t="s">
        <v>4117</v>
      </c>
      <c r="Q270" s="3382"/>
      <c r="R270" s="3389" t="s">
        <v>4118</v>
      </c>
      <c r="S270" s="3382"/>
      <c r="T270" s="3382"/>
      <c r="Y270" s="3381">
        <f t="shared" si="54"/>
        <v>0</v>
      </c>
      <c r="Z270" s="3381">
        <f t="shared" si="55"/>
        <v>0</v>
      </c>
      <c r="AA270" s="3381">
        <f t="shared" si="56"/>
        <v>0</v>
      </c>
      <c r="AB270" s="3381">
        <f t="shared" si="57"/>
        <v>0</v>
      </c>
      <c r="AC270" s="3381">
        <f t="shared" si="58"/>
        <v>0</v>
      </c>
      <c r="AD270" s="3381">
        <f t="shared" si="59"/>
        <v>0</v>
      </c>
      <c r="AE270" s="3381">
        <f t="shared" si="60"/>
        <v>0</v>
      </c>
      <c r="AF270" s="3381">
        <f t="shared" si="61"/>
        <v>0</v>
      </c>
      <c r="AG270" s="3381">
        <f t="shared" si="62"/>
        <v>0</v>
      </c>
      <c r="AH270" s="3381">
        <f t="shared" si="63"/>
        <v>0</v>
      </c>
      <c r="AI270" s="3381">
        <f t="shared" si="64"/>
        <v>0</v>
      </c>
      <c r="AJ270" s="3381">
        <f t="shared" si="65"/>
        <v>0</v>
      </c>
    </row>
    <row r="271" spans="1:36" s="3381" customFormat="1">
      <c r="A271" s="3385"/>
      <c r="B271" s="3385"/>
      <c r="C271" s="3385"/>
      <c r="D271" s="3385"/>
      <c r="E271" s="3385"/>
      <c r="F271" s="3385"/>
      <c r="G271" s="3385"/>
      <c r="H271" s="3385"/>
      <c r="I271" s="3385"/>
      <c r="J271" s="3385"/>
      <c r="K271" s="3385"/>
      <c r="L271" s="3385"/>
      <c r="M271" s="3386"/>
      <c r="N271" s="3379">
        <f>110/30</f>
        <v>3.6666666666666665</v>
      </c>
      <c r="O271" s="3380">
        <f t="shared" si="66"/>
        <v>0</v>
      </c>
      <c r="P271" s="3390" t="s">
        <v>4119</v>
      </c>
      <c r="Q271" s="3385"/>
      <c r="R271" s="3389" t="s">
        <v>4120</v>
      </c>
      <c r="S271" s="3385"/>
      <c r="T271" s="3385"/>
      <c r="Y271" s="3381">
        <f t="shared" si="54"/>
        <v>0</v>
      </c>
      <c r="Z271" s="3381">
        <f t="shared" si="55"/>
        <v>0</v>
      </c>
      <c r="AA271" s="3381">
        <f t="shared" si="56"/>
        <v>0</v>
      </c>
      <c r="AB271" s="3381">
        <f t="shared" si="57"/>
        <v>0</v>
      </c>
      <c r="AC271" s="3381">
        <f t="shared" si="58"/>
        <v>0</v>
      </c>
      <c r="AD271" s="3381">
        <f t="shared" si="59"/>
        <v>0</v>
      </c>
      <c r="AE271" s="3381">
        <f t="shared" si="60"/>
        <v>0</v>
      </c>
      <c r="AF271" s="3381">
        <f t="shared" si="61"/>
        <v>0</v>
      </c>
      <c r="AG271" s="3381">
        <f t="shared" si="62"/>
        <v>0</v>
      </c>
      <c r="AH271" s="3381">
        <f t="shared" si="63"/>
        <v>0</v>
      </c>
      <c r="AI271" s="3381">
        <f t="shared" si="64"/>
        <v>0</v>
      </c>
      <c r="AJ271" s="3381">
        <f t="shared" si="65"/>
        <v>0</v>
      </c>
    </row>
    <row r="272" spans="1:36" s="3381" customFormat="1">
      <c r="A272" s="3375">
        <v>72</v>
      </c>
      <c r="B272" s="3375" t="s">
        <v>4121</v>
      </c>
      <c r="C272" s="3375" t="s">
        <v>4122</v>
      </c>
      <c r="D272" s="3375"/>
      <c r="E272" s="3375"/>
      <c r="F272" s="3377" t="s">
        <v>3166</v>
      </c>
      <c r="G272" s="3375"/>
      <c r="H272" s="3375" t="s">
        <v>4123</v>
      </c>
      <c r="I272" s="3375">
        <v>18.5</v>
      </c>
      <c r="J272" s="3375">
        <v>13</v>
      </c>
      <c r="K272" s="3375" t="s">
        <v>4124</v>
      </c>
      <c r="L272" s="3375"/>
      <c r="M272" s="3378">
        <v>3</v>
      </c>
      <c r="N272" s="3379"/>
      <c r="O272" s="3380">
        <f t="shared" si="66"/>
        <v>0</v>
      </c>
      <c r="P272" s="3376"/>
      <c r="Q272" s="3380" t="s">
        <v>4125</v>
      </c>
      <c r="R272" s="3379">
        <v>0.13</v>
      </c>
      <c r="S272" s="3375"/>
      <c r="T272" s="3375"/>
      <c r="Y272" s="3381">
        <f t="shared" si="54"/>
        <v>0</v>
      </c>
      <c r="Z272" s="3381">
        <f t="shared" si="55"/>
        <v>0</v>
      </c>
      <c r="AA272" s="3381">
        <f t="shared" si="56"/>
        <v>0</v>
      </c>
      <c r="AB272" s="3381">
        <f t="shared" si="57"/>
        <v>0</v>
      </c>
      <c r="AC272" s="3381">
        <f t="shared" si="58"/>
        <v>0</v>
      </c>
      <c r="AD272" s="3381">
        <f t="shared" si="59"/>
        <v>0</v>
      </c>
      <c r="AE272" s="3381">
        <f t="shared" si="60"/>
        <v>0</v>
      </c>
      <c r="AF272" s="3381">
        <f t="shared" si="61"/>
        <v>0</v>
      </c>
      <c r="AG272" s="3381">
        <f t="shared" si="62"/>
        <v>0</v>
      </c>
      <c r="AH272" s="3381">
        <f t="shared" si="63"/>
        <v>0</v>
      </c>
      <c r="AI272" s="3381">
        <f t="shared" si="64"/>
        <v>0</v>
      </c>
      <c r="AJ272" s="3381">
        <f t="shared" si="65"/>
        <v>0</v>
      </c>
    </row>
    <row r="273" spans="1:36" s="3381" customFormat="1">
      <c r="A273" s="3382"/>
      <c r="B273" s="3382"/>
      <c r="C273" s="3382"/>
      <c r="D273" s="3382"/>
      <c r="E273" s="3382"/>
      <c r="F273" s="3382"/>
      <c r="G273" s="3382"/>
      <c r="H273" s="3382"/>
      <c r="I273" s="3382"/>
      <c r="J273" s="3382"/>
      <c r="K273" s="3382"/>
      <c r="L273" s="3382"/>
      <c r="M273" s="3384"/>
      <c r="N273" s="3379"/>
      <c r="O273" s="3380">
        <f t="shared" si="66"/>
        <v>0</v>
      </c>
      <c r="P273" s="3383"/>
      <c r="Q273" s="3380" t="s">
        <v>4126</v>
      </c>
      <c r="R273" s="3379">
        <v>0.14000000000000001</v>
      </c>
      <c r="S273" s="3382"/>
      <c r="T273" s="3382"/>
      <c r="Y273" s="3381">
        <f t="shared" si="54"/>
        <v>0</v>
      </c>
      <c r="Z273" s="3381">
        <f t="shared" si="55"/>
        <v>0</v>
      </c>
      <c r="AA273" s="3381">
        <f t="shared" si="56"/>
        <v>0</v>
      </c>
      <c r="AB273" s="3381">
        <f t="shared" si="57"/>
        <v>0</v>
      </c>
      <c r="AC273" s="3381">
        <f t="shared" si="58"/>
        <v>0</v>
      </c>
      <c r="AD273" s="3381">
        <f t="shared" si="59"/>
        <v>0</v>
      </c>
      <c r="AE273" s="3381">
        <f t="shared" si="60"/>
        <v>0</v>
      </c>
      <c r="AF273" s="3381">
        <f t="shared" si="61"/>
        <v>0</v>
      </c>
      <c r="AG273" s="3381">
        <f t="shared" si="62"/>
        <v>0</v>
      </c>
      <c r="AH273" s="3381">
        <f t="shared" si="63"/>
        <v>0</v>
      </c>
      <c r="AI273" s="3381">
        <f t="shared" si="64"/>
        <v>0</v>
      </c>
      <c r="AJ273" s="3381">
        <f t="shared" si="65"/>
        <v>0</v>
      </c>
    </row>
    <row r="274" spans="1:36" s="3381" customFormat="1">
      <c r="A274" s="3385"/>
      <c r="B274" s="3385"/>
      <c r="C274" s="3385"/>
      <c r="D274" s="3385"/>
      <c r="E274" s="3385"/>
      <c r="F274" s="3385"/>
      <c r="G274" s="3385"/>
      <c r="H274" s="3385"/>
      <c r="I274" s="3385"/>
      <c r="J274" s="3385"/>
      <c r="K274" s="3385"/>
      <c r="L274" s="3385"/>
      <c r="M274" s="3386"/>
      <c r="N274" s="3379"/>
      <c r="O274" s="3380">
        <f t="shared" si="66"/>
        <v>0</v>
      </c>
      <c r="P274" s="3387"/>
      <c r="Q274" s="3380" t="s">
        <v>4127</v>
      </c>
      <c r="R274" s="3379">
        <v>0.15</v>
      </c>
      <c r="S274" s="3385"/>
      <c r="T274" s="3385"/>
      <c r="Y274" s="3381">
        <f t="shared" ref="Y274:Y300" si="67">I274*N274*($Y$2-$X$2)</f>
        <v>0</v>
      </c>
      <c r="Z274" s="3381">
        <f t="shared" ref="Z274:Z300" si="68">I274*N274*($Z$2-$Z$1)</f>
        <v>0</v>
      </c>
      <c r="AA274" s="3381">
        <f t="shared" ref="AA274:AA300" si="69">I274*N274*($AA$2-$AA$1)</f>
        <v>0</v>
      </c>
      <c r="AB274" s="3381">
        <f t="shared" ref="AB274:AB300" si="70">I274*N274*($AB$2-$AB$1)</f>
        <v>0</v>
      </c>
      <c r="AC274" s="3381">
        <f t="shared" ref="AC274:AC300" si="71">I274*N274*($AC$2-$AC$1)</f>
        <v>0</v>
      </c>
      <c r="AD274" s="3381">
        <f t="shared" ref="AD274:AD300" si="72">I274*N274*($AD$2-$AD$1)</f>
        <v>0</v>
      </c>
      <c r="AE274" s="3381">
        <f t="shared" ref="AE274:AE300" si="73">I274*N274*($AE$2-$AE$1)</f>
        <v>0</v>
      </c>
      <c r="AF274" s="3381">
        <f t="shared" ref="AF274:AF300" si="74">I274*N274*($AF$2-$AF$1)</f>
        <v>0</v>
      </c>
      <c r="AG274" s="3381">
        <f t="shared" ref="AG274:AG300" si="75">I274*N274*($AG$2-$AG$1)</f>
        <v>0</v>
      </c>
      <c r="AH274" s="3381">
        <f t="shared" ref="AH274:AH300" si="76">I274*N274*($AH$2-$AH$1)</f>
        <v>0</v>
      </c>
      <c r="AI274" s="3381">
        <f t="shared" ref="AI274:AI300" si="77">I274*N274*($AI$2-$AI$1)</f>
        <v>0</v>
      </c>
      <c r="AJ274" s="3381">
        <f t="shared" ref="AJ274:AJ300" si="78">I274*N274*($AJ$2-$AJ$1)</f>
        <v>0</v>
      </c>
    </row>
    <row r="275" spans="1:36" s="3381" customFormat="1" ht="35.25" customHeight="1">
      <c r="A275" s="3379">
        <v>73</v>
      </c>
      <c r="B275" s="3379" t="s">
        <v>4128</v>
      </c>
      <c r="C275" s="3379" t="s">
        <v>4129</v>
      </c>
      <c r="D275" s="3379" t="s">
        <v>4130</v>
      </c>
      <c r="E275" s="3379"/>
      <c r="F275" s="3379"/>
      <c r="G275" s="3379"/>
      <c r="H275" s="3379" t="s">
        <v>4131</v>
      </c>
      <c r="I275" s="3379">
        <v>5.7</v>
      </c>
      <c r="J275" s="3379"/>
      <c r="K275" s="3379"/>
      <c r="L275" s="3379"/>
      <c r="M275" s="3391" t="s">
        <v>4132</v>
      </c>
      <c r="N275" s="3379">
        <f>P275/365/I275</f>
        <v>25.955299206921413</v>
      </c>
      <c r="O275" s="3380">
        <f t="shared" ref="O275:O301" si="79">I275*N275</f>
        <v>147.94520547945206</v>
      </c>
      <c r="P275" s="3380">
        <v>54000</v>
      </c>
      <c r="Q275" s="3379"/>
      <c r="R275" s="3379"/>
      <c r="S275" s="3379"/>
      <c r="T275" s="3379"/>
      <c r="Y275" s="3381">
        <f t="shared" si="67"/>
        <v>26038.356164383564</v>
      </c>
      <c r="Z275" s="3381">
        <f t="shared" si="68"/>
        <v>53852.054794520547</v>
      </c>
      <c r="AA275" s="3381">
        <f t="shared" si="69"/>
        <v>53852.054794520547</v>
      </c>
      <c r="AB275" s="3381">
        <f t="shared" si="70"/>
        <v>53852.054794520547</v>
      </c>
      <c r="AC275" s="3381">
        <f t="shared" si="71"/>
        <v>54000</v>
      </c>
      <c r="AD275" s="3381">
        <f t="shared" si="72"/>
        <v>53852.054794520547</v>
      </c>
      <c r="AE275" s="3381">
        <f t="shared" si="73"/>
        <v>53852.054794520547</v>
      </c>
      <c r="AF275" s="3381">
        <f t="shared" si="74"/>
        <v>53852.054794520547</v>
      </c>
      <c r="AG275" s="3381">
        <f t="shared" si="75"/>
        <v>54000</v>
      </c>
      <c r="AH275" s="3381">
        <f t="shared" si="76"/>
        <v>53852.054794520547</v>
      </c>
      <c r="AI275" s="3381">
        <f t="shared" si="77"/>
        <v>53852.054794520547</v>
      </c>
      <c r="AJ275" s="3381">
        <f t="shared" si="78"/>
        <v>53852.054794520547</v>
      </c>
    </row>
    <row r="276" spans="1:36" s="3381" customFormat="1" ht="48">
      <c r="A276" s="3379">
        <v>74</v>
      </c>
      <c r="B276" s="3379" t="s">
        <v>4133</v>
      </c>
      <c r="C276" s="3379" t="s">
        <v>4134</v>
      </c>
      <c r="D276" s="3379" t="s">
        <v>4130</v>
      </c>
      <c r="E276" s="3379"/>
      <c r="F276" s="3379"/>
      <c r="G276" s="3379"/>
      <c r="H276" s="3379" t="s">
        <v>4135</v>
      </c>
      <c r="I276" s="3379">
        <v>8.6999999999999993</v>
      </c>
      <c r="J276" s="3379"/>
      <c r="K276" s="3379"/>
      <c r="L276" s="3379"/>
      <c r="M276" s="3391" t="s">
        <v>4132</v>
      </c>
      <c r="N276" s="3379">
        <f>P276/365/I276</f>
        <v>18.894662257912142</v>
      </c>
      <c r="O276" s="3380">
        <f t="shared" si="79"/>
        <v>164.38356164383561</v>
      </c>
      <c r="P276" s="3380">
        <v>60000</v>
      </c>
      <c r="Q276" s="3379"/>
      <c r="R276" s="3379"/>
      <c r="S276" s="3379"/>
      <c r="T276" s="3379"/>
      <c r="Y276" s="3381">
        <f t="shared" si="67"/>
        <v>28931.506849315068</v>
      </c>
      <c r="Z276" s="3381">
        <f t="shared" si="68"/>
        <v>59835.616438356163</v>
      </c>
      <c r="AA276" s="3381">
        <f t="shared" si="69"/>
        <v>59835.616438356163</v>
      </c>
      <c r="AB276" s="3381">
        <f t="shared" si="70"/>
        <v>59835.616438356163</v>
      </c>
      <c r="AC276" s="3381">
        <f t="shared" si="71"/>
        <v>59999.999999999993</v>
      </c>
      <c r="AD276" s="3381">
        <f t="shared" si="72"/>
        <v>59835.616438356163</v>
      </c>
      <c r="AE276" s="3381">
        <f t="shared" si="73"/>
        <v>59835.616438356163</v>
      </c>
      <c r="AF276" s="3381">
        <f t="shared" si="74"/>
        <v>59835.616438356163</v>
      </c>
      <c r="AG276" s="3381">
        <f t="shared" si="75"/>
        <v>59999.999999999993</v>
      </c>
      <c r="AH276" s="3381">
        <f t="shared" si="76"/>
        <v>59835.616438356163</v>
      </c>
      <c r="AI276" s="3381">
        <f t="shared" si="77"/>
        <v>59835.616438356163</v>
      </c>
      <c r="AJ276" s="3381">
        <f t="shared" si="78"/>
        <v>59835.616438356163</v>
      </c>
    </row>
    <row r="277" spans="1:36" s="3381" customFormat="1" ht="48">
      <c r="A277" s="3379">
        <v>75</v>
      </c>
      <c r="B277" s="3379" t="s">
        <v>4136</v>
      </c>
      <c r="C277" s="3379" t="s">
        <v>4137</v>
      </c>
      <c r="D277" s="3379" t="s">
        <v>4130</v>
      </c>
      <c r="E277" s="3379"/>
      <c r="F277" s="3379"/>
      <c r="G277" s="3379"/>
      <c r="H277" s="3379" t="s">
        <v>4138</v>
      </c>
      <c r="I277" s="3379">
        <v>10.199999999999999</v>
      </c>
      <c r="J277" s="3379"/>
      <c r="K277" s="3379"/>
      <c r="L277" s="3379"/>
      <c r="M277" s="3391" t="s">
        <v>4132</v>
      </c>
      <c r="N277" s="3379">
        <f>P277/365/I277</f>
        <v>16.116035455278002</v>
      </c>
      <c r="O277" s="3380">
        <f t="shared" si="79"/>
        <v>164.38356164383561</v>
      </c>
      <c r="P277" s="3380">
        <v>60000</v>
      </c>
      <c r="Q277" s="3379"/>
      <c r="R277" s="3379"/>
      <c r="S277" s="3379"/>
      <c r="T277" s="3379"/>
      <c r="Y277" s="3381">
        <f t="shared" si="67"/>
        <v>28931.506849315068</v>
      </c>
      <c r="Z277" s="3381">
        <f t="shared" si="68"/>
        <v>59835.616438356163</v>
      </c>
      <c r="AA277" s="3381">
        <f t="shared" si="69"/>
        <v>59835.616438356163</v>
      </c>
      <c r="AB277" s="3381">
        <f t="shared" si="70"/>
        <v>59835.616438356163</v>
      </c>
      <c r="AC277" s="3381">
        <f t="shared" si="71"/>
        <v>59999.999999999993</v>
      </c>
      <c r="AD277" s="3381">
        <f t="shared" si="72"/>
        <v>59835.616438356163</v>
      </c>
      <c r="AE277" s="3381">
        <f t="shared" si="73"/>
        <v>59835.616438356163</v>
      </c>
      <c r="AF277" s="3381">
        <f t="shared" si="74"/>
        <v>59835.616438356163</v>
      </c>
      <c r="AG277" s="3381">
        <f t="shared" si="75"/>
        <v>59999.999999999993</v>
      </c>
      <c r="AH277" s="3381">
        <f t="shared" si="76"/>
        <v>59835.616438356163</v>
      </c>
      <c r="AI277" s="3381">
        <f t="shared" si="77"/>
        <v>59835.616438356163</v>
      </c>
      <c r="AJ277" s="3381">
        <f t="shared" si="78"/>
        <v>59835.616438356163</v>
      </c>
    </row>
    <row r="278" spans="1:36" s="3381" customFormat="1" ht="48">
      <c r="A278" s="3392">
        <v>76</v>
      </c>
      <c r="B278" s="3392" t="s">
        <v>4139</v>
      </c>
      <c r="C278" s="3392" t="s">
        <v>4140</v>
      </c>
      <c r="D278" s="3392" t="s">
        <v>4130</v>
      </c>
      <c r="E278" s="3392"/>
      <c r="F278" s="3392"/>
      <c r="G278" s="3392"/>
      <c r="H278" s="3392" t="s">
        <v>4141</v>
      </c>
      <c r="I278" s="3392">
        <v>8.42</v>
      </c>
      <c r="J278" s="3392"/>
      <c r="K278" s="3392"/>
      <c r="L278" s="3392"/>
      <c r="M278" s="3393" t="s">
        <v>4142</v>
      </c>
      <c r="N278" s="3379">
        <f>P278/365/I278</f>
        <v>9.7614941593726616</v>
      </c>
      <c r="O278" s="3380">
        <f t="shared" si="79"/>
        <v>82.191780821917817</v>
      </c>
      <c r="P278" s="3394">
        <v>30000</v>
      </c>
      <c r="Q278" s="3392"/>
      <c r="R278" s="3392"/>
      <c r="S278" s="3392"/>
      <c r="T278" s="3392"/>
      <c r="U278" s="3381" t="s">
        <v>4143</v>
      </c>
      <c r="Y278" s="3381">
        <f t="shared" si="67"/>
        <v>14465.753424657536</v>
      </c>
      <c r="Z278" s="3381">
        <f t="shared" si="68"/>
        <v>29917.808219178085</v>
      </c>
      <c r="AA278" s="3381">
        <f t="shared" si="69"/>
        <v>29917.808219178085</v>
      </c>
      <c r="AB278" s="3381">
        <f t="shared" si="70"/>
        <v>29917.808219178085</v>
      </c>
      <c r="AC278" s="3381">
        <f t="shared" si="71"/>
        <v>30000.000000000004</v>
      </c>
      <c r="AD278" s="3381">
        <f t="shared" si="72"/>
        <v>29917.808219178085</v>
      </c>
      <c r="AE278" s="3381">
        <f t="shared" si="73"/>
        <v>29917.808219178085</v>
      </c>
      <c r="AF278" s="3381">
        <f t="shared" si="74"/>
        <v>29917.808219178085</v>
      </c>
      <c r="AG278" s="3381">
        <f t="shared" si="75"/>
        <v>30000.000000000004</v>
      </c>
      <c r="AH278" s="3381">
        <f t="shared" si="76"/>
        <v>29917.808219178085</v>
      </c>
      <c r="AI278" s="3381">
        <f t="shared" si="77"/>
        <v>29917.808219178085</v>
      </c>
      <c r="AJ278" s="3381">
        <f t="shared" si="78"/>
        <v>29917.808219178085</v>
      </c>
    </row>
    <row r="279" spans="1:36" s="3381" customFormat="1" ht="48">
      <c r="A279" s="3379">
        <v>77</v>
      </c>
      <c r="B279" s="3379" t="s">
        <v>4144</v>
      </c>
      <c r="C279" s="3379" t="s">
        <v>4145</v>
      </c>
      <c r="D279" s="3379" t="s">
        <v>4130</v>
      </c>
      <c r="E279" s="3379"/>
      <c r="F279" s="3379"/>
      <c r="G279" s="3379"/>
      <c r="H279" s="3379" t="s">
        <v>4146</v>
      </c>
      <c r="I279" s="3379">
        <v>8.9</v>
      </c>
      <c r="J279" s="3379"/>
      <c r="K279" s="3379"/>
      <c r="L279" s="3379"/>
      <c r="M279" s="3391" t="s">
        <v>4132</v>
      </c>
      <c r="N279" s="3379">
        <f>P279/365/I279</f>
        <v>18.470063106048944</v>
      </c>
      <c r="O279" s="3380">
        <f t="shared" si="79"/>
        <v>164.38356164383561</v>
      </c>
      <c r="P279" s="3380">
        <v>60000</v>
      </c>
      <c r="Q279" s="3379"/>
      <c r="R279" s="3379"/>
      <c r="S279" s="3379"/>
      <c r="T279" s="3379"/>
      <c r="Y279" s="3381">
        <f t="shared" si="67"/>
        <v>28931.506849315068</v>
      </c>
      <c r="Z279" s="3381">
        <f t="shared" si="68"/>
        <v>59835.616438356163</v>
      </c>
      <c r="AA279" s="3381">
        <f t="shared" si="69"/>
        <v>59835.616438356163</v>
      </c>
      <c r="AB279" s="3381">
        <f t="shared" si="70"/>
        <v>59835.616438356163</v>
      </c>
      <c r="AC279" s="3381">
        <f t="shared" si="71"/>
        <v>59999.999999999993</v>
      </c>
      <c r="AD279" s="3381">
        <f t="shared" si="72"/>
        <v>59835.616438356163</v>
      </c>
      <c r="AE279" s="3381">
        <f t="shared" si="73"/>
        <v>59835.616438356163</v>
      </c>
      <c r="AF279" s="3381">
        <f t="shared" si="74"/>
        <v>59835.616438356163</v>
      </c>
      <c r="AG279" s="3381">
        <f t="shared" si="75"/>
        <v>59999.999999999993</v>
      </c>
      <c r="AH279" s="3381">
        <f t="shared" si="76"/>
        <v>59835.616438356163</v>
      </c>
      <c r="AI279" s="3381">
        <f t="shared" si="77"/>
        <v>59835.616438356163</v>
      </c>
      <c r="AJ279" s="3381">
        <f t="shared" si="78"/>
        <v>59835.616438356163</v>
      </c>
    </row>
    <row r="280" spans="1:36" s="3381" customFormat="1" ht="48">
      <c r="A280" s="3375">
        <v>78</v>
      </c>
      <c r="B280" s="3375" t="s">
        <v>4147</v>
      </c>
      <c r="C280" s="3375" t="s">
        <v>4148</v>
      </c>
      <c r="D280" s="3375" t="s">
        <v>4130</v>
      </c>
      <c r="E280" s="3375"/>
      <c r="F280" s="3375"/>
      <c r="G280" s="3375"/>
      <c r="H280" s="3375" t="s">
        <v>4149</v>
      </c>
      <c r="I280" s="3375">
        <v>75</v>
      </c>
      <c r="J280" s="3375"/>
      <c r="K280" s="3375"/>
      <c r="L280" s="3375"/>
      <c r="M280" s="3390" t="s">
        <v>4150</v>
      </c>
      <c r="N280" s="3379">
        <f>10000/30/I280</f>
        <v>4.4444444444444438</v>
      </c>
      <c r="O280" s="3380">
        <f t="shared" si="79"/>
        <v>333.33333333333326</v>
      </c>
      <c r="P280" s="3380" t="s">
        <v>4151</v>
      </c>
      <c r="Q280" s="3375"/>
      <c r="R280" s="3378"/>
      <c r="S280" s="3375"/>
      <c r="T280" s="3375"/>
      <c r="Y280" s="3381">
        <f t="shared" si="67"/>
        <v>58666.666666666657</v>
      </c>
      <c r="Z280" s="3381">
        <f t="shared" si="68"/>
        <v>121333.3333333333</v>
      </c>
      <c r="AA280" s="3381">
        <f t="shared" si="69"/>
        <v>121333.3333333333</v>
      </c>
      <c r="AB280" s="3381">
        <f t="shared" si="70"/>
        <v>121333.3333333333</v>
      </c>
      <c r="AC280" s="3381">
        <f t="shared" si="71"/>
        <v>121666.66666666664</v>
      </c>
      <c r="AD280" s="3381">
        <f t="shared" si="72"/>
        <v>121333.3333333333</v>
      </c>
      <c r="AE280" s="3381">
        <f t="shared" si="73"/>
        <v>121333.3333333333</v>
      </c>
      <c r="AF280" s="3381">
        <f t="shared" si="74"/>
        <v>121333.3333333333</v>
      </c>
      <c r="AG280" s="3381">
        <f t="shared" si="75"/>
        <v>121666.66666666664</v>
      </c>
      <c r="AH280" s="3381">
        <f t="shared" si="76"/>
        <v>121333.3333333333</v>
      </c>
      <c r="AI280" s="3381">
        <f t="shared" si="77"/>
        <v>121333.3333333333</v>
      </c>
      <c r="AJ280" s="3381">
        <f t="shared" si="78"/>
        <v>121333.3333333333</v>
      </c>
    </row>
    <row r="281" spans="1:36" s="3381" customFormat="1" ht="24">
      <c r="A281" s="3382"/>
      <c r="B281" s="3382"/>
      <c r="C281" s="3382"/>
      <c r="D281" s="3382"/>
      <c r="E281" s="3382"/>
      <c r="F281" s="3382"/>
      <c r="G281" s="3382"/>
      <c r="H281" s="3382"/>
      <c r="I281" s="3382"/>
      <c r="J281" s="3382"/>
      <c r="K281" s="3382"/>
      <c r="L281" s="3382"/>
      <c r="M281" s="3395"/>
      <c r="N281" s="3379"/>
      <c r="O281" s="3380">
        <f t="shared" si="79"/>
        <v>0</v>
      </c>
      <c r="P281" s="3380" t="s">
        <v>4152</v>
      </c>
      <c r="Q281" s="3382"/>
      <c r="R281" s="3384"/>
      <c r="S281" s="3382"/>
      <c r="T281" s="3382"/>
      <c r="Y281" s="3381">
        <f t="shared" si="67"/>
        <v>0</v>
      </c>
      <c r="Z281" s="3381">
        <f t="shared" si="68"/>
        <v>0</v>
      </c>
      <c r="AA281" s="3381">
        <f t="shared" si="69"/>
        <v>0</v>
      </c>
      <c r="AB281" s="3381">
        <f t="shared" si="70"/>
        <v>0</v>
      </c>
      <c r="AC281" s="3381">
        <f t="shared" si="71"/>
        <v>0</v>
      </c>
      <c r="AD281" s="3381">
        <f t="shared" si="72"/>
        <v>0</v>
      </c>
      <c r="AE281" s="3381">
        <f t="shared" si="73"/>
        <v>0</v>
      </c>
      <c r="AF281" s="3381">
        <f t="shared" si="74"/>
        <v>0</v>
      </c>
      <c r="AG281" s="3381">
        <f t="shared" si="75"/>
        <v>0</v>
      </c>
      <c r="AH281" s="3381">
        <f t="shared" si="76"/>
        <v>0</v>
      </c>
      <c r="AI281" s="3381">
        <f t="shared" si="77"/>
        <v>0</v>
      </c>
      <c r="AJ281" s="3381">
        <f t="shared" si="78"/>
        <v>0</v>
      </c>
    </row>
    <row r="282" spans="1:36" s="3381" customFormat="1">
      <c r="A282" s="3382"/>
      <c r="B282" s="3382"/>
      <c r="C282" s="3382"/>
      <c r="D282" s="3382"/>
      <c r="E282" s="3382"/>
      <c r="F282" s="3382"/>
      <c r="G282" s="3382"/>
      <c r="H282" s="3382"/>
      <c r="I282" s="3382"/>
      <c r="J282" s="3382"/>
      <c r="K282" s="3382"/>
      <c r="L282" s="3382"/>
      <c r="M282" s="3395"/>
      <c r="N282" s="3379"/>
      <c r="O282" s="3380">
        <f t="shared" si="79"/>
        <v>0</v>
      </c>
      <c r="P282" s="3380" t="s">
        <v>4153</v>
      </c>
      <c r="Q282" s="3382"/>
      <c r="R282" s="3384"/>
      <c r="S282" s="3382"/>
      <c r="T282" s="3382"/>
      <c r="Y282" s="3381">
        <f t="shared" si="67"/>
        <v>0</v>
      </c>
      <c r="Z282" s="3381">
        <f t="shared" si="68"/>
        <v>0</v>
      </c>
      <c r="AA282" s="3381">
        <f t="shared" si="69"/>
        <v>0</v>
      </c>
      <c r="AB282" s="3381">
        <f t="shared" si="70"/>
        <v>0</v>
      </c>
      <c r="AC282" s="3381">
        <f t="shared" si="71"/>
        <v>0</v>
      </c>
      <c r="AD282" s="3381">
        <f t="shared" si="72"/>
        <v>0</v>
      </c>
      <c r="AE282" s="3381">
        <f t="shared" si="73"/>
        <v>0</v>
      </c>
      <c r="AF282" s="3381">
        <f t="shared" si="74"/>
        <v>0</v>
      </c>
      <c r="AG282" s="3381">
        <f t="shared" si="75"/>
        <v>0</v>
      </c>
      <c r="AH282" s="3381">
        <f t="shared" si="76"/>
        <v>0</v>
      </c>
      <c r="AI282" s="3381">
        <f t="shared" si="77"/>
        <v>0</v>
      </c>
      <c r="AJ282" s="3381">
        <f t="shared" si="78"/>
        <v>0</v>
      </c>
    </row>
    <row r="283" spans="1:36" s="3381" customFormat="1">
      <c r="A283" s="3385"/>
      <c r="B283" s="3385"/>
      <c r="C283" s="3385"/>
      <c r="D283" s="3385"/>
      <c r="E283" s="3385"/>
      <c r="F283" s="3385"/>
      <c r="G283" s="3385"/>
      <c r="H283" s="3385"/>
      <c r="I283" s="3385"/>
      <c r="J283" s="3385"/>
      <c r="K283" s="3385"/>
      <c r="L283" s="3385"/>
      <c r="M283" s="3396"/>
      <c r="N283" s="3379"/>
      <c r="O283" s="3380">
        <f t="shared" si="79"/>
        <v>0</v>
      </c>
      <c r="P283" s="3380" t="s">
        <v>4154</v>
      </c>
      <c r="Q283" s="3385"/>
      <c r="R283" s="3386"/>
      <c r="S283" s="3385"/>
      <c r="T283" s="3385"/>
      <c r="Y283" s="3381">
        <f t="shared" si="67"/>
        <v>0</v>
      </c>
      <c r="Z283" s="3381">
        <f t="shared" si="68"/>
        <v>0</v>
      </c>
      <c r="AA283" s="3381">
        <f t="shared" si="69"/>
        <v>0</v>
      </c>
      <c r="AB283" s="3381">
        <f t="shared" si="70"/>
        <v>0</v>
      </c>
      <c r="AC283" s="3381">
        <f t="shared" si="71"/>
        <v>0</v>
      </c>
      <c r="AD283" s="3381">
        <f t="shared" si="72"/>
        <v>0</v>
      </c>
      <c r="AE283" s="3381">
        <f t="shared" si="73"/>
        <v>0</v>
      </c>
      <c r="AF283" s="3381">
        <f t="shared" si="74"/>
        <v>0</v>
      </c>
      <c r="AG283" s="3381">
        <f t="shared" si="75"/>
        <v>0</v>
      </c>
      <c r="AH283" s="3381">
        <f t="shared" si="76"/>
        <v>0</v>
      </c>
      <c r="AI283" s="3381">
        <f t="shared" si="77"/>
        <v>0</v>
      </c>
      <c r="AJ283" s="3381">
        <f t="shared" si="78"/>
        <v>0</v>
      </c>
    </row>
    <row r="284" spans="1:36" s="3381" customFormat="1" ht="48">
      <c r="A284" s="3375">
        <v>79</v>
      </c>
      <c r="B284" s="3375" t="s">
        <v>4155</v>
      </c>
      <c r="C284" s="3375" t="s">
        <v>4156</v>
      </c>
      <c r="D284" s="3375" t="s">
        <v>4130</v>
      </c>
      <c r="E284" s="3375"/>
      <c r="F284" s="3375"/>
      <c r="G284" s="3375"/>
      <c r="H284" s="3375" t="s">
        <v>4157</v>
      </c>
      <c r="I284" s="3375">
        <v>43.14</v>
      </c>
      <c r="J284" s="3375"/>
      <c r="K284" s="3375"/>
      <c r="L284" s="3375"/>
      <c r="M284" s="3378" t="s">
        <v>4150</v>
      </c>
      <c r="N284" s="3379">
        <f>9000/30/I284</f>
        <v>6.9541029207232263</v>
      </c>
      <c r="O284" s="3380">
        <f t="shared" si="79"/>
        <v>300</v>
      </c>
      <c r="P284" s="3380" t="s">
        <v>4151</v>
      </c>
      <c r="Q284" s="3375"/>
      <c r="R284" s="3375"/>
      <c r="S284" s="3375"/>
      <c r="T284" s="3375"/>
      <c r="V284" s="3381" t="s">
        <v>4158</v>
      </c>
      <c r="Y284" s="3381">
        <f t="shared" si="67"/>
        <v>52800</v>
      </c>
      <c r="Z284" s="3381">
        <f t="shared" si="68"/>
        <v>109200</v>
      </c>
      <c r="AA284" s="3381">
        <f t="shared" si="69"/>
        <v>109200</v>
      </c>
      <c r="AB284" s="3381">
        <f t="shared" si="70"/>
        <v>109200</v>
      </c>
      <c r="AC284" s="3381">
        <f t="shared" si="71"/>
        <v>109500</v>
      </c>
      <c r="AD284" s="3381">
        <f t="shared" si="72"/>
        <v>109200</v>
      </c>
      <c r="AE284" s="3381">
        <f t="shared" si="73"/>
        <v>109200</v>
      </c>
      <c r="AF284" s="3381">
        <f t="shared" si="74"/>
        <v>109200</v>
      </c>
      <c r="AG284" s="3381">
        <f t="shared" si="75"/>
        <v>109500</v>
      </c>
      <c r="AH284" s="3381">
        <f t="shared" si="76"/>
        <v>109200</v>
      </c>
      <c r="AI284" s="3381">
        <f t="shared" si="77"/>
        <v>109200</v>
      </c>
      <c r="AJ284" s="3381">
        <f t="shared" si="78"/>
        <v>109200</v>
      </c>
    </row>
    <row r="285" spans="1:36" s="3381" customFormat="1" ht="24">
      <c r="A285" s="3382"/>
      <c r="B285" s="3382"/>
      <c r="C285" s="3382"/>
      <c r="D285" s="3382"/>
      <c r="E285" s="3382"/>
      <c r="F285" s="3382"/>
      <c r="G285" s="3382"/>
      <c r="H285" s="3382"/>
      <c r="I285" s="3382"/>
      <c r="J285" s="3382"/>
      <c r="K285" s="3382"/>
      <c r="L285" s="3382"/>
      <c r="M285" s="3384"/>
      <c r="N285" s="3379"/>
      <c r="O285" s="3380">
        <f t="shared" si="79"/>
        <v>0</v>
      </c>
      <c r="P285" s="3380" t="s">
        <v>4159</v>
      </c>
      <c r="Q285" s="3382"/>
      <c r="R285" s="3382"/>
      <c r="S285" s="3382"/>
      <c r="T285" s="3382"/>
      <c r="Y285" s="3381">
        <f t="shared" si="67"/>
        <v>0</v>
      </c>
      <c r="Z285" s="3381">
        <f t="shared" si="68"/>
        <v>0</v>
      </c>
      <c r="AA285" s="3381">
        <f t="shared" si="69"/>
        <v>0</v>
      </c>
      <c r="AB285" s="3381">
        <f t="shared" si="70"/>
        <v>0</v>
      </c>
      <c r="AC285" s="3381">
        <f t="shared" si="71"/>
        <v>0</v>
      </c>
      <c r="AD285" s="3381">
        <f t="shared" si="72"/>
        <v>0</v>
      </c>
      <c r="AE285" s="3381">
        <f t="shared" si="73"/>
        <v>0</v>
      </c>
      <c r="AF285" s="3381">
        <f t="shared" si="74"/>
        <v>0</v>
      </c>
      <c r="AG285" s="3381">
        <f t="shared" si="75"/>
        <v>0</v>
      </c>
      <c r="AH285" s="3381">
        <f t="shared" si="76"/>
        <v>0</v>
      </c>
      <c r="AI285" s="3381">
        <f t="shared" si="77"/>
        <v>0</v>
      </c>
      <c r="AJ285" s="3381">
        <f t="shared" si="78"/>
        <v>0</v>
      </c>
    </row>
    <row r="286" spans="1:36" s="3381" customFormat="1">
      <c r="A286" s="3382"/>
      <c r="B286" s="3382"/>
      <c r="C286" s="3382"/>
      <c r="D286" s="3382"/>
      <c r="E286" s="3382"/>
      <c r="F286" s="3382"/>
      <c r="G286" s="3382"/>
      <c r="H286" s="3382"/>
      <c r="I286" s="3382"/>
      <c r="J286" s="3382"/>
      <c r="K286" s="3382"/>
      <c r="L286" s="3382"/>
      <c r="M286" s="3384"/>
      <c r="N286" s="3379"/>
      <c r="O286" s="3380">
        <f t="shared" si="79"/>
        <v>0</v>
      </c>
      <c r="P286" s="3380" t="s">
        <v>4160</v>
      </c>
      <c r="Q286" s="3382"/>
      <c r="R286" s="3382"/>
      <c r="S286" s="3382"/>
      <c r="T286" s="3382"/>
      <c r="Y286" s="3381">
        <f t="shared" si="67"/>
        <v>0</v>
      </c>
      <c r="Z286" s="3381">
        <f t="shared" si="68"/>
        <v>0</v>
      </c>
      <c r="AA286" s="3381">
        <f t="shared" si="69"/>
        <v>0</v>
      </c>
      <c r="AB286" s="3381">
        <f t="shared" si="70"/>
        <v>0</v>
      </c>
      <c r="AC286" s="3381">
        <f t="shared" si="71"/>
        <v>0</v>
      </c>
      <c r="AD286" s="3381">
        <f t="shared" si="72"/>
        <v>0</v>
      </c>
      <c r="AE286" s="3381">
        <f t="shared" si="73"/>
        <v>0</v>
      </c>
      <c r="AF286" s="3381">
        <f t="shared" si="74"/>
        <v>0</v>
      </c>
      <c r="AG286" s="3381">
        <f t="shared" si="75"/>
        <v>0</v>
      </c>
      <c r="AH286" s="3381">
        <f t="shared" si="76"/>
        <v>0</v>
      </c>
      <c r="AI286" s="3381">
        <f t="shared" si="77"/>
        <v>0</v>
      </c>
      <c r="AJ286" s="3381">
        <f t="shared" si="78"/>
        <v>0</v>
      </c>
    </row>
    <row r="287" spans="1:36" s="3381" customFormat="1">
      <c r="A287" s="3385"/>
      <c r="B287" s="3385"/>
      <c r="C287" s="3385"/>
      <c r="D287" s="3385"/>
      <c r="E287" s="3385"/>
      <c r="F287" s="3385"/>
      <c r="G287" s="3385"/>
      <c r="H287" s="3385"/>
      <c r="I287" s="3385"/>
      <c r="J287" s="3385"/>
      <c r="K287" s="3385"/>
      <c r="L287" s="3385"/>
      <c r="M287" s="3386"/>
      <c r="N287" s="3379"/>
      <c r="O287" s="3380">
        <f t="shared" si="79"/>
        <v>0</v>
      </c>
      <c r="P287" s="3380" t="s">
        <v>4161</v>
      </c>
      <c r="Q287" s="3385"/>
      <c r="R287" s="3385"/>
      <c r="S287" s="3385"/>
      <c r="T287" s="3385"/>
      <c r="Y287" s="3381">
        <f t="shared" si="67"/>
        <v>0</v>
      </c>
      <c r="Z287" s="3381">
        <f t="shared" si="68"/>
        <v>0</v>
      </c>
      <c r="AA287" s="3381">
        <f t="shared" si="69"/>
        <v>0</v>
      </c>
      <c r="AB287" s="3381">
        <f t="shared" si="70"/>
        <v>0</v>
      </c>
      <c r="AC287" s="3381">
        <f t="shared" si="71"/>
        <v>0</v>
      </c>
      <c r="AD287" s="3381">
        <f t="shared" si="72"/>
        <v>0</v>
      </c>
      <c r="AE287" s="3381">
        <f t="shared" si="73"/>
        <v>0</v>
      </c>
      <c r="AF287" s="3381">
        <f t="shared" si="74"/>
        <v>0</v>
      </c>
      <c r="AG287" s="3381">
        <f t="shared" si="75"/>
        <v>0</v>
      </c>
      <c r="AH287" s="3381">
        <f t="shared" si="76"/>
        <v>0</v>
      </c>
      <c r="AI287" s="3381">
        <f t="shared" si="77"/>
        <v>0</v>
      </c>
      <c r="AJ287" s="3381">
        <f t="shared" si="78"/>
        <v>0</v>
      </c>
    </row>
    <row r="288" spans="1:36" s="3381" customFormat="1" ht="48">
      <c r="A288" s="3375">
        <v>80</v>
      </c>
      <c r="B288" s="3375" t="s">
        <v>4162</v>
      </c>
      <c r="C288" s="3375" t="s">
        <v>4163</v>
      </c>
      <c r="D288" s="3375" t="s">
        <v>4130</v>
      </c>
      <c r="E288" s="3375"/>
      <c r="F288" s="3375"/>
      <c r="G288" s="3375"/>
      <c r="H288" s="3375" t="s">
        <v>4164</v>
      </c>
      <c r="I288" s="3375">
        <v>12.71</v>
      </c>
      <c r="J288" s="3375"/>
      <c r="K288" s="3375"/>
      <c r="L288" s="3375"/>
      <c r="M288" s="3378" t="s">
        <v>4150</v>
      </c>
      <c r="N288" s="3379">
        <f>4500/30/I288</f>
        <v>11.801730920535011</v>
      </c>
      <c r="O288" s="3380">
        <f t="shared" si="79"/>
        <v>150</v>
      </c>
      <c r="P288" s="3380" t="s">
        <v>4165</v>
      </c>
      <c r="Q288" s="3375"/>
      <c r="R288" s="3375"/>
      <c r="S288" s="3375"/>
      <c r="T288" s="3375"/>
      <c r="Y288" s="3381">
        <f t="shared" si="67"/>
        <v>26400</v>
      </c>
      <c r="Z288" s="3381">
        <f t="shared" si="68"/>
        <v>54600</v>
      </c>
      <c r="AA288" s="3381">
        <f t="shared" si="69"/>
        <v>54600</v>
      </c>
      <c r="AB288" s="3381">
        <f t="shared" si="70"/>
        <v>54600</v>
      </c>
      <c r="AC288" s="3381">
        <f t="shared" si="71"/>
        <v>54750</v>
      </c>
      <c r="AD288" s="3381">
        <f t="shared" si="72"/>
        <v>54600</v>
      </c>
      <c r="AE288" s="3381">
        <f t="shared" si="73"/>
        <v>54600</v>
      </c>
      <c r="AF288" s="3381">
        <f t="shared" si="74"/>
        <v>54600</v>
      </c>
      <c r="AG288" s="3381">
        <f t="shared" si="75"/>
        <v>54750</v>
      </c>
      <c r="AH288" s="3381">
        <f t="shared" si="76"/>
        <v>54600</v>
      </c>
      <c r="AI288" s="3381">
        <f t="shared" si="77"/>
        <v>54600</v>
      </c>
      <c r="AJ288" s="3381">
        <f t="shared" si="78"/>
        <v>54600</v>
      </c>
    </row>
    <row r="289" spans="1:37" s="3381" customFormat="1">
      <c r="A289" s="3382"/>
      <c r="B289" s="3382"/>
      <c r="C289" s="3382"/>
      <c r="D289" s="3382"/>
      <c r="E289" s="3382"/>
      <c r="F289" s="3382"/>
      <c r="G289" s="3382"/>
      <c r="H289" s="3382"/>
      <c r="I289" s="3382"/>
      <c r="J289" s="3382"/>
      <c r="K289" s="3382"/>
      <c r="L289" s="3382"/>
      <c r="M289" s="3384"/>
      <c r="N289" s="3379"/>
      <c r="O289" s="3380">
        <f t="shared" si="79"/>
        <v>0</v>
      </c>
      <c r="P289" s="3380" t="s">
        <v>4166</v>
      </c>
      <c r="Q289" s="3382"/>
      <c r="R289" s="3382"/>
      <c r="S289" s="3382"/>
      <c r="T289" s="3382"/>
      <c r="Y289" s="3381">
        <f t="shared" si="67"/>
        <v>0</v>
      </c>
      <c r="Z289" s="3381">
        <f t="shared" si="68"/>
        <v>0</v>
      </c>
      <c r="AA289" s="3381">
        <f t="shared" si="69"/>
        <v>0</v>
      </c>
      <c r="AB289" s="3381">
        <f t="shared" si="70"/>
        <v>0</v>
      </c>
      <c r="AC289" s="3381">
        <f t="shared" si="71"/>
        <v>0</v>
      </c>
      <c r="AD289" s="3381">
        <f t="shared" si="72"/>
        <v>0</v>
      </c>
      <c r="AE289" s="3381">
        <f t="shared" si="73"/>
        <v>0</v>
      </c>
      <c r="AF289" s="3381">
        <f t="shared" si="74"/>
        <v>0</v>
      </c>
      <c r="AG289" s="3381">
        <f t="shared" si="75"/>
        <v>0</v>
      </c>
      <c r="AH289" s="3381">
        <f t="shared" si="76"/>
        <v>0</v>
      </c>
      <c r="AI289" s="3381">
        <f t="shared" si="77"/>
        <v>0</v>
      </c>
      <c r="AJ289" s="3381">
        <f t="shared" si="78"/>
        <v>0</v>
      </c>
    </row>
    <row r="290" spans="1:37" s="3381" customFormat="1">
      <c r="A290" s="3382"/>
      <c r="B290" s="3382"/>
      <c r="C290" s="3382"/>
      <c r="D290" s="3382"/>
      <c r="E290" s="3382"/>
      <c r="F290" s="3382"/>
      <c r="G290" s="3382"/>
      <c r="H290" s="3382"/>
      <c r="I290" s="3382"/>
      <c r="J290" s="3382"/>
      <c r="K290" s="3382"/>
      <c r="L290" s="3382"/>
      <c r="M290" s="3384"/>
      <c r="N290" s="3379"/>
      <c r="O290" s="3380">
        <f t="shared" si="79"/>
        <v>0</v>
      </c>
      <c r="P290" s="3376" t="s">
        <v>4167</v>
      </c>
      <c r="Q290" s="3385"/>
      <c r="R290" s="3385"/>
      <c r="S290" s="3385"/>
      <c r="T290" s="3385"/>
      <c r="Y290" s="3381">
        <f t="shared" si="67"/>
        <v>0</v>
      </c>
      <c r="Z290" s="3381">
        <f t="shared" si="68"/>
        <v>0</v>
      </c>
      <c r="AA290" s="3381">
        <f t="shared" si="69"/>
        <v>0</v>
      </c>
      <c r="AB290" s="3381">
        <f t="shared" si="70"/>
        <v>0</v>
      </c>
      <c r="AC290" s="3381">
        <f t="shared" si="71"/>
        <v>0</v>
      </c>
      <c r="AD290" s="3381">
        <f t="shared" si="72"/>
        <v>0</v>
      </c>
      <c r="AE290" s="3381">
        <f t="shared" si="73"/>
        <v>0</v>
      </c>
      <c r="AF290" s="3381">
        <f t="shared" si="74"/>
        <v>0</v>
      </c>
      <c r="AG290" s="3381">
        <f t="shared" si="75"/>
        <v>0</v>
      </c>
      <c r="AH290" s="3381">
        <f t="shared" si="76"/>
        <v>0</v>
      </c>
      <c r="AI290" s="3381">
        <f t="shared" si="77"/>
        <v>0</v>
      </c>
      <c r="AJ290" s="3381">
        <f t="shared" si="78"/>
        <v>0</v>
      </c>
    </row>
    <row r="291" spans="1:37" ht="48">
      <c r="A291" s="3368">
        <v>81</v>
      </c>
      <c r="B291" s="3368" t="s">
        <v>4168</v>
      </c>
      <c r="C291" s="3368" t="s">
        <v>4169</v>
      </c>
      <c r="D291" s="3368" t="s">
        <v>4170</v>
      </c>
      <c r="E291" s="3368"/>
      <c r="F291" s="3368"/>
      <c r="G291" s="3368"/>
      <c r="H291" s="3368" t="s">
        <v>4171</v>
      </c>
      <c r="I291" s="3368">
        <v>150</v>
      </c>
      <c r="J291" s="3368"/>
      <c r="K291" s="3368"/>
      <c r="L291" s="3368"/>
      <c r="M291" s="3397" t="s">
        <v>4172</v>
      </c>
      <c r="N291" s="3368"/>
      <c r="O291" s="3380">
        <f t="shared" si="79"/>
        <v>0</v>
      </c>
      <c r="P291" s="3369" t="s">
        <v>4173</v>
      </c>
      <c r="Q291" s="3368"/>
      <c r="R291" s="3368"/>
      <c r="S291" s="3368"/>
      <c r="T291" s="3368"/>
      <c r="Y291" s="3381">
        <f t="shared" si="67"/>
        <v>0</v>
      </c>
      <c r="Z291" s="3381">
        <f t="shared" si="68"/>
        <v>0</v>
      </c>
      <c r="AA291" s="3381">
        <f t="shared" si="69"/>
        <v>0</v>
      </c>
      <c r="AB291" s="3381">
        <f t="shared" si="70"/>
        <v>0</v>
      </c>
      <c r="AC291" s="3381">
        <f t="shared" si="71"/>
        <v>0</v>
      </c>
      <c r="AD291" s="3381">
        <f t="shared" si="72"/>
        <v>0</v>
      </c>
      <c r="AE291" s="3381">
        <f t="shared" si="73"/>
        <v>0</v>
      </c>
      <c r="AF291" s="3381">
        <f t="shared" si="74"/>
        <v>0</v>
      </c>
      <c r="AG291" s="3381">
        <f t="shared" si="75"/>
        <v>0</v>
      </c>
      <c r="AH291" s="3381">
        <f t="shared" si="76"/>
        <v>0</v>
      </c>
      <c r="AI291" s="3381">
        <f t="shared" si="77"/>
        <v>0</v>
      </c>
      <c r="AJ291" s="3381">
        <f t="shared" si="78"/>
        <v>0</v>
      </c>
    </row>
    <row r="292" spans="1:37" s="3381" customFormat="1">
      <c r="A292" s="3375">
        <v>82</v>
      </c>
      <c r="B292" s="3375" t="s">
        <v>4174</v>
      </c>
      <c r="C292" s="3375" t="s">
        <v>4175</v>
      </c>
      <c r="D292" s="3375"/>
      <c r="E292" s="3375"/>
      <c r="F292" s="3377" t="s">
        <v>3244</v>
      </c>
      <c r="G292" s="3375"/>
      <c r="H292" s="3375" t="s">
        <v>4176</v>
      </c>
      <c r="I292" s="3375">
        <v>148.19999999999999</v>
      </c>
      <c r="J292" s="3375">
        <v>103.72</v>
      </c>
      <c r="K292" s="3375"/>
      <c r="L292" s="3375"/>
      <c r="M292" s="3378">
        <v>5</v>
      </c>
      <c r="N292" s="3379">
        <f>310/30</f>
        <v>10.333333333333334</v>
      </c>
      <c r="O292" s="3380">
        <f t="shared" si="79"/>
        <v>1531.3999999999999</v>
      </c>
      <c r="P292" s="3380" t="s">
        <v>4177</v>
      </c>
      <c r="Q292" s="3379">
        <v>32153.200000000001</v>
      </c>
      <c r="R292" s="3379">
        <v>0.15</v>
      </c>
      <c r="S292" s="3375">
        <v>10374</v>
      </c>
      <c r="T292" s="3375">
        <v>1482</v>
      </c>
      <c r="Y292" s="3381">
        <f t="shared" si="67"/>
        <v>269526.39999999997</v>
      </c>
      <c r="Z292" s="3381">
        <f t="shared" si="68"/>
        <v>557429.6</v>
      </c>
      <c r="AA292" s="3381">
        <f t="shared" si="69"/>
        <v>557429.6</v>
      </c>
      <c r="AB292" s="3381">
        <f t="shared" si="70"/>
        <v>557429.6</v>
      </c>
      <c r="AC292" s="3381">
        <f t="shared" si="71"/>
        <v>558961</v>
      </c>
      <c r="AD292" s="3381">
        <f t="shared" si="72"/>
        <v>557429.6</v>
      </c>
      <c r="AE292" s="3381">
        <f t="shared" si="73"/>
        <v>557429.6</v>
      </c>
      <c r="AF292" s="3381">
        <f t="shared" si="74"/>
        <v>557429.6</v>
      </c>
      <c r="AG292" s="3381">
        <f t="shared" si="75"/>
        <v>558961</v>
      </c>
      <c r="AH292" s="3381">
        <f t="shared" si="76"/>
        <v>557429.6</v>
      </c>
      <c r="AI292" s="3381">
        <f t="shared" si="77"/>
        <v>557429.6</v>
      </c>
      <c r="AJ292" s="3381">
        <f t="shared" si="78"/>
        <v>557429.6</v>
      </c>
    </row>
    <row r="293" spans="1:37" s="3381" customFormat="1">
      <c r="A293" s="3382"/>
      <c r="B293" s="3382"/>
      <c r="C293" s="3382"/>
      <c r="D293" s="3382"/>
      <c r="E293" s="3382"/>
      <c r="F293" s="3382"/>
      <c r="G293" s="3382"/>
      <c r="H293" s="3382"/>
      <c r="I293" s="3382"/>
      <c r="J293" s="3382"/>
      <c r="K293" s="3382"/>
      <c r="L293" s="3382"/>
      <c r="M293" s="3384"/>
      <c r="N293" s="3379">
        <f>340/30</f>
        <v>11.333333333333334</v>
      </c>
      <c r="O293" s="3380">
        <f t="shared" si="79"/>
        <v>0</v>
      </c>
      <c r="P293" s="3380" t="s">
        <v>4053</v>
      </c>
      <c r="Q293" s="3379">
        <v>35264.800000000003</v>
      </c>
      <c r="R293" s="3379">
        <v>0.15</v>
      </c>
      <c r="S293" s="3382"/>
      <c r="T293" s="3382"/>
      <c r="Y293" s="3381">
        <f t="shared" si="67"/>
        <v>0</v>
      </c>
      <c r="Z293" s="3381">
        <f t="shared" si="68"/>
        <v>0</v>
      </c>
      <c r="AA293" s="3381">
        <f t="shared" si="69"/>
        <v>0</v>
      </c>
      <c r="AB293" s="3381">
        <f t="shared" si="70"/>
        <v>0</v>
      </c>
      <c r="AC293" s="3381">
        <f t="shared" si="71"/>
        <v>0</v>
      </c>
      <c r="AD293" s="3381">
        <f t="shared" si="72"/>
        <v>0</v>
      </c>
      <c r="AE293" s="3381">
        <f t="shared" si="73"/>
        <v>0</v>
      </c>
      <c r="AF293" s="3381">
        <f t="shared" si="74"/>
        <v>0</v>
      </c>
      <c r="AG293" s="3381">
        <f t="shared" si="75"/>
        <v>0</v>
      </c>
      <c r="AH293" s="3381">
        <f t="shared" si="76"/>
        <v>0</v>
      </c>
      <c r="AI293" s="3381">
        <f t="shared" si="77"/>
        <v>0</v>
      </c>
      <c r="AJ293" s="3381">
        <f t="shared" si="78"/>
        <v>0</v>
      </c>
    </row>
    <row r="294" spans="1:37" s="3381" customFormat="1">
      <c r="A294" s="3382"/>
      <c r="B294" s="3382"/>
      <c r="C294" s="3382"/>
      <c r="D294" s="3382"/>
      <c r="E294" s="3382"/>
      <c r="F294" s="3382"/>
      <c r="G294" s="3382"/>
      <c r="H294" s="3382"/>
      <c r="I294" s="3382"/>
      <c r="J294" s="3382"/>
      <c r="K294" s="3382"/>
      <c r="L294" s="3382"/>
      <c r="M294" s="3384"/>
      <c r="N294" s="3379">
        <f>370/30</f>
        <v>12.333333333333334</v>
      </c>
      <c r="O294" s="3380">
        <f t="shared" si="79"/>
        <v>0</v>
      </c>
      <c r="P294" s="3380" t="s">
        <v>4178</v>
      </c>
      <c r="Q294" s="3379">
        <v>38376.400000000001</v>
      </c>
      <c r="R294" s="3379">
        <v>0.16</v>
      </c>
      <c r="S294" s="3382"/>
      <c r="T294" s="3382"/>
      <c r="Y294" s="3381">
        <f t="shared" si="67"/>
        <v>0</v>
      </c>
      <c r="Z294" s="3381">
        <f t="shared" si="68"/>
        <v>0</v>
      </c>
      <c r="AA294" s="3381">
        <f t="shared" si="69"/>
        <v>0</v>
      </c>
      <c r="AB294" s="3381">
        <f t="shared" si="70"/>
        <v>0</v>
      </c>
      <c r="AC294" s="3381">
        <f t="shared" si="71"/>
        <v>0</v>
      </c>
      <c r="AD294" s="3381">
        <f t="shared" si="72"/>
        <v>0</v>
      </c>
      <c r="AE294" s="3381">
        <f t="shared" si="73"/>
        <v>0</v>
      </c>
      <c r="AF294" s="3381">
        <f t="shared" si="74"/>
        <v>0</v>
      </c>
      <c r="AG294" s="3381">
        <f t="shared" si="75"/>
        <v>0</v>
      </c>
      <c r="AH294" s="3381">
        <f t="shared" si="76"/>
        <v>0</v>
      </c>
      <c r="AI294" s="3381">
        <f t="shared" si="77"/>
        <v>0</v>
      </c>
      <c r="AJ294" s="3381">
        <f t="shared" si="78"/>
        <v>0</v>
      </c>
    </row>
    <row r="295" spans="1:37" s="3381" customFormat="1">
      <c r="A295" s="3385"/>
      <c r="B295" s="3385"/>
      <c r="C295" s="3385"/>
      <c r="D295" s="3385"/>
      <c r="E295" s="3385"/>
      <c r="F295" s="3385"/>
      <c r="G295" s="3385"/>
      <c r="H295" s="3385"/>
      <c r="I295" s="3385"/>
      <c r="J295" s="3385"/>
      <c r="K295" s="3385"/>
      <c r="L295" s="3385"/>
      <c r="M295" s="3386"/>
      <c r="N295" s="3379">
        <f>400/30</f>
        <v>13.333333333333334</v>
      </c>
      <c r="O295" s="3380">
        <f t="shared" si="79"/>
        <v>0</v>
      </c>
      <c r="P295" s="3380" t="s">
        <v>4179</v>
      </c>
      <c r="Q295" s="3379">
        <v>41488</v>
      </c>
      <c r="R295" s="3379">
        <v>0.17</v>
      </c>
      <c r="S295" s="3385"/>
      <c r="T295" s="3385"/>
      <c r="Y295" s="3381">
        <f t="shared" si="67"/>
        <v>0</v>
      </c>
      <c r="Z295" s="3381">
        <f t="shared" si="68"/>
        <v>0</v>
      </c>
      <c r="AA295" s="3381">
        <f t="shared" si="69"/>
        <v>0</v>
      </c>
      <c r="AB295" s="3381">
        <f t="shared" si="70"/>
        <v>0</v>
      </c>
      <c r="AC295" s="3381">
        <f t="shared" si="71"/>
        <v>0</v>
      </c>
      <c r="AD295" s="3381">
        <f t="shared" si="72"/>
        <v>0</v>
      </c>
      <c r="AE295" s="3381">
        <f t="shared" si="73"/>
        <v>0</v>
      </c>
      <c r="AF295" s="3381">
        <f t="shared" si="74"/>
        <v>0</v>
      </c>
      <c r="AG295" s="3381">
        <f t="shared" si="75"/>
        <v>0</v>
      </c>
      <c r="AH295" s="3381">
        <f t="shared" si="76"/>
        <v>0</v>
      </c>
      <c r="AI295" s="3381">
        <f t="shared" si="77"/>
        <v>0</v>
      </c>
      <c r="AJ295" s="3381">
        <f t="shared" si="78"/>
        <v>0</v>
      </c>
    </row>
    <row r="296" spans="1:37" s="3381" customFormat="1" ht="24">
      <c r="A296" s="3398">
        <v>83</v>
      </c>
      <c r="B296" s="3398" t="s">
        <v>4180</v>
      </c>
      <c r="C296" s="3398" t="s">
        <v>4181</v>
      </c>
      <c r="D296" s="3398"/>
      <c r="E296" s="3398"/>
      <c r="F296" s="3398"/>
      <c r="G296" s="3398"/>
      <c r="H296" s="3398" t="s">
        <v>4182</v>
      </c>
      <c r="I296" s="3398">
        <v>39.29</v>
      </c>
      <c r="J296" s="3398">
        <v>27.5</v>
      </c>
      <c r="K296" s="3398"/>
      <c r="L296" s="3398"/>
      <c r="M296" s="3399">
        <v>2</v>
      </c>
      <c r="N296" s="3392">
        <f>285/30</f>
        <v>9.5</v>
      </c>
      <c r="O296" s="3380">
        <f t="shared" si="79"/>
        <v>373.255</v>
      </c>
      <c r="P296" s="3394" t="s">
        <v>4028</v>
      </c>
      <c r="Q296" s="3392">
        <v>7837.5</v>
      </c>
      <c r="R296" s="3398"/>
      <c r="S296" s="3398">
        <v>2750.3</v>
      </c>
      <c r="T296" s="3398">
        <v>392.9</v>
      </c>
      <c r="Y296" s="3381">
        <f t="shared" si="67"/>
        <v>65692.88</v>
      </c>
      <c r="Z296" s="3381">
        <f t="shared" si="68"/>
        <v>135864.82</v>
      </c>
      <c r="AA296" s="3381">
        <f t="shared" si="69"/>
        <v>135864.82</v>
      </c>
      <c r="AB296" s="3381">
        <f t="shared" si="70"/>
        <v>135864.82</v>
      </c>
      <c r="AC296" s="3381">
        <f t="shared" si="71"/>
        <v>136238.07500000001</v>
      </c>
      <c r="AD296" s="3381">
        <f t="shared" si="72"/>
        <v>135864.82</v>
      </c>
      <c r="AE296" s="3381">
        <f t="shared" si="73"/>
        <v>135864.82</v>
      </c>
      <c r="AF296" s="3381">
        <f t="shared" si="74"/>
        <v>135864.82</v>
      </c>
      <c r="AG296" s="3381">
        <f t="shared" si="75"/>
        <v>136238.07500000001</v>
      </c>
      <c r="AH296" s="3381">
        <f t="shared" si="76"/>
        <v>135864.82</v>
      </c>
      <c r="AI296" s="3381">
        <f t="shared" si="77"/>
        <v>135864.82</v>
      </c>
      <c r="AJ296" s="3381">
        <f t="shared" si="78"/>
        <v>135864.82</v>
      </c>
    </row>
    <row r="297" spans="1:37" s="3381" customFormat="1">
      <c r="A297" s="3400"/>
      <c r="B297" s="3400"/>
      <c r="C297" s="3400"/>
      <c r="D297" s="3400"/>
      <c r="E297" s="3400"/>
      <c r="F297" s="3400"/>
      <c r="G297" s="3400"/>
      <c r="H297" s="3401"/>
      <c r="I297" s="3400"/>
      <c r="J297" s="3400"/>
      <c r="K297" s="3400"/>
      <c r="L297" s="3400"/>
      <c r="M297" s="3402"/>
      <c r="N297" s="3392">
        <f>305/30</f>
        <v>10.166666666666666</v>
      </c>
      <c r="O297" s="3380">
        <f t="shared" si="79"/>
        <v>0</v>
      </c>
      <c r="P297" s="3394" t="s">
        <v>4183</v>
      </c>
      <c r="Q297" s="3392">
        <v>8387.5</v>
      </c>
      <c r="R297" s="3400"/>
      <c r="S297" s="3400"/>
      <c r="T297" s="3400"/>
      <c r="Y297" s="3381">
        <f t="shared" si="67"/>
        <v>0</v>
      </c>
      <c r="Z297" s="3381">
        <f t="shared" si="68"/>
        <v>0</v>
      </c>
      <c r="AA297" s="3381">
        <f t="shared" si="69"/>
        <v>0</v>
      </c>
      <c r="AB297" s="3381">
        <f t="shared" si="70"/>
        <v>0</v>
      </c>
      <c r="AC297" s="3381">
        <f t="shared" si="71"/>
        <v>0</v>
      </c>
      <c r="AD297" s="3381">
        <f t="shared" si="72"/>
        <v>0</v>
      </c>
      <c r="AE297" s="3381">
        <f t="shared" si="73"/>
        <v>0</v>
      </c>
      <c r="AF297" s="3381">
        <f t="shared" si="74"/>
        <v>0</v>
      </c>
      <c r="AG297" s="3381">
        <f t="shared" si="75"/>
        <v>0</v>
      </c>
      <c r="AH297" s="3381">
        <f t="shared" si="76"/>
        <v>0</v>
      </c>
      <c r="AI297" s="3381">
        <f t="shared" si="77"/>
        <v>0</v>
      </c>
      <c r="AJ297" s="3381">
        <f t="shared" si="78"/>
        <v>0</v>
      </c>
    </row>
    <row r="298" spans="1:37" s="3381" customFormat="1" ht="48">
      <c r="A298" s="3375">
        <v>84</v>
      </c>
      <c r="B298" s="3376" t="s">
        <v>4184</v>
      </c>
      <c r="C298" s="3375" t="s">
        <v>4185</v>
      </c>
      <c r="D298" s="3375" t="s">
        <v>4130</v>
      </c>
      <c r="E298" s="3375"/>
      <c r="F298" s="3375"/>
      <c r="G298" s="3377" t="s">
        <v>3166</v>
      </c>
      <c r="H298" s="3377" t="s">
        <v>4186</v>
      </c>
      <c r="I298" s="3375">
        <v>470</v>
      </c>
      <c r="J298" s="3375">
        <v>330</v>
      </c>
      <c r="K298" s="3375"/>
      <c r="L298" s="3378" t="s">
        <v>4187</v>
      </c>
      <c r="M298" s="3378" t="s">
        <v>4188</v>
      </c>
      <c r="N298" s="3379">
        <f>21000/30/I298</f>
        <v>1.4893617021276595</v>
      </c>
      <c r="O298" s="3380">
        <f t="shared" si="79"/>
        <v>700</v>
      </c>
      <c r="P298" s="3380" t="s">
        <v>4189</v>
      </c>
      <c r="Q298" s="3379" t="s">
        <v>4190</v>
      </c>
      <c r="R298" s="3379"/>
      <c r="S298" s="3375" t="s">
        <v>4191</v>
      </c>
      <c r="T298" s="3375"/>
      <c r="Y298" s="3381">
        <f t="shared" si="67"/>
        <v>123200</v>
      </c>
      <c r="Z298" s="3381">
        <f t="shared" si="68"/>
        <v>254800</v>
      </c>
      <c r="AA298" s="3381">
        <f t="shared" si="69"/>
        <v>254800</v>
      </c>
      <c r="AB298" s="3381">
        <f t="shared" si="70"/>
        <v>254800</v>
      </c>
      <c r="AC298" s="3381">
        <f t="shared" si="71"/>
        <v>255500</v>
      </c>
      <c r="AD298" s="3381">
        <f t="shared" si="72"/>
        <v>254800</v>
      </c>
      <c r="AE298" s="3381">
        <f t="shared" si="73"/>
        <v>254800</v>
      </c>
      <c r="AF298" s="3381">
        <f t="shared" si="74"/>
        <v>254800</v>
      </c>
      <c r="AG298" s="3381">
        <f t="shared" si="75"/>
        <v>255500</v>
      </c>
      <c r="AH298" s="3381">
        <f t="shared" si="76"/>
        <v>254800</v>
      </c>
      <c r="AI298" s="3381">
        <f t="shared" si="77"/>
        <v>254800</v>
      </c>
      <c r="AJ298" s="3381">
        <f t="shared" si="78"/>
        <v>254800</v>
      </c>
    </row>
    <row r="299" spans="1:37">
      <c r="A299" s="3403"/>
      <c r="B299" s="3404"/>
      <c r="C299" s="3403"/>
      <c r="D299" s="3403"/>
      <c r="E299" s="3403"/>
      <c r="F299" s="3403"/>
      <c r="G299" s="3405"/>
      <c r="H299" s="3406"/>
      <c r="I299" s="3371"/>
      <c r="J299" s="3371"/>
      <c r="K299" s="3403"/>
      <c r="L299" s="3407"/>
      <c r="M299" s="3407"/>
      <c r="N299" s="3368"/>
      <c r="O299" s="3380">
        <f t="shared" si="79"/>
        <v>0</v>
      </c>
      <c r="P299" s="3408" t="s">
        <v>4192</v>
      </c>
      <c r="Q299" s="3370" t="s">
        <v>4193</v>
      </c>
      <c r="R299" s="3368" t="s">
        <v>4194</v>
      </c>
      <c r="S299" s="3403"/>
      <c r="T299" s="3403"/>
      <c r="Y299" s="3381">
        <f t="shared" si="67"/>
        <v>0</v>
      </c>
      <c r="Z299" s="3381">
        <f t="shared" si="68"/>
        <v>0</v>
      </c>
      <c r="AA299" s="3381">
        <f t="shared" si="69"/>
        <v>0</v>
      </c>
      <c r="AB299" s="3381">
        <f t="shared" si="70"/>
        <v>0</v>
      </c>
      <c r="AC299" s="3381">
        <f t="shared" si="71"/>
        <v>0</v>
      </c>
      <c r="AD299" s="3381">
        <f t="shared" si="72"/>
        <v>0</v>
      </c>
      <c r="AE299" s="3381">
        <f t="shared" si="73"/>
        <v>0</v>
      </c>
      <c r="AF299" s="3381">
        <f t="shared" si="74"/>
        <v>0</v>
      </c>
      <c r="AG299" s="3381">
        <f t="shared" si="75"/>
        <v>0</v>
      </c>
      <c r="AH299" s="3381">
        <f t="shared" si="76"/>
        <v>0</v>
      </c>
      <c r="AI299" s="3381">
        <f t="shared" si="77"/>
        <v>0</v>
      </c>
      <c r="AJ299" s="3381">
        <f t="shared" si="78"/>
        <v>0</v>
      </c>
    </row>
    <row r="300" spans="1:37" ht="24">
      <c r="A300" s="3403"/>
      <c r="B300" s="3404"/>
      <c r="C300" s="3403"/>
      <c r="D300" s="3403"/>
      <c r="E300" s="3403"/>
      <c r="F300" s="3403"/>
      <c r="G300" s="3403"/>
      <c r="H300" s="3403" t="s">
        <v>3080</v>
      </c>
      <c r="I300" s="3363">
        <v>210</v>
      </c>
      <c r="J300" s="3363">
        <v>150</v>
      </c>
      <c r="K300" s="3403"/>
      <c r="L300" s="3407"/>
      <c r="M300" s="3407"/>
      <c r="N300" s="3368"/>
      <c r="O300" s="3380">
        <f t="shared" si="79"/>
        <v>0</v>
      </c>
      <c r="P300" s="3409" t="s">
        <v>4195</v>
      </c>
      <c r="Q300" s="3363"/>
      <c r="R300" s="3363"/>
      <c r="S300" s="3403"/>
      <c r="T300" s="3403"/>
      <c r="Y300" s="3381">
        <f t="shared" si="67"/>
        <v>0</v>
      </c>
      <c r="Z300" s="3381">
        <f t="shared" si="68"/>
        <v>0</v>
      </c>
      <c r="AA300" s="3381">
        <f t="shared" si="69"/>
        <v>0</v>
      </c>
      <c r="AB300" s="3381">
        <f t="shared" si="70"/>
        <v>0</v>
      </c>
      <c r="AC300" s="3381">
        <f t="shared" si="71"/>
        <v>0</v>
      </c>
      <c r="AD300" s="3381">
        <f t="shared" si="72"/>
        <v>0</v>
      </c>
      <c r="AE300" s="3381">
        <f t="shared" si="73"/>
        <v>0</v>
      </c>
      <c r="AF300" s="3381">
        <f t="shared" si="74"/>
        <v>0</v>
      </c>
      <c r="AG300" s="3381">
        <f t="shared" si="75"/>
        <v>0</v>
      </c>
      <c r="AH300" s="3381">
        <f t="shared" si="76"/>
        <v>0</v>
      </c>
      <c r="AI300" s="3381">
        <f t="shared" si="77"/>
        <v>0</v>
      </c>
      <c r="AJ300" s="3381">
        <f t="shared" si="78"/>
        <v>0</v>
      </c>
    </row>
    <row r="301" spans="1:37" ht="48">
      <c r="A301" s="3368">
        <v>85</v>
      </c>
      <c r="B301" s="3368" t="s">
        <v>4196</v>
      </c>
      <c r="C301" s="3368" t="s">
        <v>4197</v>
      </c>
      <c r="D301" s="3368" t="s">
        <v>4198</v>
      </c>
      <c r="E301" s="3368" t="s">
        <v>4197</v>
      </c>
      <c r="F301" s="3368"/>
      <c r="G301" s="3410" t="s">
        <v>3166</v>
      </c>
      <c r="H301" s="3368"/>
      <c r="I301" s="3368"/>
      <c r="J301" s="3368"/>
      <c r="K301" s="3318" t="s">
        <v>4199</v>
      </c>
      <c r="L301" s="3368"/>
      <c r="M301" s="3318" t="s">
        <v>4199</v>
      </c>
      <c r="N301" s="3368"/>
      <c r="O301" s="3380">
        <f t="shared" si="79"/>
        <v>0</v>
      </c>
      <c r="P301" s="3318">
        <v>8000</v>
      </c>
      <c r="Q301" s="3368"/>
      <c r="R301" s="3368"/>
      <c r="S301" s="3368"/>
      <c r="T301" s="3368"/>
      <c r="V301" s="3318" t="s">
        <v>4200</v>
      </c>
      <c r="Y301" s="3381">
        <f>SUM(Y210:Y300)</f>
        <v>4187469.3234703192</v>
      </c>
      <c r="Z301" s="3381">
        <f t="shared" ref="Z301:AJ301" si="80">SUM(Z210:Z300)</f>
        <v>8660447.9189954326</v>
      </c>
      <c r="AA301" s="3381">
        <f t="shared" si="80"/>
        <v>8660447.9189954326</v>
      </c>
      <c r="AB301" s="3381">
        <f t="shared" si="80"/>
        <v>8660447.9189954326</v>
      </c>
      <c r="AC301" s="3381">
        <f t="shared" si="80"/>
        <v>8684240.3583333343</v>
      </c>
      <c r="AD301" s="3381">
        <f t="shared" si="80"/>
        <v>8660447.9189954326</v>
      </c>
      <c r="AE301" s="3381">
        <f t="shared" si="80"/>
        <v>8660447.9189954326</v>
      </c>
      <c r="AF301" s="3381">
        <f t="shared" si="80"/>
        <v>8660447.9189954326</v>
      </c>
      <c r="AG301" s="3381">
        <f t="shared" si="80"/>
        <v>8684240.3583333343</v>
      </c>
      <c r="AH301" s="3381">
        <f t="shared" si="80"/>
        <v>8660447.9189954326</v>
      </c>
      <c r="AI301" s="3381">
        <f t="shared" si="80"/>
        <v>8660447.9189954326</v>
      </c>
      <c r="AJ301" s="3381">
        <f t="shared" si="80"/>
        <v>8660447.9189954326</v>
      </c>
      <c r="AK301" s="3318">
        <f>SUM(Y301:AJ301)</f>
        <v>99499981.311095893</v>
      </c>
    </row>
    <row r="302" spans="1:37" s="3346" customFormat="1" ht="24">
      <c r="B302" s="3346" t="s">
        <v>3963</v>
      </c>
      <c r="O302" s="3346">
        <f>SUM(O210:O301)</f>
        <v>23792.439337899548</v>
      </c>
    </row>
    <row r="303" spans="1:37" s="3346" customFormat="1">
      <c r="N303" s="3346">
        <f>O302/'[1]数据-汇总表'!G21</f>
        <v>3.2733180169357987</v>
      </c>
      <c r="R303" s="3346">
        <f>N303*1.1</f>
        <v>3.6006498186293787</v>
      </c>
    </row>
  </sheetData>
  <phoneticPr fontId="145"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6" sqref="C26"/>
    </sheetView>
  </sheetViews>
  <sheetFormatPr defaultColWidth="9" defaultRowHeight="14.4"/>
  <cols>
    <col min="1" max="1" width="13.44140625" style="2009" customWidth="1"/>
    <col min="2" max="2" width="23.21875" style="1960" customWidth="1"/>
    <col min="3" max="3" width="13" style="2004" customWidth="1"/>
    <col min="4" max="4" width="5.77734375" style="2001" customWidth="1"/>
    <col min="5" max="5" width="7.109375" style="2001" customWidth="1"/>
    <col min="6" max="6" width="10.6640625" style="2001" customWidth="1"/>
    <col min="7" max="7" width="7.44140625" style="2001" customWidth="1"/>
    <col min="8" max="8" width="9" style="2004" customWidth="1"/>
    <col min="9" max="9" width="11.6640625" style="2004" customWidth="1"/>
    <col min="10" max="10" width="9" style="2004" customWidth="1"/>
    <col min="11" max="19" width="9" style="2001" customWidth="1"/>
    <col min="20" max="23" width="9" style="2004" customWidth="1"/>
    <col min="24" max="24" width="21.109375" style="1960" customWidth="1"/>
    <col min="25" max="16384" width="9" style="1960"/>
  </cols>
  <sheetData>
    <row r="1" spans="1:23" s="1998" customFormat="1" ht="28.8">
      <c r="A1" s="1992" t="s">
        <v>71</v>
      </c>
      <c r="B1" s="1993" t="s">
        <v>1684</v>
      </c>
      <c r="C1" s="1994" t="s">
        <v>759</v>
      </c>
      <c r="D1" s="1995" t="s">
        <v>1685</v>
      </c>
      <c r="E1" s="1995" t="s">
        <v>1686</v>
      </c>
      <c r="F1" s="1995" t="s">
        <v>1687</v>
      </c>
      <c r="G1" s="1995" t="s">
        <v>1688</v>
      </c>
      <c r="H1" s="1995" t="s">
        <v>1689</v>
      </c>
      <c r="I1" s="1995" t="s">
        <v>1690</v>
      </c>
      <c r="J1" s="1995" t="s">
        <v>1691</v>
      </c>
      <c r="K1" s="1995" t="s">
        <v>1692</v>
      </c>
      <c r="L1" s="1995" t="s">
        <v>1693</v>
      </c>
      <c r="M1" s="1995" t="s">
        <v>1694</v>
      </c>
      <c r="N1" s="1995" t="s">
        <v>1695</v>
      </c>
      <c r="O1" s="1995" t="s">
        <v>1696</v>
      </c>
      <c r="P1" s="1996" t="s">
        <v>753</v>
      </c>
      <c r="Q1" s="1996" t="s">
        <v>1140</v>
      </c>
      <c r="R1" s="1995" t="s">
        <v>1134</v>
      </c>
      <c r="S1" s="1995" t="s">
        <v>1697</v>
      </c>
      <c r="T1" s="1997" t="s">
        <v>1698</v>
      </c>
      <c r="U1" s="1995" t="s">
        <v>1699</v>
      </c>
      <c r="V1" s="1995" t="s">
        <v>1700</v>
      </c>
      <c r="W1" s="1995" t="s">
        <v>755</v>
      </c>
    </row>
    <row r="2" spans="1:23">
      <c r="A2" s="1999" t="s">
        <v>22</v>
      </c>
      <c r="B2" s="1999" t="s">
        <v>1701</v>
      </c>
      <c r="C2" s="2000" t="s">
        <v>760</v>
      </c>
      <c r="D2" s="2001" t="s">
        <v>1702</v>
      </c>
      <c r="E2" s="2001" t="s">
        <v>1703</v>
      </c>
      <c r="F2" s="2001" t="s">
        <v>1704</v>
      </c>
      <c r="G2" s="2001">
        <v>40</v>
      </c>
      <c r="H2" s="2001" t="s">
        <v>1704</v>
      </c>
      <c r="I2" s="2001" t="s">
        <v>1705</v>
      </c>
      <c r="J2" s="2001" t="s">
        <v>1706</v>
      </c>
      <c r="K2" s="2001" t="s">
        <v>1707</v>
      </c>
      <c r="L2" s="2001" t="s">
        <v>1707</v>
      </c>
      <c r="M2" s="2001" t="s">
        <v>1707</v>
      </c>
      <c r="N2" s="2001" t="s">
        <v>1707</v>
      </c>
      <c r="O2" s="2001" t="s">
        <v>1707</v>
      </c>
      <c r="P2" s="2001" t="s">
        <v>1707</v>
      </c>
      <c r="Q2" s="2001" t="s">
        <v>1707</v>
      </c>
      <c r="R2" s="2001" t="s">
        <v>1136</v>
      </c>
      <c r="S2" s="2001" t="s">
        <v>1707</v>
      </c>
      <c r="T2" s="2001" t="s">
        <v>1708</v>
      </c>
      <c r="U2" s="2001" t="s">
        <v>1707</v>
      </c>
      <c r="V2" s="2001" t="s">
        <v>1709</v>
      </c>
      <c r="W2" s="2001" t="s">
        <v>1707</v>
      </c>
    </row>
    <row r="3" spans="1:23">
      <c r="A3" s="1999" t="s">
        <v>1710</v>
      </c>
      <c r="B3" s="2002" t="s">
        <v>1141</v>
      </c>
      <c r="C3" s="2003" t="s">
        <v>761</v>
      </c>
      <c r="D3" s="2001" t="s">
        <v>1711</v>
      </c>
      <c r="E3" s="2001" t="s">
        <v>16</v>
      </c>
      <c r="F3" s="2001" t="s">
        <v>1712</v>
      </c>
      <c r="G3" s="2001">
        <v>50</v>
      </c>
      <c r="H3" s="2001" t="s">
        <v>1712</v>
      </c>
      <c r="I3" s="2001" t="s">
        <v>1713</v>
      </c>
      <c r="J3" s="2001" t="s">
        <v>1714</v>
      </c>
      <c r="K3" s="2001" t="s">
        <v>1715</v>
      </c>
      <c r="L3" s="2001" t="s">
        <v>1715</v>
      </c>
      <c r="M3" s="2001" t="s">
        <v>1715</v>
      </c>
      <c r="N3" s="2001" t="s">
        <v>1715</v>
      </c>
      <c r="O3" s="2001" t="s">
        <v>1715</v>
      </c>
      <c r="P3" s="2001" t="s">
        <v>1715</v>
      </c>
      <c r="Q3" s="2001" t="s">
        <v>1715</v>
      </c>
      <c r="R3" s="2001" t="s">
        <v>1135</v>
      </c>
      <c r="S3" s="2001" t="s">
        <v>1715</v>
      </c>
      <c r="T3" s="2001" t="s">
        <v>1716</v>
      </c>
      <c r="U3" s="2001" t="s">
        <v>1715</v>
      </c>
      <c r="V3" s="2001" t="s">
        <v>1717</v>
      </c>
      <c r="W3" s="2001" t="s">
        <v>1715</v>
      </c>
    </row>
    <row r="4" spans="1:23">
      <c r="A4" s="1999" t="s">
        <v>1718</v>
      </c>
      <c r="B4" s="1999" t="s">
        <v>1719</v>
      </c>
      <c r="C4" s="2000" t="s">
        <v>762</v>
      </c>
      <c r="D4" s="2001" t="s">
        <v>864</v>
      </c>
      <c r="E4" s="2001" t="s">
        <v>1720</v>
      </c>
      <c r="F4" s="2001" t="s">
        <v>1721</v>
      </c>
      <c r="G4" s="2001">
        <v>70</v>
      </c>
      <c r="H4" s="2001" t="s">
        <v>1721</v>
      </c>
      <c r="I4" s="2001" t="s">
        <v>1722</v>
      </c>
      <c r="K4" s="2001" t="s">
        <v>1723</v>
      </c>
      <c r="L4" s="2001" t="s">
        <v>1723</v>
      </c>
      <c r="M4" s="2001" t="s">
        <v>1723</v>
      </c>
      <c r="N4" s="2001" t="s">
        <v>1723</v>
      </c>
      <c r="O4" s="2001" t="s">
        <v>1723</v>
      </c>
      <c r="P4" s="2001" t="s">
        <v>1723</v>
      </c>
      <c r="Q4" s="2001" t="s">
        <v>1723</v>
      </c>
      <c r="R4" s="2001" t="s">
        <v>1137</v>
      </c>
      <c r="S4" s="2001" t="s">
        <v>1723</v>
      </c>
      <c r="T4" s="2001" t="s">
        <v>1724</v>
      </c>
      <c r="U4" s="2001" t="s">
        <v>1723</v>
      </c>
      <c r="W4" s="2001" t="s">
        <v>1723</v>
      </c>
    </row>
    <row r="5" spans="1:23">
      <c r="A5" s="1999" t="s">
        <v>1725</v>
      </c>
      <c r="B5" s="1999" t="s">
        <v>1726</v>
      </c>
      <c r="C5" s="2000" t="s">
        <v>763</v>
      </c>
      <c r="F5" s="2001" t="s">
        <v>1727</v>
      </c>
      <c r="H5" s="2001" t="s">
        <v>1728</v>
      </c>
      <c r="I5" s="2001" t="s">
        <v>1729</v>
      </c>
      <c r="K5" s="2001" t="s">
        <v>1730</v>
      </c>
      <c r="L5" s="2001" t="s">
        <v>1730</v>
      </c>
      <c r="M5" s="2001" t="s">
        <v>1730</v>
      </c>
      <c r="N5" s="2001" t="s">
        <v>1730</v>
      </c>
      <c r="O5" s="2001" t="s">
        <v>1730</v>
      </c>
      <c r="P5" s="2001" t="s">
        <v>1730</v>
      </c>
      <c r="Q5" s="2001" t="s">
        <v>1730</v>
      </c>
      <c r="R5" s="2001" t="s">
        <v>1138</v>
      </c>
      <c r="S5" s="2001" t="s">
        <v>1730</v>
      </c>
      <c r="T5" s="2001" t="s">
        <v>1731</v>
      </c>
      <c r="U5" s="2001" t="s">
        <v>1730</v>
      </c>
      <c r="W5" s="2001" t="s">
        <v>1730</v>
      </c>
    </row>
    <row r="6" spans="1:23">
      <c r="A6" s="1999" t="s">
        <v>1732</v>
      </c>
      <c r="B6" s="2002" t="s">
        <v>1142</v>
      </c>
      <c r="C6" s="2005" t="s">
        <v>30</v>
      </c>
      <c r="F6" s="2001" t="s">
        <v>1728</v>
      </c>
      <c r="H6" s="2001" t="s">
        <v>1733</v>
      </c>
      <c r="I6" s="2001" t="s">
        <v>1734</v>
      </c>
      <c r="K6" s="2001" t="s">
        <v>1735</v>
      </c>
      <c r="L6" s="2001" t="s">
        <v>1735</v>
      </c>
      <c r="M6" s="2001" t="s">
        <v>1735</v>
      </c>
      <c r="N6" s="2001" t="s">
        <v>1735</v>
      </c>
      <c r="O6" s="2001" t="s">
        <v>1735</v>
      </c>
      <c r="P6" s="2001" t="s">
        <v>1735</v>
      </c>
      <c r="Q6" s="2001" t="s">
        <v>1735</v>
      </c>
      <c r="R6" s="2001" t="s">
        <v>1139</v>
      </c>
      <c r="S6" s="2001" t="s">
        <v>1735</v>
      </c>
      <c r="T6" s="2001"/>
      <c r="U6" s="2001" t="s">
        <v>1735</v>
      </c>
      <c r="W6" s="2001" t="s">
        <v>1735</v>
      </c>
    </row>
    <row r="7" spans="1:23">
      <c r="A7" s="1999" t="s">
        <v>1736</v>
      </c>
      <c r="B7" s="2002" t="s">
        <v>1143</v>
      </c>
      <c r="C7" s="2000" t="s">
        <v>31</v>
      </c>
      <c r="F7" s="2001" t="s">
        <v>1737</v>
      </c>
      <c r="H7" s="2001" t="s">
        <v>1738</v>
      </c>
      <c r="I7" s="2001" t="s">
        <v>1739</v>
      </c>
    </row>
    <row r="8" spans="1:23">
      <c r="A8" s="1999" t="s">
        <v>1740</v>
      </c>
      <c r="B8" s="1999" t="s">
        <v>1741</v>
      </c>
      <c r="C8" s="2000" t="s">
        <v>764</v>
      </c>
      <c r="F8" s="2001" t="s">
        <v>1742</v>
      </c>
      <c r="H8" s="2001"/>
      <c r="I8" s="2001" t="s">
        <v>1743</v>
      </c>
    </row>
    <row r="9" spans="1:23">
      <c r="A9" s="1999" t="s">
        <v>1744</v>
      </c>
      <c r="B9" s="1999" t="s">
        <v>1745</v>
      </c>
      <c r="C9" s="2000" t="s">
        <v>765</v>
      </c>
      <c r="F9" s="2001" t="s">
        <v>1746</v>
      </c>
      <c r="H9" s="2001"/>
    </row>
    <row r="10" spans="1:23">
      <c r="A10" s="1999" t="s">
        <v>1747</v>
      </c>
      <c r="B10" s="1999" t="s">
        <v>1748</v>
      </c>
      <c r="C10" s="2000" t="s">
        <v>766</v>
      </c>
      <c r="F10" s="2001" t="s">
        <v>16</v>
      </c>
    </row>
    <row r="11" spans="1:23">
      <c r="A11" s="1999" t="s">
        <v>1749</v>
      </c>
      <c r="B11" s="1999" t="s">
        <v>1750</v>
      </c>
      <c r="C11" s="2000" t="s">
        <v>767</v>
      </c>
    </row>
    <row r="12" spans="1:23">
      <c r="A12" s="1999" t="s">
        <v>1751</v>
      </c>
      <c r="B12" s="1999" t="s">
        <v>1752</v>
      </c>
      <c r="C12" s="2000" t="s">
        <v>768</v>
      </c>
    </row>
    <row r="13" spans="1:23">
      <c r="A13" s="1999" t="s">
        <v>1753</v>
      </c>
      <c r="B13" s="1999" t="s">
        <v>1754</v>
      </c>
      <c r="C13" s="2000" t="s">
        <v>769</v>
      </c>
    </row>
    <row r="14" spans="1:23">
      <c r="A14" s="1999" t="s">
        <v>1755</v>
      </c>
      <c r="B14" s="1999" t="s">
        <v>1756</v>
      </c>
      <c r="C14" s="2001" t="s">
        <v>16</v>
      </c>
    </row>
    <row r="15" spans="1:23">
      <c r="A15" s="1999" t="s">
        <v>1757</v>
      </c>
      <c r="B15" s="1999" t="s">
        <v>1758</v>
      </c>
      <c r="C15" s="2000"/>
    </row>
    <row r="16" spans="1:23">
      <c r="A16" s="1999" t="s">
        <v>1759</v>
      </c>
      <c r="B16" s="1999" t="s">
        <v>756</v>
      </c>
      <c r="C16" s="2000"/>
    </row>
    <row r="17" spans="1:3">
      <c r="A17" s="1999" t="s">
        <v>1760</v>
      </c>
      <c r="B17" s="1999" t="s">
        <v>4201</v>
      </c>
      <c r="C17" s="2000"/>
    </row>
    <row r="18" spans="1:3">
      <c r="A18" s="1999" t="s">
        <v>1761</v>
      </c>
      <c r="B18" s="1999" t="s">
        <v>4202</v>
      </c>
      <c r="C18" s="2000"/>
    </row>
    <row r="19" spans="1:3">
      <c r="A19" s="1999" t="s">
        <v>1762</v>
      </c>
      <c r="B19" s="1999" t="s">
        <v>4203</v>
      </c>
      <c r="C19" s="2000"/>
    </row>
    <row r="20" spans="1:3">
      <c r="A20" s="1999" t="s">
        <v>1763</v>
      </c>
      <c r="B20" s="1999" t="s">
        <v>4204</v>
      </c>
      <c r="C20" s="2000"/>
    </row>
    <row r="21" spans="1:3">
      <c r="A21" s="1999" t="s">
        <v>1764</v>
      </c>
      <c r="B21" s="1999" t="s">
        <v>757</v>
      </c>
      <c r="C21" s="2000"/>
    </row>
    <row r="22" spans="1:3">
      <c r="A22" s="1999" t="s">
        <v>1765</v>
      </c>
      <c r="B22" s="1999" t="s">
        <v>757</v>
      </c>
      <c r="C22" s="2000"/>
    </row>
    <row r="23" spans="1:3">
      <c r="A23" s="1999" t="s">
        <v>1766</v>
      </c>
      <c r="B23" s="1999" t="s">
        <v>757</v>
      </c>
      <c r="C23" s="2000"/>
    </row>
    <row r="24" spans="1:3">
      <c r="A24" s="1999" t="s">
        <v>1767</v>
      </c>
      <c r="B24" s="1999" t="s">
        <v>757</v>
      </c>
      <c r="C24" s="2000"/>
    </row>
    <row r="25" spans="1:3">
      <c r="A25" s="1999" t="s">
        <v>1768</v>
      </c>
      <c r="B25" s="1999" t="s">
        <v>757</v>
      </c>
      <c r="C25" s="2000"/>
    </row>
    <row r="26" spans="1:3">
      <c r="A26" s="1999" t="s">
        <v>1769</v>
      </c>
      <c r="B26" s="1999" t="s">
        <v>757</v>
      </c>
      <c r="C26" s="2000"/>
    </row>
    <row r="27" spans="1:3">
      <c r="A27" s="1999" t="s">
        <v>757</v>
      </c>
      <c r="B27" s="1999" t="s">
        <v>757</v>
      </c>
      <c r="C27" s="2000"/>
    </row>
    <row r="28" spans="1:3">
      <c r="A28" s="1999" t="s">
        <v>757</v>
      </c>
      <c r="B28" s="1999" t="s">
        <v>757</v>
      </c>
      <c r="C28" s="2000"/>
    </row>
    <row r="29" spans="1:3">
      <c r="A29" s="1999" t="s">
        <v>757</v>
      </c>
      <c r="B29" s="1999" t="s">
        <v>757</v>
      </c>
      <c r="C29" s="2000"/>
    </row>
    <row r="30" spans="1:3">
      <c r="A30" s="1999" t="s">
        <v>757</v>
      </c>
      <c r="B30" s="1999" t="s">
        <v>757</v>
      </c>
      <c r="C30" s="2000"/>
    </row>
    <row r="31" spans="1:3">
      <c r="A31" s="1999" t="s">
        <v>757</v>
      </c>
      <c r="B31" s="1999" t="s">
        <v>757</v>
      </c>
      <c r="C31" s="2000"/>
    </row>
    <row r="32" spans="1:3">
      <c r="A32" s="1999" t="s">
        <v>757</v>
      </c>
      <c r="B32" s="1999" t="s">
        <v>757</v>
      </c>
      <c r="C32" s="2000"/>
    </row>
    <row r="33" spans="1:3">
      <c r="A33" s="1999" t="s">
        <v>757</v>
      </c>
      <c r="B33" s="1999" t="s">
        <v>757</v>
      </c>
      <c r="C33" s="2000"/>
    </row>
    <row r="34" spans="1:3">
      <c r="A34" s="1999" t="s">
        <v>757</v>
      </c>
      <c r="B34" s="1999" t="s">
        <v>757</v>
      </c>
      <c r="C34" s="2000"/>
    </row>
    <row r="35" spans="1:3">
      <c r="A35" s="1999" t="s">
        <v>757</v>
      </c>
      <c r="B35" s="1999" t="s">
        <v>757</v>
      </c>
      <c r="C35" s="2000"/>
    </row>
    <row r="36" spans="1:3">
      <c r="A36" s="1999" t="s">
        <v>757</v>
      </c>
      <c r="B36" s="1999" t="s">
        <v>757</v>
      </c>
      <c r="C36" s="2000"/>
    </row>
    <row r="37" spans="1:3">
      <c r="A37" s="1999" t="s">
        <v>757</v>
      </c>
      <c r="B37" s="1999" t="s">
        <v>757</v>
      </c>
      <c r="C37" s="2000"/>
    </row>
    <row r="38" spans="1:3">
      <c r="A38" s="1999" t="s">
        <v>757</v>
      </c>
      <c r="B38" s="1999" t="s">
        <v>757</v>
      </c>
      <c r="C38" s="2000"/>
    </row>
    <row r="39" spans="1:3">
      <c r="A39" s="1999" t="s">
        <v>757</v>
      </c>
      <c r="B39" s="1999" t="s">
        <v>757</v>
      </c>
      <c r="C39" s="2000"/>
    </row>
    <row r="40" spans="1:3">
      <c r="A40" s="1999" t="s">
        <v>757</v>
      </c>
      <c r="B40" s="1999" t="s">
        <v>757</v>
      </c>
      <c r="C40" s="2000"/>
    </row>
    <row r="41" spans="1:3">
      <c r="A41" s="1999" t="s">
        <v>757</v>
      </c>
      <c r="B41" s="1999" t="s">
        <v>757</v>
      </c>
      <c r="C41" s="2000"/>
    </row>
    <row r="42" spans="1:3">
      <c r="A42" s="1999" t="s">
        <v>757</v>
      </c>
      <c r="B42" s="1999" t="s">
        <v>757</v>
      </c>
      <c r="C42" s="2000"/>
    </row>
    <row r="43" spans="1:3">
      <c r="A43" s="1999" t="s">
        <v>757</v>
      </c>
      <c r="B43" s="1999" t="s">
        <v>757</v>
      </c>
      <c r="C43" s="2000"/>
    </row>
    <row r="44" spans="1:3">
      <c r="A44" s="1999" t="s">
        <v>757</v>
      </c>
      <c r="B44" s="1999" t="s">
        <v>757</v>
      </c>
      <c r="C44" s="2000"/>
    </row>
    <row r="45" spans="1:3">
      <c r="A45" s="1999" t="s">
        <v>757</v>
      </c>
      <c r="B45" s="1999" t="s">
        <v>757</v>
      </c>
      <c r="C45" s="2000"/>
    </row>
    <row r="46" spans="1:3">
      <c r="A46" s="1999" t="s">
        <v>757</v>
      </c>
      <c r="B46" s="1999" t="s">
        <v>757</v>
      </c>
      <c r="C46" s="2000"/>
    </row>
    <row r="47" spans="1:3">
      <c r="A47" s="1999" t="s">
        <v>757</v>
      </c>
      <c r="B47" s="1999" t="s">
        <v>757</v>
      </c>
      <c r="C47" s="2000"/>
    </row>
    <row r="48" spans="1:3">
      <c r="A48" s="1999" t="s">
        <v>757</v>
      </c>
      <c r="B48" s="1999" t="s">
        <v>757</v>
      </c>
      <c r="C48" s="2000"/>
    </row>
    <row r="49" spans="1:4">
      <c r="A49" s="1999" t="s">
        <v>757</v>
      </c>
      <c r="B49" s="1999" t="s">
        <v>757</v>
      </c>
      <c r="C49" s="2000"/>
    </row>
    <row r="50" spans="1:4">
      <c r="A50" s="1999" t="s">
        <v>757</v>
      </c>
      <c r="B50" s="1999" t="s">
        <v>757</v>
      </c>
      <c r="C50" s="2000"/>
    </row>
    <row r="51" spans="1:4">
      <c r="A51" s="2006" t="s">
        <v>853</v>
      </c>
      <c r="B51" s="20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07" t="s">
        <v>1279</v>
      </c>
    </row>
    <row r="52" spans="1:4">
      <c r="A52" s="2006" t="s">
        <v>854</v>
      </c>
      <c r="B52" s="2006" t="s">
        <v>855</v>
      </c>
      <c r="C52" s="2004" t="s">
        <v>856</v>
      </c>
      <c r="D52" s="2004" t="s">
        <v>857</v>
      </c>
    </row>
    <row r="53" spans="1:4">
      <c r="A53" s="3030" t="s">
        <v>858</v>
      </c>
      <c r="B53" s="2007" t="s">
        <v>859</v>
      </c>
      <c r="C53" s="20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07" t="s">
        <v>860</v>
      </c>
      <c r="C54" s="2004" t="s">
        <v>1276</v>
      </c>
    </row>
    <row r="55" spans="1:4">
      <c r="A55" s="3030"/>
      <c r="B55" s="2007" t="s">
        <v>861</v>
      </c>
      <c r="C55" s="2004" t="s">
        <v>1277</v>
      </c>
    </row>
    <row r="56" spans="1:4">
      <c r="A56" s="3030"/>
      <c r="B56" s="2007" t="s">
        <v>862</v>
      </c>
      <c r="C56" s="2004" t="s">
        <v>1281</v>
      </c>
    </row>
    <row r="57" spans="1:4">
      <c r="A57" s="3030"/>
      <c r="B57" s="2007" t="s">
        <v>863</v>
      </c>
      <c r="C57" s="2004" t="s">
        <v>1278</v>
      </c>
    </row>
    <row r="58" spans="1:4">
      <c r="A58" s="2008"/>
      <c r="B58" s="2004"/>
    </row>
    <row r="59" spans="1:4">
      <c r="A59" s="2008"/>
      <c r="B59" s="2004"/>
    </row>
    <row r="60" spans="1:4">
      <c r="A60" s="2008"/>
      <c r="B60" s="2004"/>
    </row>
    <row r="61" spans="1:4">
      <c r="A61" s="2008"/>
      <c r="B61" s="2004"/>
    </row>
    <row r="62" spans="1:4">
      <c r="A62" s="2008"/>
      <c r="B62" s="2004"/>
    </row>
    <row r="63" spans="1:4">
      <c r="A63" s="2008"/>
      <c r="B63" s="2004"/>
    </row>
    <row r="64" spans="1:4">
      <c r="A64" s="2008"/>
      <c r="B64" s="2004"/>
    </row>
    <row r="65" spans="1:2">
      <c r="A65" s="2008"/>
      <c r="B65" s="2004"/>
    </row>
    <row r="66" spans="1:2">
      <c r="A66" s="2008"/>
      <c r="B66" s="2004"/>
    </row>
    <row r="67" spans="1:2">
      <c r="A67" s="2008"/>
      <c r="B67" s="2004"/>
    </row>
    <row r="68" spans="1:2">
      <c r="A68" s="2008"/>
      <c r="B68" s="2004"/>
    </row>
    <row r="69" spans="1:2">
      <c r="A69" s="2008"/>
      <c r="B69" s="2004"/>
    </row>
    <row r="70" spans="1:2">
      <c r="A70" s="2008"/>
      <c r="B70" s="2004"/>
    </row>
    <row r="71" spans="1:2">
      <c r="A71" s="2008"/>
      <c r="B71" s="2004"/>
    </row>
    <row r="72" spans="1:2">
      <c r="A72" s="2008"/>
      <c r="B72" s="2004"/>
    </row>
    <row r="73" spans="1:2">
      <c r="A73" s="2008"/>
      <c r="B73" s="2004"/>
    </row>
    <row r="74" spans="1:2">
      <c r="A74" s="2008"/>
      <c r="B74" s="2004"/>
    </row>
    <row r="75" spans="1:2">
      <c r="A75" s="2008"/>
      <c r="B75" s="2004"/>
    </row>
    <row r="76" spans="1:2">
      <c r="A76" s="2008"/>
      <c r="B76" s="2004"/>
    </row>
    <row r="77" spans="1:2">
      <c r="A77" s="2008"/>
      <c r="B77" s="2004"/>
    </row>
    <row r="78" spans="1:2">
      <c r="A78" s="2008"/>
      <c r="B78" s="2004"/>
    </row>
    <row r="79" spans="1:2">
      <c r="A79" s="2008"/>
      <c r="B79" s="2004"/>
    </row>
    <row r="80" spans="1:2">
      <c r="A80" s="2008"/>
      <c r="B80" s="2004"/>
    </row>
    <row r="81" spans="1:2">
      <c r="A81" s="2008"/>
      <c r="B81" s="2004"/>
    </row>
    <row r="82" spans="1:2">
      <c r="A82" s="2008"/>
      <c r="B82" s="2004"/>
    </row>
    <row r="83" spans="1:2">
      <c r="A83" s="2008"/>
      <c r="B83" s="2004"/>
    </row>
    <row r="84" spans="1:2">
      <c r="A84" s="2008"/>
      <c r="B84" s="2004"/>
    </row>
    <row r="85" spans="1:2">
      <c r="A85" s="2008"/>
      <c r="B85" s="2004"/>
    </row>
    <row r="86" spans="1:2">
      <c r="A86" s="2008"/>
      <c r="B86" s="2004"/>
    </row>
    <row r="87" spans="1:2">
      <c r="A87" s="2008"/>
      <c r="B87" s="2004"/>
    </row>
    <row r="88" spans="1:2">
      <c r="A88" s="2008"/>
      <c r="B88" s="2004"/>
    </row>
    <row r="89" spans="1:2">
      <c r="A89" s="2008"/>
      <c r="B89" s="2004"/>
    </row>
    <row r="90" spans="1:2">
      <c r="A90" s="2008"/>
      <c r="B90" s="2004"/>
    </row>
    <row r="91" spans="1:2">
      <c r="A91" s="2008"/>
      <c r="B91" s="2004"/>
    </row>
    <row r="92" spans="1:2">
      <c r="A92" s="2008"/>
      <c r="B92" s="2004"/>
    </row>
    <row r="93" spans="1:2">
      <c r="A93" s="2008"/>
      <c r="B93" s="2004"/>
    </row>
    <row r="94" spans="1:2">
      <c r="A94" s="2008"/>
      <c r="B94" s="2004"/>
    </row>
    <row r="95" spans="1:2">
      <c r="A95" s="2008"/>
      <c r="B95" s="2004"/>
    </row>
    <row r="96" spans="1:2">
      <c r="A96" s="2008"/>
      <c r="B96" s="2004"/>
    </row>
    <row r="97" spans="1:2">
      <c r="A97" s="2008"/>
      <c r="B97" s="2004"/>
    </row>
    <row r="98" spans="1:2">
      <c r="A98" s="2008"/>
      <c r="B98" s="2004"/>
    </row>
    <row r="99" spans="1:2">
      <c r="A99" s="2008"/>
      <c r="B99" s="2004"/>
    </row>
    <row r="100" spans="1:2">
      <c r="A100" s="2008"/>
      <c r="B100" s="2004"/>
    </row>
    <row r="101" spans="1:2">
      <c r="A101" s="2008"/>
      <c r="B101" s="2004"/>
    </row>
    <row r="102" spans="1:2">
      <c r="A102" s="2008"/>
      <c r="B102" s="2004"/>
    </row>
    <row r="103" spans="1:2">
      <c r="A103" s="2008"/>
      <c r="B103" s="2004"/>
    </row>
    <row r="104" spans="1:2">
      <c r="A104" s="2008"/>
      <c r="B104" s="2004"/>
    </row>
    <row r="105" spans="1:2">
      <c r="A105" s="2008"/>
      <c r="B105" s="2004"/>
    </row>
    <row r="106" spans="1:2">
      <c r="A106" s="2008"/>
      <c r="B106" s="2004"/>
    </row>
    <row r="107" spans="1:2">
      <c r="A107" s="2008"/>
      <c r="B107" s="2004"/>
    </row>
    <row r="108" spans="1:2">
      <c r="A108" s="2008"/>
      <c r="B108" s="2004"/>
    </row>
    <row r="109" spans="1:2">
      <c r="A109" s="2008"/>
      <c r="B109" s="2004"/>
    </row>
    <row r="110" spans="1:2">
      <c r="A110" s="2008"/>
      <c r="B110" s="2004"/>
    </row>
    <row r="111" spans="1:2">
      <c r="A111" s="2008"/>
      <c r="B111" s="2004"/>
    </row>
    <row r="112" spans="1:2">
      <c r="A112" s="2008"/>
      <c r="B112" s="2004"/>
    </row>
    <row r="113" spans="1:2">
      <c r="A113" s="2008"/>
      <c r="B113" s="2004"/>
    </row>
    <row r="114" spans="1:2">
      <c r="A114" s="2008"/>
      <c r="B114" s="2004"/>
    </row>
    <row r="115" spans="1:2">
      <c r="A115" s="2008"/>
      <c r="B115" s="2004"/>
    </row>
    <row r="116" spans="1:2">
      <c r="A116" s="2008"/>
      <c r="B116" s="2004"/>
    </row>
    <row r="117" spans="1:2">
      <c r="A117" s="2008"/>
      <c r="B117" s="2004"/>
    </row>
    <row r="118" spans="1:2">
      <c r="A118" s="2008"/>
      <c r="B118" s="2004"/>
    </row>
    <row r="119" spans="1:2">
      <c r="A119" s="2008"/>
      <c r="B119" s="2004"/>
    </row>
    <row r="120" spans="1:2">
      <c r="A120" s="2008"/>
      <c r="B120" s="2004"/>
    </row>
    <row r="121" spans="1:2">
      <c r="A121" s="2008"/>
      <c r="B121" s="2004"/>
    </row>
    <row r="122" spans="1:2">
      <c r="A122" s="2008"/>
      <c r="B122" s="2004"/>
    </row>
    <row r="123" spans="1:2">
      <c r="A123" s="2008"/>
      <c r="B123" s="2004"/>
    </row>
    <row r="124" spans="1:2">
      <c r="A124" s="2008"/>
      <c r="B124" s="2004"/>
    </row>
    <row r="125" spans="1:2">
      <c r="A125" s="2008"/>
      <c r="B125" s="2004"/>
    </row>
    <row r="126" spans="1:2">
      <c r="A126" s="2008"/>
      <c r="B126" s="2004"/>
    </row>
    <row r="127" spans="1:2">
      <c r="A127" s="2008"/>
      <c r="B127" s="200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B38" sqref="B38"/>
    </sheetView>
  </sheetViews>
  <sheetFormatPr defaultColWidth="10" defaultRowHeight="18" customHeight="1"/>
  <cols>
    <col min="1" max="1" width="14.88671875" style="2017" customWidth="1"/>
    <col min="2" max="2" width="10" style="2017" customWidth="1"/>
    <col min="3" max="3" width="11.44140625" style="2017" customWidth="1"/>
    <col min="4" max="6" width="10" style="2017" customWidth="1"/>
    <col min="7" max="7" width="10.77734375" style="2017" customWidth="1"/>
    <col min="8" max="8" width="10" style="2017" customWidth="1"/>
    <col min="9" max="9" width="11.109375" style="2145" customWidth="1"/>
    <col min="10" max="10" width="10" style="2017" customWidth="1"/>
    <col min="11" max="11" width="10" style="2146" customWidth="1"/>
    <col min="12" max="13" width="10" style="2147" customWidth="1"/>
    <col min="14" max="14" width="10" style="2017" customWidth="1"/>
    <col min="15" max="15" width="10" style="2145" customWidth="1"/>
    <col min="16" max="17" width="10" style="2017"/>
    <col min="18" max="18" width="10" style="2017" customWidth="1"/>
    <col min="19" max="16384" width="10" style="2017"/>
  </cols>
  <sheetData>
    <row r="1" spans="1:19" ht="38.25" customHeight="1" thickBot="1">
      <c r="A1" s="2010" t="s">
        <v>1770</v>
      </c>
      <c r="B1" s="3031" t="str">
        <f>IF(B10="北京市","北京市",C10)&amp;F10&amp;IF(结果表!G1="在建","出让国有建设用地使用权及在建建筑物",IF(结果表!G1="土地","出让国有建设用地使用权",))&amp;B9&amp;"预评估"</f>
        <v>预评估</v>
      </c>
      <c r="C1" s="3032"/>
      <c r="D1" s="3032"/>
      <c r="E1" s="3032"/>
      <c r="F1" s="3032"/>
      <c r="G1" s="3032"/>
      <c r="H1" s="3032"/>
      <c r="I1" s="3033"/>
      <c r="J1" s="2011"/>
      <c r="K1" s="2012"/>
      <c r="L1" s="2013"/>
      <c r="M1" s="2013"/>
      <c r="N1" s="2014"/>
      <c r="O1" s="2015"/>
      <c r="P1" s="2014"/>
      <c r="Q1" s="2014"/>
      <c r="R1" s="2014"/>
      <c r="S1" s="2016" t="str">
        <f>IF(B10="北京市","北京市",C10)&amp;F10&amp;IF(结果表!G1="在建","出让国有建设用地使用权及在建建筑物房地产抵押价值",IF(结果表!G1="土地","出让国有建设用地使用权抵押价值",B9))</f>
        <v/>
      </c>
    </row>
    <row r="2" spans="1:19" ht="18" customHeight="1">
      <c r="A2" s="2011" t="s">
        <v>1771</v>
      </c>
      <c r="B2" s="1034"/>
      <c r="C2" s="2018"/>
      <c r="D2" s="2011"/>
      <c r="E2" s="2019"/>
      <c r="F2" s="2019"/>
      <c r="G2" s="2011"/>
      <c r="H2" s="2011"/>
      <c r="I2" s="2011"/>
      <c r="J2" s="2011"/>
      <c r="K2" s="2012"/>
      <c r="L2" s="2013"/>
      <c r="M2" s="2013"/>
      <c r="N2" s="2014"/>
      <c r="O2" s="2015"/>
      <c r="P2" s="2014"/>
      <c r="Q2" s="2014"/>
      <c r="R2" s="2014"/>
      <c r="S2" s="2016" t="str">
        <f>IF(B10="北京市","北京市",C10)&amp;F10&amp;IF(结果表!G1="在建","出让国有建设用地使用权及在建建筑物房地产",IF(结果表!G1="土地","出让国有建设用地使用权","房地产"))</f>
        <v>房地产</v>
      </c>
    </row>
    <row r="3" spans="1:19" ht="18" customHeight="1">
      <c r="A3" s="2020" t="s">
        <v>1772</v>
      </c>
      <c r="B3" s="2021">
        <v>44020</v>
      </c>
      <c r="C3" s="2022" t="s">
        <v>1773</v>
      </c>
      <c r="D3" s="2021">
        <v>44020</v>
      </c>
      <c r="E3" s="2011"/>
      <c r="F3" s="2011"/>
      <c r="G3" s="2011"/>
      <c r="H3" s="2011"/>
      <c r="I3" s="2011"/>
      <c r="J3" s="2011"/>
      <c r="K3" s="2012"/>
      <c r="L3" s="2013"/>
      <c r="M3" s="2013"/>
      <c r="N3" s="2014"/>
      <c r="O3" s="2015"/>
      <c r="P3" s="2014"/>
      <c r="Q3" s="2014"/>
      <c r="R3" s="2014"/>
      <c r="S3" s="2016"/>
    </row>
    <row r="4" spans="1:19" ht="18" customHeight="1" thickBot="1">
      <c r="A4" s="2023" t="s">
        <v>1774</v>
      </c>
      <c r="B4" s="2024"/>
      <c r="C4" s="1032">
        <f>SUMIF(注册房地产估价师,B4,估价师及机构信息!B3:B24)</f>
        <v>0</v>
      </c>
      <c r="D4" s="2024"/>
      <c r="E4" s="1033">
        <f>SUMIF(注册房地产估价师,D4,估价师及机构信息!B3:B24)</f>
        <v>0</v>
      </c>
      <c r="F4" s="2024" t="s">
        <v>70</v>
      </c>
      <c r="G4" s="2025">
        <f>SUMIF(注册房地产估价师,F4,估价师及机构信息!B3:B24)</f>
        <v>0</v>
      </c>
      <c r="H4" s="2024" t="s">
        <v>70</v>
      </c>
      <c r="I4" s="2026">
        <f>SUMIF(注册房地产估价师,H4,估价师及机构信息!B3:B24)</f>
        <v>0</v>
      </c>
      <c r="J4" s="2027"/>
      <c r="K4" s="2028" t="str">
        <f>CONCATENATE(B4,"（注册号：",C4,")、",D4,"（注册号：",E4,")")</f>
        <v>（注册号：0)、（注册号：0)</v>
      </c>
      <c r="L4" s="2013"/>
      <c r="M4" s="2013"/>
      <c r="N4" s="2014"/>
      <c r="O4" s="2015"/>
      <c r="P4" s="2014"/>
      <c r="Q4" s="2014"/>
      <c r="R4" s="2014"/>
      <c r="S4" s="2016"/>
    </row>
    <row r="5" spans="1:19" ht="18" customHeight="1" thickTop="1">
      <c r="A5" s="2029" t="s">
        <v>1775</v>
      </c>
      <c r="B5" s="2030"/>
      <c r="C5" s="2031"/>
      <c r="D5" s="2032"/>
      <c r="E5" s="2027"/>
      <c r="F5" s="2027"/>
      <c r="G5" s="2027"/>
      <c r="H5" s="2027"/>
      <c r="I5" s="2027"/>
      <c r="J5" s="2027"/>
      <c r="K5" s="2028" t="str">
        <f>IF(F4="——","",IF(H4="——",F4&amp;"（注册号："&amp;G4&amp;")",CONCATENATE(F4,"（注册号：",G4,")、",H4,"（注册号：",I4,")")))</f>
        <v/>
      </c>
      <c r="L5" s="2013"/>
      <c r="M5" s="2013"/>
      <c r="N5" s="2014"/>
      <c r="O5" s="2015"/>
      <c r="P5" s="2014"/>
      <c r="Q5" s="2014"/>
      <c r="R5" s="2014"/>
    </row>
    <row r="6" spans="1:19" ht="18" customHeight="1">
      <c r="A6" s="2033" t="s">
        <v>1776</v>
      </c>
      <c r="B6" s="2034"/>
      <c r="C6" s="2035"/>
      <c r="D6" s="2036"/>
      <c r="E6" s="2019"/>
      <c r="F6" s="2027"/>
      <c r="G6" s="2027"/>
      <c r="H6" s="2027"/>
      <c r="I6" s="2027"/>
      <c r="J6" s="2027"/>
      <c r="K6" s="2037" t="str">
        <f>IF(COUNTIF(B6,"*上海银行*"),"上海银行","")</f>
        <v/>
      </c>
      <c r="L6" s="2013"/>
      <c r="M6" s="2013"/>
      <c r="N6" s="2014"/>
      <c r="O6" s="2015"/>
      <c r="P6" s="2014"/>
      <c r="Q6" s="2014"/>
      <c r="R6" s="2014"/>
    </row>
    <row r="7" spans="1:19" ht="18" customHeight="1">
      <c r="A7" s="2033" t="s">
        <v>1777</v>
      </c>
      <c r="B7" s="2038"/>
      <c r="C7" s="2035"/>
      <c r="D7" s="2036"/>
      <c r="E7" s="2019"/>
      <c r="F7" s="2027"/>
      <c r="G7" s="2027"/>
      <c r="H7" s="2027"/>
      <c r="I7" s="2027"/>
      <c r="J7" s="2027"/>
      <c r="K7" s="2039"/>
      <c r="L7" s="2013"/>
      <c r="M7" s="2013"/>
      <c r="N7" s="2014"/>
      <c r="O7" s="2015"/>
      <c r="P7" s="2014"/>
      <c r="Q7" s="2014"/>
      <c r="R7" s="2014"/>
    </row>
    <row r="8" spans="1:19" ht="18" customHeight="1">
      <c r="A8" s="2033" t="s">
        <v>1778</v>
      </c>
      <c r="B8" s="2040"/>
      <c r="C8" s="2041"/>
      <c r="D8" s="3034" t="s">
        <v>1779</v>
      </c>
      <c r="E8" s="2042"/>
      <c r="F8" s="2043"/>
      <c r="G8" s="2011"/>
      <c r="H8" s="2011"/>
      <c r="I8" s="2011"/>
      <c r="J8" s="2027"/>
      <c r="K8" s="2028"/>
      <c r="L8" s="2013"/>
      <c r="M8" s="2013"/>
      <c r="N8" s="2014"/>
      <c r="O8" s="2015"/>
      <c r="P8" s="2014"/>
      <c r="Q8" s="2014"/>
      <c r="R8" s="2014"/>
    </row>
    <row r="9" spans="1:19" ht="18" customHeight="1" thickBot="1">
      <c r="A9" s="2025" t="s">
        <v>1780</v>
      </c>
      <c r="B9" s="2044"/>
      <c r="C9" s="2045"/>
      <c r="D9" s="3035"/>
      <c r="E9" s="2044"/>
      <c r="F9" s="2046"/>
      <c r="G9" s="2047"/>
      <c r="H9" s="2047"/>
      <c r="I9" s="2047"/>
      <c r="J9" s="2027"/>
      <c r="K9" s="2039"/>
      <c r="L9" s="2013"/>
      <c r="M9" s="2013"/>
      <c r="N9" s="2014"/>
      <c r="O9" s="2015"/>
      <c r="P9" s="2014"/>
      <c r="Q9" s="2014"/>
      <c r="R9" s="2014"/>
    </row>
    <row r="10" spans="1:19" ht="18" customHeight="1" thickTop="1">
      <c r="A10" s="2048" t="s">
        <v>1781</v>
      </c>
      <c r="B10" s="2049"/>
      <c r="C10" s="2050"/>
      <c r="D10" s="2032"/>
      <c r="E10" s="2051" t="s">
        <v>1782</v>
      </c>
      <c r="F10" s="2052"/>
      <c r="G10" s="2053"/>
      <c r="H10" s="2054"/>
      <c r="I10" s="2032"/>
      <c r="J10" s="2027"/>
      <c r="K10" s="2039"/>
      <c r="L10" s="2013"/>
      <c r="M10" s="2013"/>
      <c r="N10" s="2014"/>
      <c r="O10" s="2015"/>
      <c r="P10" s="2014"/>
      <c r="Q10" s="2014"/>
      <c r="R10" s="2014"/>
    </row>
    <row r="11" spans="1:19" ht="18" customHeight="1">
      <c r="A11" s="2055" t="s">
        <v>1783</v>
      </c>
      <c r="B11" s="2056"/>
      <c r="C11" s="2057"/>
      <c r="D11" s="2058"/>
      <c r="E11" s="2027"/>
      <c r="F11" s="2027"/>
      <c r="G11" s="2027"/>
      <c r="H11" s="2027"/>
      <c r="I11" s="2027"/>
      <c r="J11" s="2027"/>
      <c r="K11" s="2039"/>
      <c r="L11" s="2013"/>
      <c r="M11" s="2013"/>
      <c r="N11" s="2014"/>
      <c r="O11" s="2015"/>
      <c r="P11" s="2014"/>
      <c r="Q11" s="2014"/>
      <c r="R11" s="2014"/>
    </row>
    <row r="12" spans="1:19" ht="18" customHeight="1">
      <c r="A12" s="2059" t="s">
        <v>1784</v>
      </c>
      <c r="B12" s="2056" t="s">
        <v>3081</v>
      </c>
      <c r="C12" s="2060" t="s">
        <v>1785</v>
      </c>
      <c r="D12" s="2061" t="s">
        <v>1786</v>
      </c>
      <c r="E12" s="2061" t="s">
        <v>1787</v>
      </c>
      <c r="F12" s="2061" t="s">
        <v>1788</v>
      </c>
      <c r="G12" s="2061" t="s">
        <v>1789</v>
      </c>
      <c r="H12" s="2061" t="s">
        <v>1790</v>
      </c>
      <c r="I12" s="2061" t="s">
        <v>1791</v>
      </c>
      <c r="J12" s="2027"/>
      <c r="K12" s="2039"/>
      <c r="L12" s="2013"/>
      <c r="M12" s="2013"/>
      <c r="N12" s="2014"/>
      <c r="O12" s="2015"/>
      <c r="P12" s="2014"/>
      <c r="Q12" s="2014"/>
      <c r="R12" s="2014"/>
    </row>
    <row r="13" spans="1:19" ht="18" customHeight="1">
      <c r="A13" s="2062"/>
      <c r="B13" s="2063"/>
      <c r="C13" s="2064" t="s">
        <v>1792</v>
      </c>
      <c r="D13" s="2065"/>
      <c r="E13" s="2065">
        <v>52299</v>
      </c>
      <c r="F13" s="2065"/>
      <c r="G13" s="2065">
        <v>52299</v>
      </c>
      <c r="H13" s="2065"/>
      <c r="I13" s="1042"/>
      <c r="J13" s="2027"/>
      <c r="K13" s="2039"/>
      <c r="L13" s="2013"/>
      <c r="M13" s="2013"/>
      <c r="N13" s="2014"/>
      <c r="O13" s="2015"/>
      <c r="P13" s="2014"/>
      <c r="Q13" s="2014"/>
      <c r="R13" s="2014"/>
    </row>
    <row r="14" spans="1:19" ht="18" customHeight="1">
      <c r="A14" s="2062"/>
      <c r="B14" s="2063"/>
      <c r="C14" s="2064" t="s">
        <v>1793</v>
      </c>
      <c r="D14" s="1045"/>
      <c r="E14" s="1045">
        <v>40</v>
      </c>
      <c r="F14" s="1045"/>
      <c r="G14" s="1045">
        <v>40</v>
      </c>
      <c r="H14" s="1045"/>
      <c r="I14" s="1045"/>
      <c r="J14" s="2027"/>
      <c r="K14" s="2066"/>
      <c r="L14" s="2013"/>
      <c r="M14" s="2013"/>
      <c r="N14" s="2014"/>
      <c r="O14" s="2015"/>
      <c r="P14" s="2014"/>
      <c r="Q14" s="2014"/>
      <c r="R14" s="2014"/>
    </row>
    <row r="15" spans="1:19" ht="18" customHeight="1">
      <c r="A15" s="2048"/>
      <c r="B15" s="2067"/>
      <c r="C15" s="2064" t="s">
        <v>1794</v>
      </c>
      <c r="D15" s="1044" t="str">
        <f>IF(B12="出让",IF(D13="","",ROUNDDOWN(MIN((D13-$D$3)/365,D14),2)),D14)</f>
        <v/>
      </c>
      <c r="E15" s="1044">
        <f>IF(B12="出让",IF(E13="","",ROUNDDOWN(MIN((E13-$D$3)/365,E14),2)),E14)</f>
        <v>22.68</v>
      </c>
      <c r="F15" s="1044" t="str">
        <f>IF(B12="出让",IF(F13="","",ROUNDDOWN(MIN((F13-$D$3)/365,F14),2)),F14)</f>
        <v/>
      </c>
      <c r="G15" s="1044">
        <f>IF(B12="出让",IF(G13="","",ROUNDDOWN(MIN((G13-$D$3)/365,G14),2)),G14)</f>
        <v>22.68</v>
      </c>
      <c r="H15" s="1044" t="str">
        <f>IF(B12="出让",IF(H13="","",ROUNDDOWN(MIN((H13-$D$3)/365,H14),2)),H14)</f>
        <v/>
      </c>
      <c r="I15" s="1044" t="str">
        <f>IF(B12="出让",IF(I13="","",ROUNDDOWN(MIN((I13-$D$3)/365,I14),2)),I14)</f>
        <v/>
      </c>
      <c r="J15" s="2027"/>
      <c r="K15" s="2068"/>
      <c r="L15" s="2069"/>
      <c r="M15" s="2069"/>
      <c r="N15" s="2070"/>
      <c r="O15" s="2069"/>
      <c r="P15" s="2070"/>
      <c r="Q15" s="2014"/>
      <c r="R15" s="2014"/>
    </row>
    <row r="16" spans="1:19" ht="30.75" customHeight="1">
      <c r="A16" s="2051" t="s">
        <v>1795</v>
      </c>
      <c r="B16" s="3041"/>
      <c r="C16" s="3042"/>
      <c r="D16" s="3043"/>
      <c r="E16" s="2071" t="s">
        <v>1796</v>
      </c>
      <c r="F16" s="3044"/>
      <c r="G16" s="3045"/>
      <c r="H16" s="3045"/>
      <c r="I16" s="3046"/>
      <c r="J16" s="2014"/>
      <c r="K16" s="2068"/>
      <c r="L16" s="2069"/>
      <c r="M16" s="2069"/>
      <c r="N16" s="2070"/>
      <c r="O16" s="2069"/>
      <c r="P16" s="2070"/>
      <c r="Q16" s="2014"/>
      <c r="R16" s="2014"/>
    </row>
    <row r="17" spans="1:22" ht="18" customHeight="1">
      <c r="A17" s="2072" t="s">
        <v>1797</v>
      </c>
      <c r="B17" s="2020" t="s">
        <v>1798</v>
      </c>
      <c r="C17" s="1049">
        <f>'数据-汇总表'!E3</f>
        <v>26881.280000000002</v>
      </c>
      <c r="D17" s="2073" t="s">
        <v>1799</v>
      </c>
      <c r="E17" s="3047" t="s">
        <v>1800</v>
      </c>
      <c r="F17" s="3048"/>
      <c r="G17" s="3048"/>
      <c r="H17" s="3048"/>
      <c r="I17" s="3049"/>
      <c r="J17" s="2014"/>
      <c r="K17" s="2074"/>
      <c r="L17" s="2069"/>
      <c r="M17" s="2069"/>
      <c r="N17" s="2070"/>
      <c r="O17" s="2069"/>
      <c r="P17" s="2070"/>
      <c r="Q17" s="2014"/>
      <c r="R17" s="2014"/>
      <c r="S17" s="2014"/>
      <c r="T17" s="2014"/>
      <c r="U17" s="2014"/>
      <c r="V17" s="2014"/>
    </row>
    <row r="18" spans="1:22" ht="36" customHeight="1" thickBot="1">
      <c r="A18" s="2075" t="s">
        <v>1801</v>
      </c>
      <c r="B18" s="2023" t="s">
        <v>1802</v>
      </c>
      <c r="C18" s="1439">
        <f>'数据-汇总表'!D3</f>
        <v>8010.13</v>
      </c>
      <c r="D18" s="2076" t="s">
        <v>1799</v>
      </c>
      <c r="E18" s="3050" t="s">
        <v>1803</v>
      </c>
      <c r="F18" s="3051"/>
      <c r="G18" s="3051"/>
      <c r="H18" s="3051"/>
      <c r="I18" s="3052"/>
      <c r="J18" s="2014"/>
      <c r="K18" s="2074"/>
      <c r="L18" s="2069"/>
      <c r="M18" s="2069"/>
      <c r="N18" s="2070"/>
      <c r="O18" s="2069"/>
      <c r="P18" s="2070"/>
      <c r="Q18" s="2014"/>
      <c r="R18" s="2014"/>
      <c r="S18" s="2014"/>
      <c r="T18" s="2014"/>
      <c r="U18" s="2014"/>
      <c r="V18" s="2014"/>
    </row>
    <row r="19" spans="1:22" ht="37.5" customHeight="1" thickTop="1" thickBot="1">
      <c r="A19" s="373" t="s">
        <v>1804</v>
      </c>
      <c r="B19" s="352" t="s">
        <v>1805</v>
      </c>
      <c r="C19" s="2077"/>
      <c r="D19" s="2078" t="s">
        <v>1806</v>
      </c>
      <c r="E19" s="2079"/>
      <c r="F19" s="2080" t="str">
        <f>IF(AND(C19="是",E19="否"),"是否提供他项权证或相关说明","")</f>
        <v/>
      </c>
      <c r="G19" s="2081"/>
      <c r="H19" s="2027"/>
      <c r="I19" s="2027"/>
      <c r="J19" s="2027"/>
      <c r="K19" s="2039"/>
      <c r="L19" s="2013"/>
      <c r="M19" s="2013"/>
      <c r="N19" s="2070"/>
      <c r="O19" s="2069"/>
      <c r="P19" s="2070"/>
      <c r="Q19" s="2014"/>
      <c r="R19" s="2014"/>
      <c r="S19" s="2014"/>
      <c r="T19" s="2014"/>
      <c r="U19" s="2014"/>
      <c r="V19" s="2014"/>
    </row>
    <row r="20" spans="1:22" ht="18" customHeight="1">
      <c r="A20" s="2082" t="s">
        <v>1807</v>
      </c>
      <c r="B20" s="3037" t="s">
        <v>1808</v>
      </c>
      <c r="C20" s="3038"/>
      <c r="D20" s="3039" t="s">
        <v>1809</v>
      </c>
      <c r="E20" s="3040"/>
      <c r="F20" s="2083" t="s">
        <v>1810</v>
      </c>
      <c r="G20" s="2027"/>
      <c r="H20" s="2027"/>
      <c r="I20" s="2027"/>
      <c r="J20" s="2027"/>
      <c r="K20" s="303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3"/>
      <c r="N20" s="2070"/>
      <c r="O20" s="2069"/>
      <c r="P20" s="2070"/>
      <c r="Q20" s="2014"/>
      <c r="R20" s="2014"/>
      <c r="S20" s="2014"/>
      <c r="T20" s="2014"/>
      <c r="U20" s="2014"/>
      <c r="V20" s="2014"/>
    </row>
    <row r="21" spans="1:22" ht="24.75" customHeight="1">
      <c r="A21" s="2082"/>
      <c r="B21" s="2084" t="s">
        <v>1812</v>
      </c>
      <c r="C21" s="2085" t="s">
        <v>1813</v>
      </c>
      <c r="D21" s="2086" t="s">
        <v>1814</v>
      </c>
      <c r="E21" s="2087" t="s">
        <v>1813</v>
      </c>
      <c r="F21" s="2088"/>
      <c r="G21" s="2027"/>
      <c r="H21" s="2027"/>
      <c r="I21" s="2027"/>
      <c r="J21" s="2027"/>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3"/>
      <c r="N21" s="2070"/>
      <c r="O21" s="2069"/>
      <c r="P21" s="2070"/>
      <c r="Q21" s="2014"/>
      <c r="R21" s="2014"/>
      <c r="S21" s="2014"/>
      <c r="T21" s="2014"/>
      <c r="U21" s="2014"/>
      <c r="V21" s="2014"/>
    </row>
    <row r="22" spans="1:22" ht="24.75" customHeight="1" thickBot="1">
      <c r="A22" s="2082"/>
      <c r="B22" s="2089" t="s">
        <v>1815</v>
      </c>
      <c r="C22" s="2085" t="s">
        <v>1816</v>
      </c>
      <c r="D22" s="2011"/>
      <c r="E22" s="2011"/>
      <c r="F22" s="2090"/>
      <c r="G22" s="2027"/>
      <c r="H22" s="2027"/>
      <c r="I22" s="2027"/>
      <c r="J22" s="2027"/>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3"/>
      <c r="N22" s="2070"/>
      <c r="O22" s="2069"/>
      <c r="P22" s="2070"/>
      <c r="Q22" s="2014"/>
      <c r="R22" s="2014"/>
      <c r="S22" s="2014"/>
      <c r="T22" s="2014"/>
      <c r="U22" s="2014"/>
      <c r="V22" s="2014"/>
    </row>
    <row r="23" spans="1:22" ht="18" customHeight="1">
      <c r="A23" s="2091" t="s">
        <v>1817</v>
      </c>
      <c r="B23" s="183" t="s">
        <v>1818</v>
      </c>
      <c r="C23" s="2092"/>
      <c r="D23" s="2093" t="s">
        <v>1818</v>
      </c>
      <c r="E23" s="2094"/>
      <c r="F23" s="2090"/>
      <c r="G23" s="2027"/>
      <c r="H23" s="2027"/>
      <c r="I23" s="2027"/>
      <c r="J23" s="2027"/>
      <c r="K23" s="2095"/>
      <c r="L23" s="748"/>
      <c r="M23" s="2013"/>
      <c r="N23" s="2070"/>
      <c r="O23" s="2069"/>
      <c r="P23" s="2070"/>
      <c r="Q23" s="2014"/>
      <c r="R23" s="2014"/>
      <c r="S23" s="2014"/>
      <c r="T23" s="2014"/>
      <c r="U23" s="2014"/>
      <c r="V23" s="2014"/>
    </row>
    <row r="24" spans="1:22" ht="18" customHeight="1">
      <c r="A24" s="2096"/>
      <c r="B24" s="183" t="s">
        <v>1819</v>
      </c>
      <c r="C24" s="2097"/>
      <c r="D24" s="2091" t="s">
        <v>1819</v>
      </c>
      <c r="E24" s="2098"/>
      <c r="F24" s="2090"/>
      <c r="G24" s="2027"/>
      <c r="H24" s="2027"/>
      <c r="I24" s="2027"/>
      <c r="J24" s="2027"/>
      <c r="K24" s="2095"/>
      <c r="L24" s="748"/>
      <c r="M24" s="2013"/>
      <c r="N24" s="2070"/>
      <c r="O24" s="2069"/>
      <c r="P24" s="2070"/>
      <c r="Q24" s="2014"/>
      <c r="R24" s="2014"/>
      <c r="S24" s="2014"/>
      <c r="T24" s="2014"/>
      <c r="U24" s="2014"/>
      <c r="V24" s="2014"/>
    </row>
    <row r="25" spans="1:22" ht="18" customHeight="1">
      <c r="A25" s="2096"/>
      <c r="B25" s="183" t="s">
        <v>1820</v>
      </c>
      <c r="C25" s="2097"/>
      <c r="D25" s="2091" t="s">
        <v>1820</v>
      </c>
      <c r="E25" s="2098"/>
      <c r="F25" s="2090"/>
      <c r="G25" s="2027"/>
      <c r="H25" s="2027"/>
      <c r="I25" s="2027"/>
      <c r="J25" s="2027"/>
      <c r="K25" s="2039"/>
      <c r="L25" s="2013"/>
      <c r="M25" s="2013"/>
      <c r="N25" s="2070"/>
      <c r="O25" s="2069"/>
      <c r="P25" s="2070"/>
      <c r="Q25" s="2014"/>
      <c r="R25" s="2014"/>
      <c r="S25" s="2014"/>
      <c r="T25" s="2014"/>
      <c r="U25" s="2014"/>
      <c r="V25" s="2014"/>
    </row>
    <row r="26" spans="1:22" ht="18" customHeight="1" thickBot="1">
      <c r="A26" s="2099"/>
      <c r="B26" s="2100" t="s">
        <v>1821</v>
      </c>
      <c r="C26" s="2101"/>
      <c r="D26" s="2102" t="s">
        <v>1822</v>
      </c>
      <c r="E26" s="2103"/>
      <c r="F26" s="2104"/>
      <c r="G26" s="2047"/>
      <c r="H26" s="2047"/>
      <c r="I26" s="2047"/>
      <c r="J26" s="2027"/>
      <c r="K26" s="2039"/>
      <c r="L26" s="2013"/>
      <c r="M26" s="2013"/>
      <c r="N26" s="2070"/>
      <c r="O26" s="2069"/>
      <c r="P26" s="2070"/>
      <c r="Q26" s="2014"/>
      <c r="R26" s="2014"/>
      <c r="S26" s="2014"/>
      <c r="T26" s="2014"/>
      <c r="U26" s="2014"/>
      <c r="V26" s="2014"/>
    </row>
    <row r="27" spans="1:22" ht="18" customHeight="1" thickTop="1">
      <c r="A27" s="3054" t="s">
        <v>1823</v>
      </c>
      <c r="B27" s="2048" t="s">
        <v>1824</v>
      </c>
      <c r="C27" s="2105"/>
      <c r="D27" s="2106"/>
      <c r="E27" s="2027"/>
      <c r="F27" s="2027"/>
      <c r="G27" s="2027"/>
      <c r="H27" s="2027"/>
      <c r="I27" s="2027"/>
      <c r="J27" s="2014"/>
      <c r="K27" s="2068"/>
      <c r="L27" s="2069"/>
      <c r="M27" s="2069"/>
      <c r="N27" s="2070"/>
      <c r="O27" s="2069"/>
      <c r="P27" s="2070"/>
      <c r="Q27" s="2014"/>
      <c r="R27" s="2014"/>
      <c r="S27" s="2014"/>
      <c r="T27" s="2014"/>
      <c r="U27" s="2014"/>
      <c r="V27" s="2014"/>
    </row>
    <row r="28" spans="1:22" ht="18" customHeight="1">
      <c r="A28" s="3054"/>
      <c r="B28" s="2020" t="s">
        <v>1825</v>
      </c>
      <c r="C28" s="2107"/>
      <c r="D28" s="2108"/>
      <c r="E28" s="2027"/>
      <c r="F28" s="2027"/>
      <c r="G28" s="2027"/>
      <c r="H28" s="2027"/>
      <c r="I28" s="2027"/>
      <c r="J28" s="2014"/>
      <c r="K28" s="2109"/>
      <c r="L28" s="2013"/>
      <c r="M28" s="2013"/>
      <c r="N28" s="2014"/>
      <c r="O28" s="2015"/>
      <c r="P28" s="2014"/>
      <c r="Q28" s="2014"/>
      <c r="R28" s="2014"/>
      <c r="S28" s="2014"/>
      <c r="T28" s="2014"/>
      <c r="U28" s="2014"/>
      <c r="V28" s="2014"/>
    </row>
    <row r="29" spans="1:22" ht="18" customHeight="1">
      <c r="A29" s="3054"/>
      <c r="B29" s="2020" t="s">
        <v>1826</v>
      </c>
      <c r="C29" s="2110"/>
      <c r="D29" s="2111"/>
      <c r="E29" s="2027"/>
      <c r="F29" s="2027"/>
      <c r="G29" s="2027"/>
      <c r="H29" s="2027"/>
      <c r="I29" s="2027"/>
      <c r="J29" s="2014"/>
      <c r="K29" s="2109"/>
      <c r="L29" s="2013"/>
      <c r="M29" s="2013"/>
      <c r="N29" s="2014"/>
      <c r="O29" s="2015"/>
      <c r="P29" s="2014"/>
      <c r="Q29" s="2014"/>
      <c r="R29" s="2014"/>
      <c r="S29" s="2014"/>
      <c r="T29" s="2014"/>
      <c r="U29" s="2014"/>
      <c r="V29" s="2014"/>
    </row>
    <row r="30" spans="1:22" ht="18" customHeight="1">
      <c r="A30" s="3055"/>
      <c r="B30" s="2020" t="s">
        <v>1827</v>
      </c>
      <c r="C30" s="3056"/>
      <c r="D30" s="3057"/>
      <c r="E30" s="2027"/>
      <c r="F30" s="2027"/>
      <c r="G30" s="2027"/>
      <c r="H30" s="2027"/>
      <c r="I30" s="2027"/>
      <c r="J30" s="2014"/>
      <c r="K30" s="2109"/>
      <c r="L30" s="2013"/>
      <c r="M30" s="2013"/>
      <c r="N30" s="2014"/>
      <c r="O30" s="2015"/>
      <c r="P30" s="2014"/>
      <c r="Q30" s="2014"/>
      <c r="R30" s="2014"/>
      <c r="S30" s="2014"/>
      <c r="T30" s="2014"/>
      <c r="U30" s="2014"/>
      <c r="V30" s="2014"/>
    </row>
    <row r="31" spans="1:22" ht="18" customHeight="1">
      <c r="A31" s="3058" t="s">
        <v>1828</v>
      </c>
      <c r="B31" s="2112"/>
      <c r="C31" s="2113" t="str">
        <f>IF(B31="现房","成新及维护状况正常否",IF(B31="在建","工程状态是否正常",IF(B31="土地","是否闲置","-")))</f>
        <v>-</v>
      </c>
      <c r="D31" s="2114"/>
      <c r="E31" s="2115"/>
      <c r="F31" s="2027"/>
      <c r="G31" s="2027"/>
      <c r="H31" s="2027"/>
      <c r="I31" s="2027"/>
      <c r="J31" s="2027"/>
      <c r="K31" s="2037"/>
      <c r="L31" s="2013"/>
      <c r="M31" s="2013"/>
      <c r="N31" s="2014"/>
      <c r="O31" s="2015"/>
      <c r="P31" s="2014"/>
      <c r="Q31" s="2014"/>
      <c r="R31" s="2014"/>
      <c r="S31" s="2014"/>
      <c r="T31" s="2014"/>
      <c r="U31" s="2014"/>
      <c r="V31" s="2014"/>
    </row>
    <row r="32" spans="1:22" ht="18" customHeight="1">
      <c r="A32" s="3059"/>
      <c r="B32" s="2112"/>
      <c r="C32" s="2113" t="str">
        <f>IF(B32="现房","成新及维护状况是否正常",IF(B32="在建","工程状态是否正常",IF(B32="土地","是否闲置","-")))</f>
        <v>-</v>
      </c>
      <c r="D32" s="2114"/>
      <c r="E32" s="2115"/>
      <c r="F32" s="2027"/>
      <c r="G32" s="2027"/>
      <c r="H32" s="2027"/>
      <c r="I32" s="2027"/>
      <c r="J32" s="2027"/>
      <c r="K32" s="2039"/>
      <c r="L32" s="2013"/>
      <c r="M32" s="2013"/>
      <c r="N32" s="2014"/>
      <c r="O32" s="2015"/>
      <c r="P32" s="2014"/>
      <c r="Q32" s="2014"/>
      <c r="R32" s="2014"/>
      <c r="S32" s="2014"/>
      <c r="T32" s="2014"/>
      <c r="U32" s="2014"/>
      <c r="V32" s="2014"/>
    </row>
    <row r="33" spans="1:22" ht="18" customHeight="1">
      <c r="A33" s="3059"/>
      <c r="B33" s="2116"/>
      <c r="C33" s="2055" t="str">
        <f>IF(B33="现房","成新及维护状况是否正常",IF(B33="在建","工程状态是否正常",IF(B33="土地","是否闲置","-")))</f>
        <v>-</v>
      </c>
      <c r="D33" s="2117"/>
      <c r="E33" s="2118"/>
      <c r="F33" s="2027"/>
      <c r="G33" s="2027"/>
      <c r="H33" s="2027"/>
      <c r="I33" s="2027"/>
      <c r="J33" s="2027"/>
      <c r="K33" s="2039"/>
      <c r="L33" s="2013"/>
      <c r="M33" s="2013"/>
      <c r="N33" s="2014"/>
      <c r="O33" s="2015"/>
      <c r="P33" s="2014"/>
      <c r="Q33" s="2014"/>
      <c r="R33" s="2014"/>
      <c r="S33" s="2014"/>
      <c r="T33" s="2014"/>
      <c r="U33" s="2014"/>
      <c r="V33" s="2014"/>
    </row>
    <row r="34" spans="1:22" ht="18" customHeight="1">
      <c r="A34" s="2020" t="s">
        <v>1829</v>
      </c>
      <c r="B34" s="2119"/>
      <c r="C34" s="2119"/>
      <c r="D34" s="2119"/>
      <c r="E34" s="2119"/>
      <c r="F34" s="2119"/>
      <c r="G34" s="2119"/>
      <c r="H34" s="2119"/>
      <c r="I34" s="2027"/>
      <c r="J34" s="2027"/>
      <c r="K34" s="1781">
        <f>COUNTIF(B34:H34,"——")</f>
        <v>0</v>
      </c>
      <c r="L34" s="2060" t="s">
        <v>1830</v>
      </c>
      <c r="M34" s="2060" t="s">
        <v>1831</v>
      </c>
      <c r="N34" s="2060" t="s">
        <v>1832</v>
      </c>
      <c r="O34" s="2060" t="s">
        <v>1833</v>
      </c>
      <c r="P34" s="2060" t="s">
        <v>1834</v>
      </c>
      <c r="Q34" s="2060" t="s">
        <v>1835</v>
      </c>
      <c r="R34" s="2060" t="s">
        <v>1836</v>
      </c>
      <c r="S34" s="3053" t="s">
        <v>1837</v>
      </c>
      <c r="T34" s="2120" t="str">
        <f>NUMBERSTRING(7-K34,1)&amp;"通"</f>
        <v>七通</v>
      </c>
      <c r="U34" s="2014"/>
      <c r="V34" s="2014"/>
    </row>
    <row r="35" spans="1:22" ht="18" customHeight="1">
      <c r="A35" s="2121"/>
      <c r="B35" s="3060" t="s">
        <v>1838</v>
      </c>
      <c r="C35" s="3060"/>
      <c r="D35" s="3060"/>
      <c r="E35" s="3060"/>
      <c r="F35" s="2122">
        <f>C10</f>
        <v>0</v>
      </c>
      <c r="G35" s="2027"/>
      <c r="H35" s="2027"/>
      <c r="I35" s="2027"/>
      <c r="J35" s="2027"/>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3"/>
      <c r="T35" s="48" t="str">
        <f>IF(T34="一通",L35,IF(T34="二通",M35,IF(T34="三通",N35,IF(T34="四通",O35,IF(T34="五通",P35,IF(T34="六通",Q35,R35))))))</f>
        <v>、、、、、、</v>
      </c>
      <c r="U35" s="2014"/>
      <c r="V35" s="2014"/>
    </row>
    <row r="36" spans="1:22" ht="18" customHeight="1">
      <c r="A36" s="2123"/>
      <c r="B36" s="2122" t="s">
        <v>1839</v>
      </c>
      <c r="C36" s="2122" t="s">
        <v>1840</v>
      </c>
      <c r="D36" s="2122" t="s">
        <v>1841</v>
      </c>
      <c r="E36" s="2122" t="s">
        <v>1842</v>
      </c>
      <c r="F36" s="2124"/>
      <c r="G36" s="2027"/>
      <c r="H36" s="2027"/>
      <c r="I36" s="2027"/>
      <c r="J36" s="2027"/>
      <c r="K36" s="2039"/>
      <c r="L36" s="2013"/>
      <c r="M36" s="2013"/>
      <c r="N36" s="2014"/>
      <c r="O36" s="2015"/>
      <c r="P36" s="2014"/>
      <c r="Q36" s="2014"/>
      <c r="R36" s="2014"/>
      <c r="S36" s="2014"/>
      <c r="T36" s="2014"/>
      <c r="U36" s="2014"/>
      <c r="V36" s="2014"/>
    </row>
    <row r="37" spans="1:22" ht="18" customHeight="1">
      <c r="A37" s="2125" t="s">
        <v>1843</v>
      </c>
      <c r="B37" s="2126" t="s">
        <v>523</v>
      </c>
      <c r="C37" s="2126"/>
      <c r="D37" s="2126"/>
      <c r="E37" s="2126"/>
      <c r="F37" s="2124"/>
      <c r="G37" s="2027"/>
      <c r="H37" s="2027"/>
      <c r="I37" s="2027"/>
      <c r="J37" s="2027"/>
      <c r="K37" s="2039"/>
      <c r="L37" s="2013"/>
      <c r="M37" s="2013"/>
      <c r="N37" s="2014"/>
      <c r="O37" s="2015"/>
      <c r="P37" s="2014"/>
      <c r="Q37" s="2014"/>
      <c r="R37" s="2014"/>
      <c r="S37" s="2014"/>
      <c r="T37" s="2014"/>
      <c r="U37" s="2014"/>
      <c r="V37" s="2014"/>
    </row>
    <row r="38" spans="1:22" ht="18" customHeight="1" thickBot="1">
      <c r="A38" s="2127" t="s">
        <v>1844</v>
      </c>
      <c r="B38" s="2128" t="s">
        <v>4211</v>
      </c>
      <c r="C38" s="2128"/>
      <c r="D38" s="2128"/>
      <c r="E38" s="2128"/>
      <c r="F38" s="2129"/>
      <c r="G38" s="2047"/>
      <c r="H38" s="2047"/>
      <c r="I38" s="2047"/>
      <c r="J38" s="2027"/>
      <c r="K38" s="2039"/>
      <c r="L38" s="2013"/>
      <c r="M38" s="2013"/>
      <c r="N38" s="2014"/>
      <c r="O38" s="2015"/>
      <c r="P38" s="2014"/>
      <c r="Q38" s="2014"/>
      <c r="R38" s="2014"/>
      <c r="S38" s="2014"/>
      <c r="T38" s="2014"/>
      <c r="U38" s="2014"/>
      <c r="V38" s="2014"/>
    </row>
    <row r="39" spans="1:22" s="2134" customFormat="1" ht="18" customHeight="1" thickTop="1" thickBot="1">
      <c r="A39" s="2130" t="s">
        <v>1845</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4"/>
      <c r="B40" s="2014"/>
      <c r="C40" s="2014"/>
      <c r="D40" s="2014"/>
      <c r="E40" s="2014"/>
      <c r="F40" s="2014"/>
      <c r="G40" s="2014"/>
      <c r="H40" s="2014"/>
      <c r="I40" s="2135"/>
      <c r="J40" s="2070"/>
      <c r="K40" s="666"/>
      <c r="L40" s="2069"/>
      <c r="M40" s="2069"/>
      <c r="N40" s="2070"/>
      <c r="O40" s="2069"/>
      <c r="P40" s="2014"/>
      <c r="Q40" s="2014"/>
      <c r="R40" s="2014"/>
      <c r="S40" s="2014"/>
      <c r="T40" s="2014"/>
      <c r="U40" s="2014"/>
      <c r="V40" s="2014"/>
    </row>
    <row r="41" spans="1:22" ht="18" customHeight="1">
      <c r="A41" s="8" t="s">
        <v>1846</v>
      </c>
      <c r="B41" s="2136"/>
      <c r="C41" s="2137"/>
      <c r="D41" s="2014"/>
      <c r="E41" s="2014"/>
      <c r="F41" s="2014"/>
      <c r="G41" s="2014"/>
      <c r="H41" s="2014"/>
      <c r="I41" s="2015"/>
      <c r="J41" s="2014"/>
      <c r="K41" s="2109"/>
      <c r="L41" s="2013"/>
      <c r="M41" s="2013"/>
      <c r="N41" s="2014"/>
      <c r="O41" s="2015"/>
      <c r="P41" s="2014"/>
      <c r="Q41" s="2014"/>
      <c r="R41" s="2014"/>
      <c r="S41" s="2014"/>
      <c r="T41" s="2014"/>
      <c r="U41" s="2014"/>
      <c r="V41" s="2014"/>
    </row>
    <row r="42" spans="1:22" ht="18" customHeight="1">
      <c r="A42" s="2060" t="s">
        <v>1847</v>
      </c>
      <c r="B42" s="1781" t="s">
        <v>1848</v>
      </c>
      <c r="C42" s="1781" t="s">
        <v>1849</v>
      </c>
      <c r="D42" s="1781" t="s">
        <v>1850</v>
      </c>
      <c r="E42" s="1781" t="s">
        <v>1851</v>
      </c>
      <c r="F42" s="1781" t="s">
        <v>1852</v>
      </c>
      <c r="G42" s="1781" t="s">
        <v>1853</v>
      </c>
      <c r="H42" s="1781" t="s">
        <v>1854</v>
      </c>
      <c r="I42" s="1781" t="s">
        <v>1855</v>
      </c>
      <c r="J42" s="2138" t="s">
        <v>1856</v>
      </c>
      <c r="K42" s="2061" t="s">
        <v>1857</v>
      </c>
      <c r="L42" s="2061" t="s">
        <v>1858</v>
      </c>
      <c r="M42" s="2061" t="s">
        <v>1859</v>
      </c>
      <c r="N42" s="1781" t="s">
        <v>1860</v>
      </c>
      <c r="O42" s="1781" t="s">
        <v>1861</v>
      </c>
      <c r="P42" s="1781" t="s">
        <v>1862</v>
      </c>
      <c r="Q42" s="2060" t="s">
        <v>1863</v>
      </c>
      <c r="R42" s="2060" t="s">
        <v>1864</v>
      </c>
      <c r="S42" s="2014"/>
      <c r="T42" s="2014"/>
      <c r="U42" s="2014"/>
      <c r="V42" s="2014"/>
    </row>
    <row r="43" spans="1:22" s="2143" customFormat="1" ht="18" customHeight="1">
      <c r="A43" s="2139"/>
      <c r="B43" s="1267"/>
      <c r="C43" s="1267"/>
      <c r="D43" s="1267"/>
      <c r="E43" s="1267"/>
      <c r="F43" s="1267"/>
      <c r="G43" s="1267"/>
      <c r="H43" s="9"/>
      <c r="I43" s="9"/>
      <c r="J43" s="2140"/>
      <c r="K43" s="2141"/>
      <c r="L43" s="2141"/>
      <c r="M43" s="9"/>
      <c r="N43" s="1267"/>
      <c r="O43" s="9"/>
      <c r="P43" s="1267"/>
      <c r="Q43" s="1267"/>
      <c r="R43" s="1267"/>
      <c r="S43" s="2142"/>
      <c r="T43" s="2142"/>
      <c r="U43" s="2142"/>
      <c r="V43" s="2142"/>
    </row>
    <row r="44" spans="1:22" s="2143" customFormat="1" ht="18" customHeight="1">
      <c r="A44" s="2139"/>
      <c r="B44" s="2139"/>
      <c r="C44" s="1267"/>
      <c r="D44" s="1267"/>
      <c r="E44" s="1267"/>
      <c r="F44" s="1267"/>
      <c r="G44" s="1267"/>
      <c r="H44" s="9"/>
      <c r="I44" s="9"/>
      <c r="J44" s="2140"/>
      <c r="K44" s="2141"/>
      <c r="L44" s="2141"/>
      <c r="M44" s="9"/>
      <c r="N44" s="1267"/>
      <c r="O44" s="9"/>
      <c r="P44" s="1267"/>
      <c r="Q44" s="1267"/>
      <c r="R44" s="1267"/>
      <c r="S44" s="2142"/>
      <c r="T44" s="2142"/>
      <c r="U44" s="2142"/>
      <c r="V44" s="2142"/>
    </row>
    <row r="45" spans="1:22" s="2143" customFormat="1" ht="18" customHeight="1">
      <c r="A45" s="2139"/>
      <c r="B45" s="2139"/>
      <c r="C45" s="1267"/>
      <c r="D45" s="1267"/>
      <c r="E45" s="1267"/>
      <c r="F45" s="1267"/>
      <c r="G45" s="1267"/>
      <c r="H45" s="9"/>
      <c r="I45" s="9"/>
      <c r="J45" s="2140"/>
      <c r="K45" s="2141"/>
      <c r="L45" s="2141"/>
      <c r="M45" s="9"/>
      <c r="N45" s="1267"/>
      <c r="O45" s="9"/>
      <c r="P45" s="1267"/>
      <c r="Q45" s="1267"/>
      <c r="R45" s="1267"/>
      <c r="S45" s="2142"/>
      <c r="T45" s="2142"/>
      <c r="U45" s="2142"/>
      <c r="V45" s="2142"/>
    </row>
    <row r="46" spans="1:22" s="2143" customFormat="1" ht="18" customHeight="1">
      <c r="A46" s="2139"/>
      <c r="B46" s="2139"/>
      <c r="C46" s="1267"/>
      <c r="D46" s="1267"/>
      <c r="E46" s="1267"/>
      <c r="F46" s="1267"/>
      <c r="G46" s="1267"/>
      <c r="H46" s="9"/>
      <c r="I46" s="9"/>
      <c r="J46" s="2140"/>
      <c r="K46" s="2141"/>
      <c r="L46" s="2141"/>
      <c r="M46" s="9"/>
      <c r="N46" s="1267"/>
      <c r="O46" s="9"/>
      <c r="P46" s="1267"/>
      <c r="Q46" s="1267"/>
      <c r="R46" s="1267"/>
      <c r="S46" s="2142"/>
      <c r="T46" s="2142"/>
      <c r="U46" s="2142"/>
      <c r="V46" s="2142"/>
    </row>
    <row r="47" spans="1:22" s="2143" customFormat="1" ht="18" customHeight="1">
      <c r="A47" s="2139"/>
      <c r="B47" s="2139"/>
      <c r="C47" s="1267"/>
      <c r="D47" s="1267"/>
      <c r="E47" s="1267"/>
      <c r="F47" s="1267"/>
      <c r="G47" s="1267"/>
      <c r="H47" s="9"/>
      <c r="I47" s="9"/>
      <c r="J47" s="2140"/>
      <c r="K47" s="2141"/>
      <c r="L47" s="2141"/>
      <c r="M47" s="9"/>
      <c r="N47" s="1267"/>
      <c r="O47" s="9"/>
      <c r="P47" s="1267"/>
      <c r="Q47" s="1267"/>
      <c r="R47" s="1267"/>
      <c r="S47" s="2142"/>
      <c r="T47" s="2142"/>
      <c r="U47" s="2142"/>
      <c r="V47" s="2142"/>
    </row>
    <row r="48" spans="1:22" s="2143" customFormat="1" ht="18" customHeight="1">
      <c r="A48" s="2139"/>
      <c r="B48" s="2139"/>
      <c r="C48" s="1267"/>
      <c r="D48" s="1267"/>
      <c r="E48" s="1267"/>
      <c r="F48" s="1267"/>
      <c r="G48" s="1267"/>
      <c r="H48" s="9"/>
      <c r="I48" s="9"/>
      <c r="J48" s="2140"/>
      <c r="K48" s="2141"/>
      <c r="L48" s="2141"/>
      <c r="M48" s="9"/>
      <c r="N48" s="1267"/>
      <c r="O48" s="9"/>
      <c r="P48" s="1267"/>
      <c r="Q48" s="1267"/>
      <c r="R48" s="1267"/>
      <c r="S48" s="2142"/>
      <c r="T48" s="2142"/>
      <c r="U48" s="2142"/>
      <c r="V48" s="2142"/>
    </row>
    <row r="49" spans="1:22" s="2143" customFormat="1" ht="18" customHeight="1">
      <c r="A49" s="2139"/>
      <c r="B49" s="2139"/>
      <c r="C49" s="1267"/>
      <c r="D49" s="1267"/>
      <c r="E49" s="1267"/>
      <c r="F49" s="1267"/>
      <c r="G49" s="1267"/>
      <c r="H49" s="9"/>
      <c r="I49" s="9"/>
      <c r="J49" s="2140"/>
      <c r="K49" s="2141"/>
      <c r="L49" s="2141"/>
      <c r="M49" s="9"/>
      <c r="N49" s="1267"/>
      <c r="O49" s="9"/>
      <c r="P49" s="1267"/>
      <c r="Q49" s="1267"/>
      <c r="R49" s="1267"/>
      <c r="S49" s="2142"/>
      <c r="T49" s="2142"/>
      <c r="U49" s="2142"/>
      <c r="V49" s="2142"/>
    </row>
    <row r="50" spans="1:22" s="2143" customFormat="1" ht="18" customHeight="1">
      <c r="A50" s="2139"/>
      <c r="B50" s="2139"/>
      <c r="C50" s="1267"/>
      <c r="D50" s="1267"/>
      <c r="E50" s="1267"/>
      <c r="F50" s="1267"/>
      <c r="G50" s="1267"/>
      <c r="H50" s="9"/>
      <c r="I50" s="9"/>
      <c r="J50" s="2140"/>
      <c r="K50" s="2141"/>
      <c r="L50" s="2141"/>
      <c r="M50" s="9"/>
      <c r="N50" s="1267"/>
      <c r="O50" s="9"/>
      <c r="P50" s="1267"/>
      <c r="Q50" s="1267"/>
      <c r="R50" s="1267"/>
      <c r="S50" s="2142"/>
      <c r="T50" s="2142"/>
      <c r="U50" s="2142"/>
      <c r="V50" s="2142"/>
    </row>
    <row r="51" spans="1:22" s="2143" customFormat="1" ht="18" customHeight="1">
      <c r="A51" s="2139"/>
      <c r="B51" s="2139"/>
      <c r="C51" s="1267"/>
      <c r="D51" s="1267"/>
      <c r="E51" s="1267"/>
      <c r="F51" s="1267"/>
      <c r="G51" s="1267"/>
      <c r="H51" s="9"/>
      <c r="I51" s="9"/>
      <c r="J51" s="2140"/>
      <c r="K51" s="2141"/>
      <c r="L51" s="2141"/>
      <c r="M51" s="9"/>
      <c r="N51" s="1267"/>
      <c r="O51" s="9"/>
      <c r="P51" s="1267"/>
      <c r="Q51" s="1267"/>
      <c r="R51" s="1267"/>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45" customWidth="1"/>
    <col min="2" max="2" width="11" style="2145" customWidth="1"/>
    <col min="3" max="3" width="10.33203125" style="2145" customWidth="1"/>
    <col min="4" max="4" width="9.109375" style="2145" customWidth="1"/>
    <col min="5" max="6" width="10" style="2208" customWidth="1"/>
    <col min="7" max="8" width="10" style="2145" customWidth="1"/>
    <col min="9" max="9" width="10.6640625" style="2145" customWidth="1"/>
    <col min="10" max="10" width="9.44140625" style="2145" customWidth="1"/>
    <col min="11" max="11" width="11" style="2145" customWidth="1"/>
    <col min="12" max="14" width="9.44140625" style="2145" customWidth="1"/>
    <col min="15" max="15" width="9.88671875" style="2145" hidden="1" customWidth="1"/>
    <col min="16" max="16" width="9.77734375" style="2145" hidden="1" customWidth="1"/>
    <col min="17" max="17" width="9.33203125" style="2145" hidden="1" customWidth="1"/>
    <col min="18" max="18" width="9.21875" style="2145" hidden="1" customWidth="1"/>
    <col min="19" max="19" width="10.88671875" style="2145" hidden="1" customWidth="1"/>
    <col min="20" max="21" width="10.77734375" style="2145" hidden="1" customWidth="1"/>
    <col min="22" max="22" width="10.88671875" style="2145" hidden="1" customWidth="1"/>
    <col min="23" max="27" width="10.77734375" style="2145" hidden="1" customWidth="1"/>
    <col min="28" max="28" width="10.88671875" style="2145" hidden="1" customWidth="1"/>
    <col min="29" max="29" width="11" style="2145" bestFit="1" customWidth="1"/>
    <col min="30" max="30" width="10" style="2145" bestFit="1" customWidth="1"/>
    <col min="31" max="31" width="9.77734375" style="2145" customWidth="1"/>
    <col min="32" max="46" width="9.44140625" style="2145" customWidth="1"/>
    <col min="47" max="47" width="18.109375" style="2145" customWidth="1"/>
    <col min="48" max="50" width="9.77734375" style="2145" customWidth="1"/>
    <col min="51" max="55" width="10.44140625" style="2145" bestFit="1" customWidth="1"/>
    <col min="56" max="56" width="9.44140625" style="2145" bestFit="1" customWidth="1"/>
    <col min="57" max="63" width="9.109375" style="2145" bestFit="1" customWidth="1"/>
    <col min="64" max="64" width="9.44140625" style="2145" bestFit="1" customWidth="1"/>
    <col min="65" max="65" width="9.109375" style="2145" bestFit="1" customWidth="1"/>
    <col min="66" max="66" width="9.44140625" style="2145" bestFit="1" customWidth="1"/>
    <col min="67" max="69" width="9.109375" style="2145" bestFit="1" customWidth="1"/>
    <col min="70" max="70" width="9.44140625" style="2145" bestFit="1" customWidth="1"/>
    <col min="71" max="71" width="9" style="2145" customWidth="1"/>
    <col min="72" max="72" width="9.109375" style="2145" bestFit="1" customWidth="1"/>
    <col min="73" max="16384" width="8.88671875" style="2145"/>
  </cols>
  <sheetData>
    <row r="1" spans="1:72" ht="21">
      <c r="A1" s="2148" t="s">
        <v>1865</v>
      </c>
      <c r="B1" s="2015"/>
      <c r="C1" s="2015"/>
      <c r="D1" s="2015"/>
      <c r="E1" s="2015"/>
      <c r="F1" s="2015"/>
      <c r="G1" s="2015"/>
      <c r="H1" s="2015"/>
      <c r="I1" s="2015"/>
      <c r="J1" s="2015"/>
      <c r="K1" s="2015"/>
      <c r="L1" s="2015"/>
      <c r="M1" s="2015"/>
      <c r="N1" s="2015"/>
      <c r="O1" s="2015"/>
      <c r="P1" s="2015"/>
      <c r="Q1" s="2015"/>
      <c r="R1" s="2015"/>
      <c r="S1" s="2015"/>
      <c r="T1" s="2015"/>
      <c r="U1" s="2015"/>
      <c r="V1" s="2015"/>
      <c r="W1" s="2015"/>
      <c r="X1" s="2015"/>
      <c r="Y1" s="2015"/>
      <c r="Z1" s="2015"/>
      <c r="AA1" s="2015"/>
      <c r="AB1" s="2015"/>
      <c r="AC1" s="2015"/>
      <c r="AD1" s="2015"/>
      <c r="AE1" s="2015"/>
      <c r="AF1" s="2015"/>
      <c r="AG1" s="2015"/>
      <c r="AH1" s="2015"/>
      <c r="AI1" s="2015"/>
      <c r="AJ1" s="2015"/>
      <c r="AK1" s="2015"/>
      <c r="AL1" s="2015"/>
      <c r="AM1" s="2015"/>
      <c r="AN1" s="2015"/>
      <c r="AO1" s="2015"/>
      <c r="AP1" s="2015"/>
      <c r="AQ1" s="2015"/>
      <c r="AR1" s="2015"/>
      <c r="AS1" s="2015"/>
      <c r="AT1" s="2015"/>
      <c r="AU1" s="2015"/>
      <c r="AV1" s="2149" t="s">
        <v>1866</v>
      </c>
      <c r="AW1" s="2015"/>
      <c r="AX1" s="2015"/>
      <c r="AY1" s="2015"/>
      <c r="AZ1" s="2015"/>
      <c r="BA1" s="2015"/>
      <c r="BB1" s="2015"/>
      <c r="BC1" s="2015"/>
      <c r="BD1" s="2015"/>
      <c r="BE1" s="2015"/>
      <c r="BF1" s="2015"/>
      <c r="BG1" s="2015"/>
      <c r="BH1" s="2015"/>
      <c r="BI1" s="2015"/>
      <c r="BJ1" s="2015"/>
      <c r="BK1" s="2015"/>
      <c r="BL1" s="2015"/>
      <c r="BM1" s="2015"/>
      <c r="BN1" s="2015"/>
      <c r="BO1" s="2015"/>
      <c r="BP1" s="2015"/>
      <c r="BQ1" s="2015"/>
      <c r="BR1" s="2015"/>
      <c r="BS1" s="2015"/>
      <c r="BT1" s="2015"/>
    </row>
    <row r="2" spans="1:72" s="2153" customFormat="1" ht="24">
      <c r="A2" s="11" t="s">
        <v>1867</v>
      </c>
      <c r="B2" s="11" t="s">
        <v>1868</v>
      </c>
      <c r="C2" s="11" t="s">
        <v>1869</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4" t="s">
        <v>1870</v>
      </c>
      <c r="AZ2" s="1265" t="s">
        <v>1871</v>
      </c>
      <c r="BA2" s="11" t="s">
        <v>1872</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3.2">
      <c r="A3" s="13">
        <v>11268.85</v>
      </c>
      <c r="B3" s="14">
        <f>IF(C3="否",G5-AT5,G5)</f>
        <v>37817.270000000004</v>
      </c>
      <c r="C3" s="2154" t="s">
        <v>1873</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6"/>
      <c r="AZ3" s="1267"/>
      <c r="BA3" s="1268"/>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3.2">
      <c r="A5" s="15" t="s">
        <v>1874</v>
      </c>
      <c r="B5" s="1789"/>
      <c r="C5" s="1789"/>
      <c r="D5" s="1792"/>
      <c r="E5" s="16" t="s">
        <v>1</v>
      </c>
      <c r="F5" s="16">
        <f>SUM(F13:F587)</f>
        <v>0</v>
      </c>
      <c r="G5" s="16">
        <f>SUM(G13:G587)</f>
        <v>37817.270000000004</v>
      </c>
      <c r="H5" s="16">
        <f t="shared" ref="H5:AT5" si="0">SUM(H13:H656)</f>
        <v>37817.270000000004</v>
      </c>
      <c r="I5" s="16">
        <f t="shared" si="0"/>
        <v>15259.08</v>
      </c>
      <c r="J5" s="16">
        <f t="shared" si="0"/>
        <v>0</v>
      </c>
      <c r="K5" s="16">
        <f t="shared" si="0"/>
        <v>14603.89</v>
      </c>
      <c r="L5" s="16">
        <f t="shared" si="0"/>
        <v>0</v>
      </c>
      <c r="M5" s="16">
        <f t="shared" si="0"/>
        <v>7954.3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1874</v>
      </c>
      <c r="AW5" s="1789"/>
      <c r="AX5" s="1789"/>
      <c r="AY5" s="17" t="s">
        <v>3</v>
      </c>
      <c r="AZ5" s="18">
        <f t="shared" ref="AZ5:BT5" si="1">SUM(AZ13:AZ656)</f>
        <v>26881.280000000002</v>
      </c>
      <c r="BA5" s="18">
        <f t="shared" si="1"/>
        <v>26881.280000000002</v>
      </c>
      <c r="BB5" s="18">
        <f t="shared" si="1"/>
        <v>4323.09</v>
      </c>
      <c r="BC5" s="18">
        <f t="shared" si="1"/>
        <v>14603.89</v>
      </c>
      <c r="BD5" s="18">
        <f t="shared" si="1"/>
        <v>7954.3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3.2">
      <c r="A6" s="15" t="s">
        <v>1875</v>
      </c>
      <c r="B6" s="2160"/>
      <c r="C6" s="2160"/>
      <c r="D6" s="2161"/>
      <c r="E6" s="16">
        <f>H6+AC6+AT6</f>
        <v>11268.84</v>
      </c>
      <c r="F6" s="16" t="s">
        <v>1</v>
      </c>
      <c r="G6" s="16" t="s">
        <v>2</v>
      </c>
      <c r="H6" s="20">
        <f>SUMIF(I$12:AB$12,"总值",I6:AB6)</f>
        <v>11268.84</v>
      </c>
      <c r="I6" s="16">
        <f t="shared" ref="I6:AB6" si="2">ROUND($A$3*I5/$B$3,2)</f>
        <v>4546.92</v>
      </c>
      <c r="J6" s="16">
        <f t="shared" si="2"/>
        <v>0</v>
      </c>
      <c r="K6" s="16">
        <f t="shared" si="2"/>
        <v>4351.6899999999996</v>
      </c>
      <c r="L6" s="16">
        <f t="shared" si="2"/>
        <v>0</v>
      </c>
      <c r="M6" s="16">
        <f t="shared" si="2"/>
        <v>2370.23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1875</v>
      </c>
      <c r="AW6" s="2160"/>
      <c r="AX6" s="2160"/>
      <c r="AY6" s="21">
        <f>IF(AY3&gt;0,AY3,ROUND($A$3*AZ5/$B$3,2))</f>
        <v>8010.13</v>
      </c>
      <c r="AZ6" s="16" t="s">
        <v>3</v>
      </c>
      <c r="BA6" s="16">
        <f>ROUND($AY$6*BA5/$AZ$5,2)</f>
        <v>8010.13</v>
      </c>
      <c r="BB6" s="16">
        <f>ROUND($AY$6*BB5/$AZ$5,2)</f>
        <v>1288.2</v>
      </c>
      <c r="BC6" s="16">
        <f t="shared" ref="BC6:BH6" si="4">ROUND($AY$6*BC5/$AZ$5,2)</f>
        <v>4351.6899999999996</v>
      </c>
      <c r="BD6" s="16">
        <f t="shared" si="4"/>
        <v>2370.2399999999998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5.2">
      <c r="A7" s="2095" t="s">
        <v>1876</v>
      </c>
      <c r="B7" s="2095" t="s">
        <v>1877</v>
      </c>
      <c r="C7" s="2095" t="s">
        <v>1878</v>
      </c>
      <c r="D7" s="2095" t="s">
        <v>1879</v>
      </c>
      <c r="E7" s="2095" t="s">
        <v>1880</v>
      </c>
      <c r="F7" s="2095" t="s">
        <v>1881</v>
      </c>
      <c r="G7" s="2164" t="s">
        <v>1882</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1883</v>
      </c>
      <c r="AV7" s="23" t="s">
        <v>1884</v>
      </c>
      <c r="AW7" s="2152" t="s">
        <v>1885</v>
      </c>
      <c r="AX7" s="23" t="s">
        <v>1878</v>
      </c>
      <c r="AY7" s="1789" t="s">
        <v>1886</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1887</v>
      </c>
      <c r="H8" s="2170" t="s">
        <v>1888</v>
      </c>
      <c r="I8" s="2171"/>
      <c r="J8" s="1804"/>
      <c r="K8" s="1804"/>
      <c r="L8" s="1804"/>
      <c r="M8" s="1804"/>
      <c r="N8" s="1804"/>
      <c r="O8" s="1804"/>
      <c r="P8" s="1804"/>
      <c r="Q8" s="1804"/>
      <c r="R8" s="1804"/>
      <c r="S8" s="1804"/>
      <c r="T8" s="1804"/>
      <c r="U8" s="1804"/>
      <c r="V8" s="2172"/>
      <c r="W8" s="1804"/>
      <c r="X8" s="1804"/>
      <c r="Y8" s="1804"/>
      <c r="Z8" s="1804"/>
      <c r="AA8" s="2172"/>
      <c r="AB8" s="2173"/>
      <c r="AC8" s="976" t="s">
        <v>1889</v>
      </c>
      <c r="AD8" s="2174"/>
      <c r="AE8" s="2166"/>
      <c r="AF8" s="1804"/>
      <c r="AG8" s="1804"/>
      <c r="AH8" s="1804"/>
      <c r="AI8" s="1804"/>
      <c r="AJ8" s="1804"/>
      <c r="AK8" s="1804"/>
      <c r="AL8" s="1804"/>
      <c r="AM8" s="1804"/>
      <c r="AN8" s="1804"/>
      <c r="AO8" s="1804"/>
      <c r="AP8" s="1804"/>
      <c r="AQ8" s="1804"/>
      <c r="AR8" s="1804"/>
      <c r="AS8" s="1804"/>
      <c r="AT8" s="1287" t="s">
        <v>1890</v>
      </c>
      <c r="AU8" s="2168" t="s">
        <v>1891</v>
      </c>
      <c r="AV8" s="1287"/>
      <c r="AW8" s="2151"/>
      <c r="AX8" s="1287"/>
      <c r="AY8" s="2152" t="s">
        <v>1892</v>
      </c>
      <c r="AZ8" s="1803" t="s">
        <v>1893</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3.2">
      <c r="A9" s="2168"/>
      <c r="B9" s="2168"/>
      <c r="C9" s="2168"/>
      <c r="D9" s="2168"/>
      <c r="E9" s="2168"/>
      <c r="F9" s="2168"/>
      <c r="G9" s="1287"/>
      <c r="H9" s="2176" t="s">
        <v>1894</v>
      </c>
      <c r="I9" s="2177" t="s">
        <v>3083</v>
      </c>
      <c r="J9" s="976"/>
      <c r="K9" s="2177" t="s">
        <v>3084</v>
      </c>
      <c r="L9" s="976"/>
      <c r="M9" s="2177" t="s">
        <v>3084</v>
      </c>
      <c r="N9" s="976"/>
      <c r="O9" s="2177"/>
      <c r="P9" s="976"/>
      <c r="Q9" s="2177"/>
      <c r="R9" s="976"/>
      <c r="S9" s="2177"/>
      <c r="T9" s="976"/>
      <c r="U9" s="2177"/>
      <c r="V9" s="976"/>
      <c r="W9" s="2177"/>
      <c r="X9" s="2178"/>
      <c r="Y9" s="2177"/>
      <c r="Z9" s="976"/>
      <c r="AA9" s="2177"/>
      <c r="AB9" s="976"/>
      <c r="AC9" s="2169"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79"/>
      <c r="AT9" s="2168"/>
      <c r="AU9" s="2168" t="s">
        <v>1897</v>
      </c>
      <c r="AV9" s="1287"/>
      <c r="AW9" s="2151"/>
      <c r="AX9" s="1287"/>
      <c r="AY9" s="28"/>
      <c r="AZ9" s="28" t="s">
        <v>1887</v>
      </c>
      <c r="BA9" s="2180" t="s">
        <v>1898</v>
      </c>
      <c r="BB9" s="2181"/>
      <c r="BC9" s="1333"/>
      <c r="BD9" s="1333"/>
      <c r="BE9" s="1333"/>
      <c r="BF9" s="1333"/>
      <c r="BG9" s="1333"/>
      <c r="BH9" s="1333"/>
      <c r="BI9" s="1333"/>
      <c r="BJ9" s="1333"/>
      <c r="BK9" s="2182"/>
      <c r="BL9" s="15" t="s">
        <v>1899</v>
      </c>
      <c r="BM9" s="1804"/>
      <c r="BN9" s="2171"/>
      <c r="BO9" s="1804"/>
      <c r="BP9" s="1804"/>
      <c r="BQ9" s="1804"/>
      <c r="BR9" s="1804"/>
      <c r="BS9" s="1804"/>
      <c r="BT9" s="26"/>
    </row>
    <row r="10" spans="1:72" s="2175" customFormat="1" ht="13.2">
      <c r="A10" s="2168"/>
      <c r="B10" s="2168"/>
      <c r="C10" s="2168"/>
      <c r="D10" s="2168"/>
      <c r="E10" s="2168"/>
      <c r="F10" s="2168"/>
      <c r="G10" s="1287"/>
      <c r="H10" s="28"/>
      <c r="I10" s="2177" t="s">
        <v>1372</v>
      </c>
      <c r="J10" s="976"/>
      <c r="K10" s="2183" t="s">
        <v>1372</v>
      </c>
      <c r="L10" s="976"/>
      <c r="M10" s="2978" t="s">
        <v>4212</v>
      </c>
      <c r="N10" s="976"/>
      <c r="O10" s="2183"/>
      <c r="P10" s="976"/>
      <c r="Q10" s="2183"/>
      <c r="R10" s="976"/>
      <c r="S10" s="2183"/>
      <c r="T10" s="976"/>
      <c r="U10" s="2183"/>
      <c r="V10" s="976"/>
      <c r="W10" s="2183"/>
      <c r="X10" s="976"/>
      <c r="Y10" s="2183"/>
      <c r="Z10" s="976"/>
      <c r="AA10" s="2183"/>
      <c r="AB10" s="976"/>
      <c r="AC10" s="1287"/>
      <c r="AD10" s="15" t="s">
        <v>1900</v>
      </c>
      <c r="AE10" s="2184"/>
      <c r="AF10" s="15" t="s">
        <v>1900</v>
      </c>
      <c r="AG10" s="2184"/>
      <c r="AH10" s="15" t="s">
        <v>1901</v>
      </c>
      <c r="AI10" s="2184"/>
      <c r="AJ10" s="15" t="s">
        <v>1901</v>
      </c>
      <c r="AK10" s="2184"/>
      <c r="AL10" s="15" t="s">
        <v>1902</v>
      </c>
      <c r="AM10" s="1293"/>
      <c r="AN10" s="15" t="s">
        <v>1902</v>
      </c>
      <c r="AO10" s="1293"/>
      <c r="AP10" s="15" t="s">
        <v>1903</v>
      </c>
      <c r="AQ10" s="1293"/>
      <c r="AR10" s="15" t="s">
        <v>1903</v>
      </c>
      <c r="AS10" s="1293"/>
      <c r="AT10" s="2168"/>
      <c r="AU10" s="2168"/>
      <c r="AV10" s="1287"/>
      <c r="AW10" s="2151"/>
      <c r="AX10" s="1287"/>
      <c r="AY10" s="28"/>
      <c r="AZ10" s="28"/>
      <c r="BA10" s="2185" t="s">
        <v>1894</v>
      </c>
      <c r="BB10" s="2186"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3.2">
      <c r="A11" s="2168"/>
      <c r="B11" s="2168"/>
      <c r="C11" s="2168"/>
      <c r="D11" s="2168"/>
      <c r="E11" s="2168"/>
      <c r="F11" s="2168"/>
      <c r="G11" s="1287"/>
      <c r="H11" s="2185"/>
      <c r="I11" s="2188"/>
      <c r="J11" s="2189"/>
      <c r="K11" s="2188"/>
      <c r="L11" s="2189"/>
      <c r="M11" s="2188"/>
      <c r="N11" s="2189"/>
      <c r="O11" s="2188"/>
      <c r="P11" s="2189"/>
      <c r="Q11" s="2188"/>
      <c r="R11" s="2189"/>
      <c r="S11" s="2188"/>
      <c r="T11" s="2189"/>
      <c r="U11" s="2188"/>
      <c r="V11" s="2189"/>
      <c r="W11" s="2188"/>
      <c r="X11" s="2189"/>
      <c r="Y11" s="2188"/>
      <c r="Z11" s="2189"/>
      <c r="AA11" s="2188"/>
      <c r="AB11" s="2189"/>
      <c r="AC11" s="1287"/>
      <c r="AD11" s="2190" t="s">
        <v>1904</v>
      </c>
      <c r="AE11" s="1805"/>
      <c r="AF11" s="2190" t="s">
        <v>1904</v>
      </c>
      <c r="AG11" s="1805"/>
      <c r="AH11" s="2190" t="s">
        <v>1905</v>
      </c>
      <c r="AI11" s="2191"/>
      <c r="AJ11" s="2190" t="s">
        <v>1905</v>
      </c>
      <c r="AK11" s="1805"/>
      <c r="AL11" s="1803"/>
      <c r="AM11" s="1805"/>
      <c r="AN11" s="1803"/>
      <c r="AO11" s="1805"/>
      <c r="AP11" s="1803"/>
      <c r="AQ11" s="1805"/>
      <c r="AR11" s="1803"/>
      <c r="AS11" s="1805"/>
      <c r="AT11" s="2151"/>
      <c r="AU11" s="2168"/>
      <c r="AV11" s="1287"/>
      <c r="AW11" s="2151"/>
      <c r="AX11" s="1287"/>
      <c r="AY11" s="28"/>
      <c r="AZ11" s="28"/>
      <c r="BA11" s="28"/>
      <c r="BB11" s="2173" t="str">
        <f>I10</f>
        <v>商业</v>
      </c>
      <c r="BC11" s="2173" t="str">
        <f>K10</f>
        <v>商业</v>
      </c>
      <c r="BD11" s="2173" t="str">
        <f>M10</f>
        <v>车库—商业</v>
      </c>
      <c r="BE11" s="2173">
        <f>O10</f>
        <v>0</v>
      </c>
      <c r="BF11" s="2173">
        <f>Q10</f>
        <v>0</v>
      </c>
      <c r="BG11" s="2173">
        <f>S10</f>
        <v>0</v>
      </c>
      <c r="BH11" s="2173">
        <f>U10</f>
        <v>0</v>
      </c>
      <c r="BI11" s="2173">
        <f>W10</f>
        <v>0</v>
      </c>
      <c r="BJ11" s="2173">
        <f>Y10</f>
        <v>0</v>
      </c>
      <c r="BK11" s="2173">
        <f>AA10</f>
        <v>0</v>
      </c>
      <c r="BL11" s="1287"/>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3.2">
      <c r="A12" s="2193"/>
      <c r="B12" s="2193"/>
      <c r="C12" s="2193"/>
      <c r="D12" s="2193"/>
      <c r="E12" s="2193"/>
      <c r="F12" s="2193"/>
      <c r="G12" s="30"/>
      <c r="H12" s="2194"/>
      <c r="I12" s="179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8" t="s">
        <v>1907</v>
      </c>
      <c r="W12" s="11" t="s">
        <v>1906</v>
      </c>
      <c r="X12" s="11" t="s">
        <v>1907</v>
      </c>
      <c r="Y12" s="11" t="s">
        <v>1906</v>
      </c>
      <c r="Z12" s="11" t="s">
        <v>1907</v>
      </c>
      <c r="AA12" s="11" t="s">
        <v>1906</v>
      </c>
      <c r="AB12" s="11" t="s">
        <v>1907</v>
      </c>
      <c r="AC12" s="2195"/>
      <c r="AD12" s="179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3" t="s">
        <v>1907</v>
      </c>
      <c r="AT12" s="2196"/>
      <c r="AU12" s="2193"/>
      <c r="AV12" s="31"/>
      <c r="AW12" s="2152"/>
      <c r="AX12" s="31"/>
      <c r="AY12" s="2197"/>
      <c r="AZ12" s="28"/>
      <c r="BA12" s="2185"/>
      <c r="BB12" s="24">
        <f>I11</f>
        <v>0</v>
      </c>
      <c r="BC12" s="2198">
        <f>K11</f>
        <v>0</v>
      </c>
      <c r="BD12" s="2198">
        <f>M11</f>
        <v>0</v>
      </c>
      <c r="BE12" s="2173">
        <f>O11</f>
        <v>0</v>
      </c>
      <c r="BF12" s="2173">
        <f>Q11</f>
        <v>0</v>
      </c>
      <c r="BG12" s="2173">
        <f>S11</f>
        <v>0</v>
      </c>
      <c r="BH12" s="2173">
        <f>U11</f>
        <v>0</v>
      </c>
      <c r="BI12" s="2173">
        <f>W11</f>
        <v>0</v>
      </c>
      <c r="BJ12" s="2173">
        <f>Y11</f>
        <v>0</v>
      </c>
      <c r="BK12" s="2173">
        <f>AA11</f>
        <v>0</v>
      </c>
      <c r="BL12" s="1287"/>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13.2">
      <c r="A13" s="1267"/>
      <c r="B13" s="1267"/>
      <c r="C13" s="1267" t="s">
        <v>3085</v>
      </c>
      <c r="D13" s="2199" t="s">
        <v>3082</v>
      </c>
      <c r="E13" s="16">
        <f>IF($C$3="是",ROUND($A$3*G13/$B$3,2),ROUND($A$3*(G13-AT13)/$B$3,2))</f>
        <v>1288.2</v>
      </c>
      <c r="F13" s="32"/>
      <c r="G13" s="33">
        <f>H13+AC13+AT13</f>
        <v>4323.09</v>
      </c>
      <c r="H13" s="20">
        <f>SUMIF(I$12:AB$12,"总值",I13:AB13)</f>
        <v>4323.09</v>
      </c>
      <c r="I13" s="2200">
        <v>4323.09</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t="str">
        <f t="shared" si="6"/>
        <v>地上1层</v>
      </c>
      <c r="AY13" s="1792">
        <f>ROUND($AY$6*AZ13/$AZ$5,2)</f>
        <v>1288.2</v>
      </c>
      <c r="AZ13" s="16">
        <f>BA13+BL13</f>
        <v>4323.09</v>
      </c>
      <c r="BA13" s="16">
        <f>SUM(BB13:BK13)</f>
        <v>4323.09</v>
      </c>
      <c r="BB13" s="16">
        <f>IF($D13="是",I13-J13,0)</f>
        <v>4323.09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3.2">
      <c r="A14" s="1267"/>
      <c r="B14" s="1267"/>
      <c r="C14" s="2964" t="s">
        <v>3156</v>
      </c>
      <c r="D14" s="2199" t="s">
        <v>3082</v>
      </c>
      <c r="E14" s="16">
        <f>IF($C$3="是",ROUND($A$3*G14/$B$3,2),ROUND($A$3*(G14-AT14)/$B$3,2))</f>
        <v>2185.7800000000002</v>
      </c>
      <c r="F14" s="32"/>
      <c r="G14" s="33">
        <f>H14+AC14+AT14</f>
        <v>7335.29</v>
      </c>
      <c r="H14" s="20">
        <f>SUMIF(I$12:AB$12,"总值",I14:AB14)</f>
        <v>7335.29</v>
      </c>
      <c r="I14" s="2200"/>
      <c r="J14" s="2200"/>
      <c r="K14" s="2200">
        <v>7335.29</v>
      </c>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t="str">
        <f t="shared" si="6"/>
        <v>地下1层</v>
      </c>
      <c r="AY14" s="1792">
        <f>ROUND($AY$6*AZ14/$AZ$5,2)</f>
        <v>2185.7800000000002</v>
      </c>
      <c r="AZ14" s="16">
        <f>BA14+BL14</f>
        <v>7335.29</v>
      </c>
      <c r="BA14" s="16">
        <f>SUM(BB14:BK14)</f>
        <v>7335.29</v>
      </c>
      <c r="BB14" s="16">
        <f>IF($D14="是",I14-J14,0)</f>
        <v>0</v>
      </c>
      <c r="BC14" s="16">
        <f>IF($D14="是",K14-L14,0)</f>
        <v>7335.29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3.2">
      <c r="A15" s="1267"/>
      <c r="B15" s="1267"/>
      <c r="C15" s="2964" t="s">
        <v>3158</v>
      </c>
      <c r="D15" s="2199" t="s">
        <v>3082</v>
      </c>
      <c r="E15" s="16">
        <f>IF($C$3="是",ROUND($A$3*G15/$B$3,2),ROUND($A$3*(G15-AT15)/$B$3,2))</f>
        <v>2165.91</v>
      </c>
      <c r="F15" s="32"/>
      <c r="G15" s="33">
        <f>H15+AC15+AT15</f>
        <v>7268.6</v>
      </c>
      <c r="H15" s="20">
        <f>SUMIF(I$12:AB$12,"总值",I15:AB15)</f>
        <v>7268.6</v>
      </c>
      <c r="I15" s="2200"/>
      <c r="J15" s="2200"/>
      <c r="K15" s="2200">
        <v>7268.6</v>
      </c>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t="str">
        <f t="shared" si="6"/>
        <v>地下2层</v>
      </c>
      <c r="AY15" s="1792">
        <f>ROUND($AY$6*AZ15/$AZ$5,2)</f>
        <v>2165.91</v>
      </c>
      <c r="AZ15" s="16">
        <f>BA15+BL15</f>
        <v>7268.6</v>
      </c>
      <c r="BA15" s="16">
        <f>SUM(BB15:BK15)</f>
        <v>7268.6</v>
      </c>
      <c r="BB15" s="16">
        <f>IF($D15="是",I15-J15,0)</f>
        <v>0</v>
      </c>
      <c r="BC15" s="16">
        <f>IF($D15="是",K15-L15,0)</f>
        <v>7268.6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3.2">
      <c r="A16" s="1267"/>
      <c r="B16" s="1267"/>
      <c r="C16" s="2964" t="s">
        <v>3160</v>
      </c>
      <c r="D16" s="2199" t="s">
        <v>3082</v>
      </c>
      <c r="E16" s="16">
        <f>IF($C$3="是",ROUND($A$3*G16/$B$3,2),ROUND($A$3*(G16-AT16)/$B$3,2))</f>
        <v>2370.23</v>
      </c>
      <c r="F16" s="32"/>
      <c r="G16" s="33">
        <f>H16+AC16+AT16</f>
        <v>7954.3</v>
      </c>
      <c r="H16" s="20">
        <f>SUMIF(I$12:AB$12,"总值",I16:AB16)</f>
        <v>7954.3</v>
      </c>
      <c r="I16" s="2200"/>
      <c r="J16" s="2200"/>
      <c r="K16" s="2200"/>
      <c r="L16" s="2200"/>
      <c r="M16" s="2200">
        <v>7954.3</v>
      </c>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t="str">
        <f t="shared" si="6"/>
        <v>地下3层</v>
      </c>
      <c r="AY16" s="1792">
        <f>ROUND($AY$6*AZ16/$AZ$5,2)</f>
        <v>2370.2399999999998</v>
      </c>
      <c r="AZ16" s="16">
        <f>BA16+BL16</f>
        <v>7954.3</v>
      </c>
      <c r="BA16" s="16">
        <f>SUM(BB16:BK16)</f>
        <v>7954.3</v>
      </c>
      <c r="BB16" s="16">
        <f>IF($D16="是",I16-J16,0)</f>
        <v>0</v>
      </c>
      <c r="BC16" s="16">
        <f>IF($D16="是",K16-L16,0)</f>
        <v>0</v>
      </c>
      <c r="BD16" s="16">
        <f>IF($D16="是",M16-N16,0)</f>
        <v>7954.3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3.2">
      <c r="A17" s="1267"/>
      <c r="B17" s="1267"/>
      <c r="C17" s="2964" t="s">
        <v>3151</v>
      </c>
      <c r="D17" s="2199" t="s">
        <v>3152</v>
      </c>
      <c r="E17" s="16">
        <f>IF($C$3="是",ROUND($A$3*G17/$B$3,2),ROUND($A$3*(G17-AT17)/$B$3,2))</f>
        <v>3258.72</v>
      </c>
      <c r="F17" s="32"/>
      <c r="G17" s="33">
        <f>H17+AC17+AT17</f>
        <v>10935.99</v>
      </c>
      <c r="H17" s="20">
        <f>SUMIF(I$12:AB$12,"总值",I17:AB17)</f>
        <v>10935.99</v>
      </c>
      <c r="I17" s="2200">
        <f>7261.08+3674.91</f>
        <v>10935.99</v>
      </c>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t="str">
        <f t="shared" si="6"/>
        <v>其余</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1">
        <f t="shared" ref="AV18:AV112" si="11">A18</f>
        <v>0</v>
      </c>
      <c r="AW18" s="1781">
        <f t="shared" ref="AW18:AW112" si="12">B18</f>
        <v>0</v>
      </c>
      <c r="AX18" s="178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1">
        <f t="shared" si="11"/>
        <v>0</v>
      </c>
      <c r="AW19" s="1781">
        <f t="shared" si="12"/>
        <v>0</v>
      </c>
      <c r="AX19" s="178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1">
        <f t="shared" si="11"/>
        <v>0</v>
      </c>
      <c r="AW20" s="1781">
        <f t="shared" si="12"/>
        <v>0</v>
      </c>
      <c r="AX20" s="178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1">
        <f t="shared" si="11"/>
        <v>0</v>
      </c>
      <c r="AW21" s="1781">
        <f t="shared" si="12"/>
        <v>0</v>
      </c>
      <c r="AX21" s="178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1">
        <f t="shared" si="11"/>
        <v>0</v>
      </c>
      <c r="AW22" s="1781">
        <f t="shared" si="12"/>
        <v>0</v>
      </c>
      <c r="AX22" s="178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46.8">
      <c r="A3" s="3061"/>
      <c r="B3" s="3061"/>
      <c r="C3" s="3061"/>
      <c r="D3" s="3062"/>
      <c r="E3" s="30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1875" defaultRowHeight="13.8"/>
  <cols>
    <col min="1" max="1" width="12.109375" style="2212" customWidth="1"/>
    <col min="2" max="2" width="10.21875" style="2212" customWidth="1"/>
    <col min="3" max="3" width="18.44140625" style="2212" customWidth="1"/>
    <col min="4" max="4" width="11.6640625" style="2212" customWidth="1"/>
    <col min="5" max="5" width="13.33203125" style="2212" customWidth="1"/>
    <col min="6" max="8" width="11.44140625" style="2212" customWidth="1"/>
    <col min="9" max="9" width="11.109375" style="2212" customWidth="1"/>
    <col min="10" max="10" width="3.109375" style="2212" customWidth="1"/>
    <col min="11" max="16" width="10" style="2212" customWidth="1"/>
    <col min="17" max="17" width="2.6640625" style="2212" customWidth="1"/>
    <col min="18" max="18" width="9.33203125" style="2212" bestFit="1" customWidth="1"/>
    <col min="19" max="19" width="10.44140625" style="2212" bestFit="1" customWidth="1"/>
    <col min="20" max="16384" width="9.21875" style="2212"/>
  </cols>
  <sheetData>
    <row r="1" spans="1:16" ht="17.399999999999999">
      <c r="A1" s="2211" t="s">
        <v>1933</v>
      </c>
      <c r="B1" s="1387"/>
      <c r="C1" s="1387"/>
      <c r="D1" s="1387"/>
      <c r="E1" s="1387"/>
      <c r="F1" s="1387"/>
      <c r="G1" s="1387"/>
      <c r="H1" s="1387"/>
      <c r="I1" s="1387"/>
      <c r="J1" s="1387"/>
      <c r="K1" s="1387"/>
      <c r="L1" s="1387"/>
      <c r="M1" s="1387"/>
      <c r="N1" s="1387"/>
      <c r="O1" s="1387"/>
      <c r="P1" s="1387"/>
    </row>
    <row r="2" spans="1:16" ht="14.4">
      <c r="A2" s="3072" t="s">
        <v>1934</v>
      </c>
      <c r="B2" s="3072"/>
      <c r="C2" s="3072"/>
      <c r="D2" s="962" t="s">
        <v>1910</v>
      </c>
      <c r="E2" s="2213" t="s">
        <v>1911</v>
      </c>
      <c r="F2" s="1387"/>
      <c r="G2" s="2214"/>
      <c r="H2" s="2215"/>
      <c r="I2" s="2216" t="s">
        <v>1935</v>
      </c>
      <c r="J2" s="1387"/>
      <c r="K2" s="1387"/>
      <c r="L2" s="1387"/>
      <c r="M2" s="1387"/>
      <c r="N2" s="1422"/>
      <c r="O2" s="1387"/>
      <c r="P2" s="1387"/>
    </row>
    <row r="3" spans="1:16" ht="15" thickBot="1">
      <c r="A3" s="3073" t="s">
        <v>1908</v>
      </c>
      <c r="B3" s="3073"/>
      <c r="C3" s="3073"/>
      <c r="D3" s="46">
        <f>'数据-基础表'!AY6</f>
        <v>8010.13</v>
      </c>
      <c r="E3" s="46">
        <f>'数据-基础表'!AZ5</f>
        <v>26881.280000000002</v>
      </c>
      <c r="F3" s="1387"/>
      <c r="G3" s="1394"/>
      <c r="H3" s="1242" t="s">
        <v>1909</v>
      </c>
      <c r="I3" s="55">
        <f>ROUND('数据-基础表'!B3/'数据-基础表'!A3,2)</f>
        <v>3.36</v>
      </c>
      <c r="J3" s="1387"/>
      <c r="K3" s="1387"/>
      <c r="L3" s="1387"/>
      <c r="M3" s="1387"/>
      <c r="N3" s="1422"/>
      <c r="O3" s="1387"/>
      <c r="P3" s="1387"/>
    </row>
    <row r="4" spans="1:16" ht="14.4">
      <c r="A4" s="3074"/>
      <c r="B4" s="3075"/>
      <c r="C4" s="3076"/>
      <c r="D4" s="2217" t="s">
        <v>1910</v>
      </c>
      <c r="E4" s="2218" t="s">
        <v>1911</v>
      </c>
      <c r="F4" s="1387"/>
      <c r="G4" s="2219" t="s">
        <v>1936</v>
      </c>
      <c r="H4" s="1242" t="s">
        <v>1916</v>
      </c>
      <c r="I4" s="55">
        <f>ROUND(SUMIF('数据-基础表'!I9:AS9,"地上",'数据-基础表'!I5:AS5)/'数据-基础表'!A3,2)</f>
        <v>1.35</v>
      </c>
      <c r="J4" s="1387"/>
      <c r="K4" s="1387"/>
      <c r="L4" s="1387"/>
      <c r="M4" s="1387"/>
      <c r="N4" s="1422"/>
      <c r="O4" s="1387"/>
      <c r="P4" s="1387"/>
    </row>
    <row r="5" spans="1:16" ht="14.4">
      <c r="A5" s="47" t="s">
        <v>1912</v>
      </c>
      <c r="B5" s="3077" t="s">
        <v>1913</v>
      </c>
      <c r="C5" s="3077"/>
      <c r="D5" s="48">
        <f>ROUND($D$3*E5/$E$3,2)</f>
        <v>0</v>
      </c>
      <c r="E5" s="49">
        <f>SUMIF('数据-基础表'!$11:$11,"住宅",'数据-基础表'!$5:$5)</f>
        <v>0</v>
      </c>
      <c r="F5" s="1387"/>
      <c r="G5" s="1394"/>
      <c r="H5" s="1242" t="s">
        <v>1909</v>
      </c>
      <c r="I5" s="55">
        <f>ROUND(E31/D31,2)</f>
        <v>3.36</v>
      </c>
      <c r="J5" s="1387"/>
      <c r="K5" s="1387"/>
      <c r="L5" s="1387"/>
      <c r="M5" s="1387"/>
      <c r="N5" s="1387"/>
      <c r="O5" s="1387"/>
      <c r="P5" s="1387"/>
    </row>
    <row r="6" spans="1:16" ht="15" thickBot="1">
      <c r="A6" s="2220"/>
      <c r="B6" s="3077" t="s">
        <v>1914</v>
      </c>
      <c r="C6" s="3077"/>
      <c r="D6" s="48">
        <f>ROUND($D$3*E6/$E$3,2)</f>
        <v>8010.13</v>
      </c>
      <c r="E6" s="49">
        <f>E3-E5</f>
        <v>26881.280000000002</v>
      </c>
      <c r="F6" s="1387"/>
      <c r="G6" s="2221" t="s">
        <v>1915</v>
      </c>
      <c r="H6" s="1394" t="s">
        <v>1916</v>
      </c>
      <c r="I6" s="934">
        <f>ROUND(F31/D31,2)</f>
        <v>0.54</v>
      </c>
      <c r="J6" s="1387"/>
      <c r="K6" s="1387"/>
      <c r="L6" s="1387"/>
      <c r="M6" s="1387"/>
      <c r="N6" s="1387"/>
      <c r="O6" s="1387"/>
      <c r="P6" s="1387"/>
    </row>
    <row r="7" spans="1:16" ht="14.4">
      <c r="A7" s="3069"/>
      <c r="B7" s="3070"/>
      <c r="C7" s="3071"/>
      <c r="D7" s="2217" t="s">
        <v>1910</v>
      </c>
      <c r="E7" s="2222" t="s">
        <v>1917</v>
      </c>
      <c r="F7" s="1387"/>
      <c r="G7" s="2214" t="s">
        <v>1918</v>
      </c>
      <c r="H7" s="64"/>
      <c r="I7" s="420">
        <f>ROUND(89052/'数据-基础表'!A3,0)</f>
        <v>8</v>
      </c>
      <c r="J7" s="1387"/>
      <c r="K7" s="1387"/>
      <c r="L7" s="1387"/>
      <c r="M7" s="1387"/>
      <c r="N7" s="1387"/>
      <c r="O7" s="1387"/>
      <c r="P7" s="1387"/>
    </row>
    <row r="8" spans="1:16" ht="14.4">
      <c r="A8" s="47" t="s">
        <v>1919</v>
      </c>
      <c r="B8" s="50" t="s">
        <v>1920</v>
      </c>
      <c r="C8" s="48" t="s">
        <v>1921</v>
      </c>
      <c r="D8" s="48">
        <f t="shared" ref="D8:D15" si="0">ROUND($D$3*E8/$E$3,2)</f>
        <v>1288.2</v>
      </c>
      <c r="E8" s="51">
        <f>SUMIF('数据-基础表'!BB10:BK10,"地上",'数据-基础表'!BB5:BK5)</f>
        <v>4323.09</v>
      </c>
      <c r="F8" s="1387"/>
      <c r="G8" s="2223"/>
      <c r="H8" s="2223"/>
      <c r="I8" s="1387"/>
      <c r="J8" s="1387"/>
      <c r="K8" s="1387"/>
      <c r="L8" s="1387"/>
      <c r="M8" s="1387"/>
      <c r="N8" s="1387"/>
      <c r="O8" s="1387"/>
      <c r="P8" s="1387"/>
    </row>
    <row r="9" spans="1:16" ht="14.4">
      <c r="A9" s="2224"/>
      <c r="B9" s="2225"/>
      <c r="C9" s="48" t="s">
        <v>1922</v>
      </c>
      <c r="D9" s="48">
        <f t="shared" si="0"/>
        <v>0</v>
      </c>
      <c r="E9" s="52">
        <v>0</v>
      </c>
      <c r="F9" s="1387"/>
      <c r="G9" s="2223"/>
      <c r="H9" s="2223"/>
      <c r="I9" s="1387"/>
      <c r="J9" s="1387"/>
      <c r="K9" s="1387"/>
      <c r="L9" s="1387"/>
      <c r="M9" s="1387"/>
      <c r="N9" s="1387"/>
      <c r="O9" s="1387"/>
      <c r="P9" s="1387"/>
    </row>
    <row r="10" spans="1:16" ht="14.4">
      <c r="A10" s="2224"/>
      <c r="B10" s="2225"/>
      <c r="C10" s="48" t="s">
        <v>1931</v>
      </c>
      <c r="D10" s="48">
        <f t="shared" si="0"/>
        <v>4351.6899999999996</v>
      </c>
      <c r="E10" s="51">
        <f>SUMPRODUCT(('数据-基础表'!BB10:BK10="地下")*('数据-基础表'!BB11:BK11="商业")*('数据-基础表'!BB5:BK5))</f>
        <v>14603.89</v>
      </c>
      <c r="F10" s="1387"/>
      <c r="G10" s="2223"/>
      <c r="H10" s="2223"/>
      <c r="I10" s="1387"/>
      <c r="J10" s="1387"/>
      <c r="K10" s="1387"/>
      <c r="L10" s="1387"/>
      <c r="M10" s="1387"/>
      <c r="N10" s="1387"/>
      <c r="O10" s="1387"/>
      <c r="P10" s="1387"/>
    </row>
    <row r="11" spans="1:16" ht="14.4">
      <c r="A11" s="2224"/>
      <c r="B11" s="2225"/>
      <c r="C11" s="48" t="s">
        <v>1923</v>
      </c>
      <c r="D11" s="48">
        <f t="shared" si="0"/>
        <v>0</v>
      </c>
      <c r="E11" s="51">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ht="14.4">
      <c r="A12" s="2224"/>
      <c r="B12" s="2225"/>
      <c r="C12" s="48" t="s">
        <v>1924</v>
      </c>
      <c r="D12" s="48">
        <f t="shared" si="0"/>
        <v>0</v>
      </c>
      <c r="E12" s="51">
        <f>SUMPRODUCT(('数据-基础表'!BB10:BK10="地下")*('数据-基础表'!BB11:BK11="仓储")*('数据-基础表'!BB5:BK5))</f>
        <v>0</v>
      </c>
      <c r="F12" s="1387"/>
      <c r="G12" s="2223"/>
      <c r="H12" s="2223"/>
      <c r="I12" s="1387"/>
      <c r="J12" s="1387"/>
      <c r="K12" s="1387"/>
      <c r="L12" s="1387"/>
      <c r="M12" s="1387"/>
      <c r="N12" s="1387"/>
      <c r="O12" s="1387"/>
      <c r="P12" s="1387"/>
    </row>
    <row r="13" spans="1:16" ht="14.4">
      <c r="A13" s="2224"/>
      <c r="B13" s="2225"/>
      <c r="C13" s="48" t="s">
        <v>1925</v>
      </c>
      <c r="D13" s="48">
        <f t="shared" si="0"/>
        <v>0</v>
      </c>
      <c r="E13" s="51">
        <f>SUMPRODUCT(('数据-基础表'!BB10:BK10="地下")*('数据-基础表'!BB11:BK11="车库")*('数据-基础表'!BB5:BK5))</f>
        <v>0</v>
      </c>
      <c r="F13" s="1387"/>
      <c r="G13" s="2223"/>
      <c r="H13" s="2223"/>
      <c r="I13" s="1387"/>
      <c r="J13" s="1387"/>
      <c r="K13" s="1387"/>
      <c r="L13" s="1387"/>
      <c r="M13" s="1387"/>
      <c r="N13" s="1387"/>
      <c r="O13" s="1387"/>
      <c r="P13" s="1387"/>
    </row>
    <row r="14" spans="1:16" ht="14.4">
      <c r="A14" s="2224"/>
      <c r="B14" s="2225"/>
      <c r="C14" s="48" t="s">
        <v>1937</v>
      </c>
      <c r="D14" s="48">
        <f t="shared" si="0"/>
        <v>2370.2399999999998</v>
      </c>
      <c r="E14" s="51">
        <f>SUMPRODUCT(('数据-基础表'!BB10:BK10="地下")*('数据-基础表'!BB11:BK11="车库—商业")*('数据-基础表'!BB5:BK5))</f>
        <v>7954.3</v>
      </c>
      <c r="F14" s="1387"/>
      <c r="G14" s="2223"/>
      <c r="H14" s="2223"/>
      <c r="I14" s="1387"/>
      <c r="J14" s="1387"/>
      <c r="K14" s="1387"/>
      <c r="L14" s="1387"/>
      <c r="M14" s="1387"/>
      <c r="N14" s="1387"/>
      <c r="O14" s="1387"/>
      <c r="P14" s="1387"/>
    </row>
    <row r="15" spans="1:16" ht="15" thickBot="1">
      <c r="A15" s="2224"/>
      <c r="B15" s="2225"/>
      <c r="C15" s="48" t="s">
        <v>1932</v>
      </c>
      <c r="D15" s="48">
        <f t="shared" si="0"/>
        <v>0</v>
      </c>
      <c r="E15" s="51">
        <f>SUMPRODUCT(('数据-基础表'!BB10:BK10="地下")*('数据-基础表'!BB11:BK11="车库—办公")*('数据-基础表'!BB5:BK5))</f>
        <v>0</v>
      </c>
      <c r="F15" s="1387"/>
      <c r="G15" s="2223"/>
      <c r="H15" s="2223"/>
      <c r="I15" s="1387"/>
      <c r="J15" s="1387"/>
      <c r="K15" s="1387"/>
      <c r="L15" s="1387"/>
      <c r="M15" s="1387"/>
      <c r="N15" s="1387"/>
      <c r="O15" s="1387"/>
      <c r="P15" s="1387"/>
    </row>
    <row r="16" spans="1:16" ht="15" thickBot="1">
      <c r="A16" s="2220"/>
      <c r="B16" s="2225"/>
      <c r="C16" s="50" t="s">
        <v>1926</v>
      </c>
      <c r="D16" s="50">
        <f>SUM(D8:D15)</f>
        <v>8010.1299999999992</v>
      </c>
      <c r="E16" s="53">
        <f>SUM(E8:E15)</f>
        <v>26881.279999999999</v>
      </c>
      <c r="F16" s="1387"/>
      <c r="G16" s="2223"/>
      <c r="H16" s="2226" t="s">
        <v>1938</v>
      </c>
      <c r="I16" s="2227"/>
      <c r="J16" s="1387"/>
      <c r="K16" s="3066" t="s">
        <v>1938</v>
      </c>
      <c r="L16" s="3067"/>
      <c r="M16" s="3067"/>
      <c r="N16" s="3067"/>
      <c r="O16" s="3067"/>
      <c r="P16" s="3068"/>
    </row>
    <row r="17" spans="1:19" ht="14.4">
      <c r="A17" s="2228" t="s">
        <v>1939</v>
      </c>
      <c r="B17" s="2229" t="s">
        <v>1940</v>
      </c>
      <c r="C17" s="2230" t="s">
        <v>1941</v>
      </c>
      <c r="D17" s="2231" t="s">
        <v>1929</v>
      </c>
      <c r="E17" s="2232" t="s">
        <v>1930</v>
      </c>
      <c r="F17" s="2233"/>
      <c r="G17" s="2234"/>
      <c r="H17" s="2235" t="s">
        <v>1942</v>
      </c>
      <c r="I17" s="2236" t="s">
        <v>1927</v>
      </c>
      <c r="J17" s="1387"/>
      <c r="K17" s="3063" t="s">
        <v>1943</v>
      </c>
      <c r="L17" s="3064"/>
      <c r="M17" s="3065"/>
      <c r="N17" s="3063" t="s">
        <v>1944</v>
      </c>
      <c r="O17" s="3064"/>
      <c r="P17" s="3065"/>
      <c r="R17" s="2214" t="s">
        <v>1945</v>
      </c>
      <c r="S17" s="64"/>
    </row>
    <row r="18" spans="1:19" ht="14.4">
      <c r="A18" s="2224"/>
      <c r="B18" s="2237"/>
      <c r="C18" s="2238"/>
      <c r="D18" s="2239"/>
      <c r="E18" s="2240" t="s">
        <v>1946</v>
      </c>
      <c r="F18" s="2241" t="s">
        <v>1947</v>
      </c>
      <c r="G18" s="2242" t="s">
        <v>1948</v>
      </c>
      <c r="H18" s="1257" t="s">
        <v>1949</v>
      </c>
      <c r="I18" s="2243" t="s">
        <v>1950</v>
      </c>
      <c r="J18" s="1387"/>
      <c r="K18" s="1257" t="s">
        <v>1951</v>
      </c>
      <c r="L18" s="2244" t="s">
        <v>1952</v>
      </c>
      <c r="M18" s="1041" t="s">
        <v>1953</v>
      </c>
      <c r="N18" s="1257" t="s">
        <v>1951</v>
      </c>
      <c r="O18" s="2244" t="s">
        <v>1952</v>
      </c>
      <c r="P18" s="1041" t="s">
        <v>1953</v>
      </c>
      <c r="R18" s="1242" t="s">
        <v>1954</v>
      </c>
      <c r="S18" s="1242" t="s">
        <v>1955</v>
      </c>
    </row>
    <row r="19" spans="1:19" ht="14.4">
      <c r="A19" s="2245"/>
      <c r="B19" s="50" t="s">
        <v>1928</v>
      </c>
      <c r="C19" s="2246" t="str">
        <f>'数据-基础表'!C13</f>
        <v>地上1层</v>
      </c>
      <c r="D19" s="48">
        <f>ROUND($D$3*E19/$E$3,2)</f>
        <v>1288.2</v>
      </c>
      <c r="E19" s="56">
        <f t="shared" ref="E19:E26" si="1">SUM(F19:G19)</f>
        <v>4323.09</v>
      </c>
      <c r="F19" s="57">
        <f>'数据-基础表'!I13</f>
        <v>4323.09</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47"/>
      <c r="O19" s="2248"/>
      <c r="P19" s="1398">
        <f>N19+O19</f>
        <v>0</v>
      </c>
      <c r="R19" s="1242">
        <f t="shared" ref="R19:S26" si="5">D19+H19</f>
        <v>1288.2</v>
      </c>
      <c r="S19" s="1243">
        <f t="shared" si="5"/>
        <v>4323.09</v>
      </c>
    </row>
    <row r="20" spans="1:19" ht="14.4">
      <c r="A20" s="2249"/>
      <c r="B20" s="50" t="s">
        <v>1956</v>
      </c>
      <c r="C20" s="2246" t="str">
        <f>'数据-基础表'!C14</f>
        <v>地下1层</v>
      </c>
      <c r="D20" s="48">
        <f t="shared" ref="D20:D26" si="6">ROUND($D$3*E20/$E$3,2)</f>
        <v>2185.7800000000002</v>
      </c>
      <c r="E20" s="56">
        <f t="shared" si="1"/>
        <v>7335.29</v>
      </c>
      <c r="F20" s="57"/>
      <c r="G20" s="58">
        <f>'数据-基础表'!K14</f>
        <v>7335.29</v>
      </c>
      <c r="H20" s="723">
        <f t="shared" ref="H20:H26" si="7">ROUND($D$3*I20/$E$3,2)</f>
        <v>0</v>
      </c>
      <c r="I20" s="51">
        <f t="shared" si="2"/>
        <v>0</v>
      </c>
      <c r="J20" s="1387"/>
      <c r="K20" s="1386">
        <f t="shared" si="3"/>
        <v>0</v>
      </c>
      <c r="L20" s="1242">
        <f t="shared" si="4"/>
        <v>0</v>
      </c>
      <c r="M20" s="1398">
        <f t="shared" ref="M20:M26" si="8">K20+L20</f>
        <v>0</v>
      </c>
      <c r="N20" s="2247"/>
      <c r="O20" s="2248"/>
      <c r="P20" s="1398">
        <f t="shared" ref="P20:P26" si="9">N20+O20</f>
        <v>0</v>
      </c>
      <c r="R20" s="1242">
        <f t="shared" si="5"/>
        <v>2185.7800000000002</v>
      </c>
      <c r="S20" s="1243">
        <f t="shared" si="5"/>
        <v>7335.29</v>
      </c>
    </row>
    <row r="21" spans="1:19" ht="14.4">
      <c r="A21" s="2249"/>
      <c r="B21" s="50" t="s">
        <v>1956</v>
      </c>
      <c r="C21" s="2246" t="str">
        <f>'数据-基础表'!C15</f>
        <v>地下2层</v>
      </c>
      <c r="D21" s="48">
        <f t="shared" si="6"/>
        <v>2165.91</v>
      </c>
      <c r="E21" s="56">
        <f t="shared" si="1"/>
        <v>7268.6</v>
      </c>
      <c r="F21" s="57"/>
      <c r="G21" s="58">
        <f>'数据-基础表'!K15</f>
        <v>7268.6</v>
      </c>
      <c r="H21" s="723">
        <f t="shared" si="7"/>
        <v>0</v>
      </c>
      <c r="I21" s="51">
        <f t="shared" si="2"/>
        <v>0</v>
      </c>
      <c r="J21" s="1387"/>
      <c r="K21" s="1386">
        <f t="shared" si="3"/>
        <v>0</v>
      </c>
      <c r="L21" s="1242">
        <f t="shared" si="4"/>
        <v>0</v>
      </c>
      <c r="M21" s="1398">
        <f t="shared" si="8"/>
        <v>0</v>
      </c>
      <c r="N21" s="2247"/>
      <c r="O21" s="2248"/>
      <c r="P21" s="1398">
        <f t="shared" si="9"/>
        <v>0</v>
      </c>
      <c r="R21" s="1242">
        <f t="shared" si="5"/>
        <v>2165.91</v>
      </c>
      <c r="S21" s="1243">
        <f t="shared" si="5"/>
        <v>7268.6</v>
      </c>
    </row>
    <row r="22" spans="1:19" ht="14.4">
      <c r="A22" s="2249"/>
      <c r="B22" s="50" t="s">
        <v>1956</v>
      </c>
      <c r="C22" s="2246" t="str">
        <f>'数据-基础表'!C16</f>
        <v>地下3层</v>
      </c>
      <c r="D22" s="48">
        <f t="shared" si="6"/>
        <v>2370.2399999999998</v>
      </c>
      <c r="E22" s="56">
        <f t="shared" si="1"/>
        <v>7954.3</v>
      </c>
      <c r="F22" s="61"/>
      <c r="G22" s="62">
        <f>'数据-基础表'!M16</f>
        <v>7954.3</v>
      </c>
      <c r="H22" s="723">
        <f t="shared" si="7"/>
        <v>0</v>
      </c>
      <c r="I22" s="51">
        <f t="shared" si="2"/>
        <v>0</v>
      </c>
      <c r="J22" s="1387"/>
      <c r="K22" s="1386">
        <f t="shared" si="3"/>
        <v>0</v>
      </c>
      <c r="L22" s="1242">
        <f t="shared" si="4"/>
        <v>0</v>
      </c>
      <c r="M22" s="1398">
        <f t="shared" si="8"/>
        <v>0</v>
      </c>
      <c r="N22" s="2247">
        <f>62220+26832</f>
        <v>89052</v>
      </c>
      <c r="O22" s="2248"/>
      <c r="P22" s="1398">
        <f t="shared" si="9"/>
        <v>89052</v>
      </c>
      <c r="R22" s="1242">
        <f t="shared" si="5"/>
        <v>2370.2399999999998</v>
      </c>
      <c r="S22" s="1243">
        <f t="shared" si="5"/>
        <v>7954.3</v>
      </c>
    </row>
    <row r="23" spans="1:19" ht="14.4">
      <c r="A23" s="2249"/>
      <c r="B23" s="50" t="s">
        <v>1956</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47">
        <f>11268.85</f>
        <v>11268.85</v>
      </c>
      <c r="O23" s="2248"/>
      <c r="P23" s="1398">
        <f t="shared" si="9"/>
        <v>11268.85</v>
      </c>
      <c r="R23" s="1242">
        <f t="shared" si="5"/>
        <v>0</v>
      </c>
      <c r="S23" s="1243">
        <f t="shared" si="5"/>
        <v>0</v>
      </c>
    </row>
    <row r="24" spans="1:19" ht="14.4">
      <c r="A24" s="2249"/>
      <c r="B24" s="50" t="s">
        <v>1956</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47">
        <f>N22/N23</f>
        <v>7.9024922685100965</v>
      </c>
      <c r="O24" s="2248"/>
      <c r="P24" s="1398">
        <f t="shared" si="9"/>
        <v>7.9024922685100965</v>
      </c>
      <c r="R24" s="1242">
        <f t="shared" si="5"/>
        <v>0</v>
      </c>
      <c r="S24" s="1243">
        <f t="shared" si="5"/>
        <v>0</v>
      </c>
    </row>
    <row r="25" spans="1:19" ht="14.4">
      <c r="A25" s="2249"/>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7"/>
      <c r="O25" s="2248"/>
      <c r="P25" s="1398">
        <f t="shared" si="9"/>
        <v>0</v>
      </c>
      <c r="R25" s="1242">
        <f t="shared" si="5"/>
        <v>0</v>
      </c>
      <c r="S25" s="1243">
        <f t="shared" si="5"/>
        <v>0</v>
      </c>
    </row>
    <row r="26" spans="1:19" ht="14.4">
      <c r="A26" s="2249"/>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0"/>
      <c r="O26" s="2251"/>
      <c r="P26" s="67">
        <f t="shared" si="9"/>
        <v>0</v>
      </c>
      <c r="R26" s="1242">
        <f t="shared" si="5"/>
        <v>0</v>
      </c>
      <c r="S26" s="1243">
        <f t="shared" si="5"/>
        <v>0</v>
      </c>
    </row>
    <row r="27" spans="1:19" ht="15" thickBot="1">
      <c r="A27" s="2249"/>
      <c r="B27" s="48"/>
      <c r="C27" s="2252" t="s">
        <v>1957</v>
      </c>
      <c r="D27" s="1388">
        <f>SUM(D19:D26)</f>
        <v>8010.13</v>
      </c>
      <c r="E27" s="1389">
        <f>IF(SUM(E19:E26)='数据-基础表'!BA5,SUM(E19:E26),IF(F27="地上面积有误","面积有误","地下面积有误"))</f>
        <v>26881.280000000002</v>
      </c>
      <c r="F27" s="1388">
        <f>IF(SUM(F19:F26)=E8,SUM(F19:F26),"地上面积有误")</f>
        <v>4323.09</v>
      </c>
      <c r="G27" s="1390">
        <f>SUM(G19:G26)</f>
        <v>22558.19</v>
      </c>
      <c r="H27" s="1391">
        <f>SUM(H19:H26)</f>
        <v>0</v>
      </c>
      <c r="I27" s="1392">
        <f>SUM(I19:I26)</f>
        <v>0</v>
      </c>
      <c r="J27" s="1387"/>
      <c r="K27" s="1395">
        <f>SUM(K19:K26)</f>
        <v>0</v>
      </c>
      <c r="L27" s="1396">
        <f>SUM(L19:L26)</f>
        <v>0</v>
      </c>
      <c r="M27" s="1399">
        <f>SUM(M19:M26)</f>
        <v>0</v>
      </c>
      <c r="N27" s="1395">
        <f t="shared" ref="N27:O27" si="10">SUM(N19:N26)</f>
        <v>100328.75249226851</v>
      </c>
      <c r="O27" s="1396">
        <f t="shared" si="10"/>
        <v>0</v>
      </c>
      <c r="P27" s="1397">
        <f>SUM(P19:P26)</f>
        <v>100328.75249226851</v>
      </c>
      <c r="R27" s="1244">
        <f>IF(SUM(R19:R26)=$D$3,SUM(R19:R26),SUM(R19:R26)&amp;"误差"&amp;ROUND(SUM(R19:R26)-$D$3,2))</f>
        <v>8010.13</v>
      </c>
      <c r="S27" s="1242">
        <f>IF(SUM(S19:S26)=$E$3,SUM(S19:S26),SUM(S19:S26)&amp;"误差"&amp;ROUND(SUM(S19:S26)-E3,2))</f>
        <v>26881.280000000002</v>
      </c>
    </row>
    <row r="28" spans="1:19" ht="14.4">
      <c r="A28" s="2249"/>
      <c r="B28" s="50" t="s">
        <v>1958</v>
      </c>
      <c r="C28" s="1254"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49"/>
      <c r="B29" s="50" t="s">
        <v>1958</v>
      </c>
      <c r="C29" s="2253"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49"/>
      <c r="B30" s="50"/>
      <c r="C30" s="2254" t="s">
        <v>1957</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55"/>
      <c r="B31" s="2256"/>
      <c r="C31" s="1002" t="s">
        <v>1961</v>
      </c>
      <c r="D31" s="729">
        <f>D27+D30</f>
        <v>8010.13</v>
      </c>
      <c r="E31" s="729">
        <f>E27+E30</f>
        <v>26881.280000000002</v>
      </c>
      <c r="F31" s="730">
        <f>F27+F30</f>
        <v>4323.09</v>
      </c>
      <c r="G31" s="731">
        <f>G27+G30</f>
        <v>22558.19</v>
      </c>
      <c r="H31" s="1387"/>
      <c r="I31" s="1387"/>
      <c r="J31" s="1387"/>
      <c r="K31" s="1387"/>
      <c r="L31" s="1387"/>
      <c r="M31" s="1387"/>
      <c r="N31" s="1387"/>
      <c r="O31" s="1387"/>
      <c r="P31" s="1387"/>
    </row>
    <row r="32" spans="1:19" ht="14.4">
      <c r="A32" s="2219"/>
      <c r="B32" s="2219" t="s">
        <v>1962</v>
      </c>
      <c r="C32" s="2219"/>
      <c r="D32" s="2219"/>
      <c r="E32" s="1269">
        <f>SUMIF(C19:C26,"*住宅*",E19:E26)</f>
        <v>0</v>
      </c>
      <c r="F32" s="2219"/>
      <c r="G32" s="2219"/>
      <c r="H32" s="1387"/>
      <c r="I32" s="1387"/>
      <c r="J32" s="1387"/>
      <c r="K32" s="1387"/>
      <c r="L32" s="1387"/>
      <c r="M32" s="1387"/>
      <c r="N32" s="1387"/>
      <c r="O32" s="1387"/>
      <c r="P32" s="1387"/>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9" sqref="U9"/>
    </sheetView>
  </sheetViews>
  <sheetFormatPr defaultColWidth="13.77734375" defaultRowHeight="13.2"/>
  <cols>
    <col min="1" max="1" width="20.88671875" style="2331" customWidth="1"/>
    <col min="2" max="2" width="12" style="2261" customWidth="1"/>
    <col min="3" max="3" width="10.77734375" style="2261" customWidth="1"/>
    <col min="4" max="4" width="9.109375" style="2332" customWidth="1"/>
    <col min="5" max="5" width="15" style="2261" bestFit="1" customWidth="1"/>
    <col min="6" max="10" width="8.88671875" style="2261" customWidth="1"/>
    <col min="11" max="12" width="12.33203125" style="2175" customWidth="1"/>
    <col min="13" max="13" width="8.6640625" style="2261" customWidth="1"/>
    <col min="14" max="14" width="11.88671875" style="2261" customWidth="1"/>
    <col min="15" max="15" width="8.44140625" style="2261" customWidth="1"/>
    <col min="16" max="17" width="10.88671875" style="2261" customWidth="1"/>
    <col min="18" max="19" width="12.44140625" style="2261" customWidth="1"/>
    <col min="20" max="20" width="12.109375" style="2261" customWidth="1"/>
    <col min="21" max="21" width="7.44140625" style="2261" customWidth="1"/>
    <col min="22" max="22" width="6.33203125" style="2261" customWidth="1"/>
    <col min="23" max="30" width="6.77734375" style="2261" customWidth="1"/>
    <col min="31" max="31" width="8" style="2261" customWidth="1"/>
    <col min="32" max="34" width="7.21875" style="2261" customWidth="1"/>
    <col min="35" max="39" width="8" style="2261" customWidth="1"/>
    <col min="40" max="40" width="13.77734375" style="2260"/>
    <col min="41" max="41" width="11.6640625" style="2260" customWidth="1"/>
    <col min="42" max="42" width="9.77734375" style="2260" customWidth="1"/>
    <col min="43" max="67" width="13.77734375" style="2260"/>
    <col min="68" max="16384" width="13.77734375" style="2261"/>
  </cols>
  <sheetData>
    <row r="1" spans="1:67" ht="18" thickBot="1">
      <c r="A1" s="2258" t="s">
        <v>1963</v>
      </c>
      <c r="B1" s="732"/>
      <c r="C1" s="1575"/>
      <c r="D1" s="2259"/>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16" customFormat="1" ht="15" thickBot="1">
      <c r="A2" s="2262" t="s">
        <v>1964</v>
      </c>
      <c r="B2" s="1261">
        <f>项目基本情况!D3</f>
        <v>44020</v>
      </c>
      <c r="C2" s="2263"/>
      <c r="D2" s="2264"/>
      <c r="E2" s="2263"/>
      <c r="F2" s="2263"/>
      <c r="G2" s="2263"/>
      <c r="H2" s="2263"/>
      <c r="I2" s="2263"/>
      <c r="J2" s="2263"/>
      <c r="K2" s="1422"/>
      <c r="L2" s="1422"/>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16" customFormat="1" ht="14.4" thickBot="1">
      <c r="A3" s="2014"/>
      <c r="B3" s="2266"/>
      <c r="C3" s="2263"/>
      <c r="D3" s="2264"/>
      <c r="E3" s="2263"/>
      <c r="F3" s="2263"/>
      <c r="G3" s="2263"/>
      <c r="H3" s="2263"/>
      <c r="I3" s="2263"/>
      <c r="J3" s="2263"/>
      <c r="K3" s="1422"/>
      <c r="L3" s="1422"/>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16" customFormat="1" ht="15" thickBot="1">
      <c r="A4" s="68" t="s">
        <v>1965</v>
      </c>
      <c r="B4" s="2267"/>
      <c r="C4" s="2268"/>
      <c r="D4" s="2269"/>
      <c r="E4" s="2268" t="s">
        <v>1966</v>
      </c>
      <c r="F4" s="2268"/>
      <c r="G4" s="2268"/>
      <c r="H4" s="2268"/>
      <c r="I4" s="2268"/>
      <c r="J4" s="2270"/>
      <c r="K4" s="2271"/>
      <c r="L4" s="2272"/>
      <c r="M4" s="2268"/>
      <c r="N4" s="2268" t="s">
        <v>1967</v>
      </c>
      <c r="O4" s="2268"/>
      <c r="P4" s="2268"/>
      <c r="Q4" s="2268"/>
      <c r="R4" s="2268"/>
      <c r="S4" s="2270"/>
      <c r="T4" s="2273" t="str">
        <f>'数据-汇总表'!I17</f>
        <v>按面积比例</v>
      </c>
      <c r="U4" s="2267" t="s">
        <v>1968</v>
      </c>
      <c r="V4" s="2268"/>
      <c r="W4" s="2268"/>
      <c r="X4" s="2268"/>
      <c r="Y4" s="2270"/>
      <c r="Z4" s="2230" t="s">
        <v>1969</v>
      </c>
      <c r="AA4" s="2230"/>
      <c r="AB4" s="2230"/>
      <c r="AC4" s="2230"/>
      <c r="AD4" s="2230"/>
      <c r="AE4" s="2228" t="s">
        <v>1970</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17" customFormat="1" ht="57.6">
      <c r="A5" s="2275" t="s">
        <v>1971</v>
      </c>
      <c r="B5" s="2276" t="s">
        <v>1972</v>
      </c>
      <c r="C5" s="2277" t="s">
        <v>1973</v>
      </c>
      <c r="D5" s="2278" t="s">
        <v>1974</v>
      </c>
      <c r="E5" s="1263" t="s">
        <v>1975</v>
      </c>
      <c r="F5" s="2279" t="s">
        <v>1976</v>
      </c>
      <c r="G5" s="1263" t="s">
        <v>1977</v>
      </c>
      <c r="H5" s="1263" t="s">
        <v>1978</v>
      </c>
      <c r="I5" s="1263" t="s">
        <v>1979</v>
      </c>
      <c r="J5" s="2280" t="s">
        <v>1980</v>
      </c>
      <c r="K5" s="2281" t="s">
        <v>1981</v>
      </c>
      <c r="L5" s="2282" t="s">
        <v>1982</v>
      </c>
      <c r="M5" s="2283" t="s">
        <v>1983</v>
      </c>
      <c r="N5" s="2284" t="s">
        <v>3149</v>
      </c>
      <c r="O5" s="2282" t="s">
        <v>1984</v>
      </c>
      <c r="P5" s="2285" t="s">
        <v>1985</v>
      </c>
      <c r="Q5" s="69" t="s">
        <v>1986</v>
      </c>
      <c r="R5" s="2286" t="s">
        <v>1987</v>
      </c>
      <c r="S5" s="2287" t="s">
        <v>1988</v>
      </c>
      <c r="T5" s="2288" t="s">
        <v>1989</v>
      </c>
      <c r="U5" s="1262" t="s">
        <v>1990</v>
      </c>
      <c r="V5" s="1263" t="s">
        <v>1991</v>
      </c>
      <c r="W5" s="1263" t="s">
        <v>1992</v>
      </c>
      <c r="X5" s="71"/>
      <c r="Y5" s="70" t="s">
        <v>1993</v>
      </c>
      <c r="Z5" s="2289" t="s">
        <v>1990</v>
      </c>
      <c r="AA5" s="1263" t="s">
        <v>1991</v>
      </c>
      <c r="AB5" s="1263" t="s">
        <v>1992</v>
      </c>
      <c r="AC5" s="71"/>
      <c r="AD5" s="71" t="s">
        <v>1993</v>
      </c>
      <c r="AE5" s="1262" t="s">
        <v>1994</v>
      </c>
      <c r="AF5" s="1263" t="s">
        <v>1995</v>
      </c>
      <c r="AG5" s="70" t="s">
        <v>1996</v>
      </c>
      <c r="AH5" s="1262" t="s">
        <v>1997</v>
      </c>
      <c r="AI5" s="2289" t="s">
        <v>1998</v>
      </c>
      <c r="AJ5" s="2289" t="s">
        <v>1999</v>
      </c>
      <c r="AK5" s="1263" t="s">
        <v>2000</v>
      </c>
      <c r="AL5" s="1263" t="s">
        <v>2001</v>
      </c>
      <c r="AM5" s="70" t="s">
        <v>2002</v>
      </c>
      <c r="AN5" s="2290" t="s">
        <v>2003</v>
      </c>
      <c r="AO5" s="2060" t="s">
        <v>2004</v>
      </c>
      <c r="AP5" s="1244" t="s">
        <v>2005</v>
      </c>
      <c r="AQ5" s="2291" t="s">
        <v>2006</v>
      </c>
      <c r="AR5" s="2291" t="s">
        <v>2007</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6" customFormat="1" ht="13.8">
      <c r="A6" s="2292" t="str">
        <f>'数据-汇总表'!C19</f>
        <v>地上1层</v>
      </c>
      <c r="B6" s="2293" t="str">
        <f>IF(A6=0,"","经营性")</f>
        <v>经营性</v>
      </c>
      <c r="C6" s="2294" t="s">
        <v>1372</v>
      </c>
      <c r="D6" s="1046">
        <f>SUMIF(项目基本情况!D$12:I$12,C6,项目基本情况!D$14:I$14)</f>
        <v>40</v>
      </c>
      <c r="E6" s="1043">
        <f>IF(B6="","",SUMIF(项目基本情况!D$12:I$12,C6,项目基本情况!D$13:I$13))</f>
        <v>52299</v>
      </c>
      <c r="F6" s="72">
        <f>SUMIF(项目基本情况!D$12:I$12,C6,项目基本情况!D$15:I$15)</f>
        <v>22.68</v>
      </c>
      <c r="G6" s="73">
        <f>IF(ISERROR(ROUND(POWER(1+H6,D6-F6)*(POWER(1+H6,F6)-1)/(POWER(1+H6,D6)-1),3)),0,ROUND(POWER(1+H6,D6-F6)*(POWER(1+H6,F6)-1)/(POWER(1+H6,D6)-1),3))</f>
        <v>0.78</v>
      </c>
      <c r="H6" s="802">
        <v>0.05</v>
      </c>
      <c r="I6" s="802">
        <v>5.5E-2</v>
      </c>
      <c r="J6" s="74">
        <v>8.5000000000000006E-2</v>
      </c>
      <c r="K6" s="1246">
        <f>SUMIF('数据-汇总表'!C$19:C$33,A6,'数据-汇总表'!E$19:E$33)</f>
        <v>4323.09</v>
      </c>
      <c r="L6" s="2980">
        <f>N22</f>
        <v>5000</v>
      </c>
      <c r="M6" s="75">
        <f t="shared" ref="M6:M14" si="0">ROUND(K6*L6/10000,0)</f>
        <v>2162</v>
      </c>
      <c r="N6" s="801">
        <f>ROUND(1-(2020-2018)/60,2)</f>
        <v>0.97</v>
      </c>
      <c r="O6" s="75" t="str">
        <f>IF($N$5="成新度","——",ROUND(M6*N6,0))</f>
        <v>——</v>
      </c>
      <c r="P6" s="76" t="str">
        <f>IF($N$5="成新度","——",M6-O6)</f>
        <v>——</v>
      </c>
      <c r="Q6" s="804">
        <v>0.18</v>
      </c>
      <c r="R6" s="77">
        <f ca="1">SUMIF('数据-汇总表'!C$19:C$33,A6,'数据-汇总表'!R$19:R$27)</f>
        <v>1288.2</v>
      </c>
      <c r="S6" s="54">
        <f>IF('数据-汇总表'!$I$17="按面积比例",SUMIF('数据-汇总表'!C$19:C$33,A6,'数据-汇总表'!K$19:K$33),SUMIF('数据-汇总表'!C$19:C$33,A6,'数据-汇总表'!N$19:N$33))</f>
        <v>0</v>
      </c>
      <c r="T6" s="1438">
        <f>ROUND($L$14*S6/10000,0)</f>
        <v>0</v>
      </c>
      <c r="U6" s="78">
        <v>12</v>
      </c>
      <c r="V6" s="79">
        <v>0.03</v>
      </c>
      <c r="W6" s="79">
        <v>0.1</v>
      </c>
      <c r="X6" s="1256"/>
      <c r="Y6" s="80">
        <f>N6</f>
        <v>0.97</v>
      </c>
      <c r="Z6" s="81"/>
      <c r="AA6" s="74"/>
      <c r="AB6" s="74"/>
      <c r="AC6" s="1256"/>
      <c r="AD6" s="82"/>
      <c r="AE6" s="1257">
        <f ca="1">IF(AN6="",0,SUMIF(INDIRECT("'"&amp;AN6&amp;"'"&amp;"!E:E"),$AE$5,INDIRECT("'"&amp;AN6&amp;"'"&amp;"!F:F")))</f>
        <v>22.68</v>
      </c>
      <c r="AF6" s="1790"/>
      <c r="AG6" s="147">
        <f>IF(AF6="",0,AE6-AF6)</f>
        <v>0</v>
      </c>
      <c r="AH6" s="83"/>
      <c r="AI6" s="85">
        <v>365</v>
      </c>
      <c r="AJ6" s="86"/>
      <c r="AK6" s="87">
        <v>1.4999999999999999E-2</v>
      </c>
      <c r="AL6" s="88">
        <v>1.5E-3</v>
      </c>
      <c r="AM6" s="89">
        <v>0.01</v>
      </c>
      <c r="AN6" s="2295" t="s">
        <v>3148</v>
      </c>
      <c r="AO6" s="55">
        <f ca="1">SUMIF(INDIRECT("'"&amp;AN6&amp;"'"&amp;"!A:A"),"总价",INDIRECT("'"&amp;AN6&amp;"'"&amp;"!B:B"))</f>
        <v>22910</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16" customFormat="1" ht="13.8">
      <c r="A7" s="2292" t="str">
        <f>'数据-汇总表'!C20</f>
        <v>地下1层</v>
      </c>
      <c r="B7" s="2293" t="str">
        <f t="shared" ref="B7:B13" si="1">IF(A7=0,"","经营性")</f>
        <v>经营性</v>
      </c>
      <c r="C7" s="2294" t="s">
        <v>1372</v>
      </c>
      <c r="D7" s="1046">
        <f>SUMIF(项目基本情况!D$12:I$12,C7,项目基本情况!D$14:I$14)</f>
        <v>40</v>
      </c>
      <c r="E7" s="1043">
        <f>IF(B7="","",SUMIF(项目基本情况!D$12:I$12,C7,项目基本情况!D$13:I$13))</f>
        <v>52299</v>
      </c>
      <c r="F7" s="72">
        <f>SUMIF(项目基本情况!D$12:I$12,C7,项目基本情况!D$15:I$15)</f>
        <v>22.68</v>
      </c>
      <c r="G7" s="73">
        <f t="shared" ref="G7:G11" si="2">IF(ISERROR(ROUND(POWER(1+H7,D7-F7)*(POWER(1+H7,F7)-1)/(POWER(1+H7,D7)-1),3)),0,ROUND(POWER(1+H7,D7-F7)*(POWER(1+H7,F7)-1)/(POWER(1+H7,D7)-1),3))</f>
        <v>0.78</v>
      </c>
      <c r="H7" s="802">
        <v>0.05</v>
      </c>
      <c r="I7" s="802">
        <v>5.5E-2</v>
      </c>
      <c r="J7" s="74">
        <v>8.5000000000000006E-2</v>
      </c>
      <c r="K7" s="1246">
        <f>SUMIF('数据-汇总表'!C$19:C$33,A7,'数据-汇总表'!E$19:E$33)</f>
        <v>7335.29</v>
      </c>
      <c r="L7" s="2980">
        <f>L6</f>
        <v>5000</v>
      </c>
      <c r="M7" s="75">
        <f t="shared" si="0"/>
        <v>3668</v>
      </c>
      <c r="N7" s="801">
        <f t="shared" ref="N7:N9" si="3">ROUND(1-(2020-2018)/60,2)</f>
        <v>0.97</v>
      </c>
      <c r="O7" s="75" t="str">
        <f t="shared" ref="O7:O14" si="4">IF($N$5="成新度","——",ROUND(M7*N7,0))</f>
        <v>——</v>
      </c>
      <c r="P7" s="76" t="str">
        <f t="shared" ref="P7:P14" si="5">IF($N$5="成新度","——",M7-O7)</f>
        <v>——</v>
      </c>
      <c r="Q7" s="804">
        <v>0.15</v>
      </c>
      <c r="R7" s="77">
        <f ca="1">SUMIF('数据-汇总表'!C$19:C$33,A7,'数据-汇总表'!R$19:R$27)</f>
        <v>2185.7800000000002</v>
      </c>
      <c r="S7" s="54">
        <f>IF('数据-汇总表'!$I$17="按面积比例",SUMIF('数据-汇总表'!C$19:C$33,A7,'数据-汇总表'!K$19:K$33),SUMIF('数据-汇总表'!C$19:C$33,A7,'数据-汇总表'!N$19:N$33))</f>
        <v>0</v>
      </c>
      <c r="T7" s="1438">
        <f t="shared" ref="T7:T13" si="6">ROUND($L$14*S7/10000,0)</f>
        <v>0</v>
      </c>
      <c r="U7" s="2975">
        <v>8</v>
      </c>
      <c r="V7" s="79">
        <v>0.03</v>
      </c>
      <c r="W7" s="79">
        <v>0.1</v>
      </c>
      <c r="X7" s="1256"/>
      <c r="Y7" s="80">
        <f t="shared" ref="Y7:Y9" si="7">N7</f>
        <v>0.97</v>
      </c>
      <c r="Z7" s="81"/>
      <c r="AA7" s="74"/>
      <c r="AB7" s="74"/>
      <c r="AC7" s="1256"/>
      <c r="AD7" s="82"/>
      <c r="AE7" s="1257">
        <f t="shared" ref="AE7:AE13" ca="1" si="8">IF(AN7="",0,SUMIF(INDIRECT("'"&amp;AN7&amp;"'"&amp;"!E:E"),$AE$5,INDIRECT("'"&amp;AN7&amp;"'"&amp;"!F:F")))</f>
        <v>22.68</v>
      </c>
      <c r="AF7" s="1790"/>
      <c r="AG7" s="147">
        <f t="shared" ref="AG7:AG13" si="9">IF(AF7="",0,AE7-AF7)</f>
        <v>0</v>
      </c>
      <c r="AH7" s="83"/>
      <c r="AI7" s="85">
        <v>365</v>
      </c>
      <c r="AJ7" s="86"/>
      <c r="AK7" s="87">
        <v>1.4999999999999999E-2</v>
      </c>
      <c r="AL7" s="88">
        <v>1.5E-3</v>
      </c>
      <c r="AM7" s="89">
        <v>0.01</v>
      </c>
      <c r="AN7" s="2295" t="s">
        <v>3155</v>
      </c>
      <c r="AO7" s="55">
        <f t="shared" ref="AO7:AO13" ca="1" si="10">SUMIF(INDIRECT("'"&amp;AN7&amp;"'"&amp;"!A:A"),"总价",INDIRECT("'"&amp;AN7&amp;"'"&amp;"!B:B"))</f>
        <v>25588</v>
      </c>
      <c r="AP7" s="2296">
        <f t="shared" ref="AP7:AP13" si="11">IF(C7="住宅",K7*L7,0)</f>
        <v>0</v>
      </c>
      <c r="AQ7" s="55">
        <f t="shared" ref="AQ7:AQ13" si="12">ROUND($L$14*$N$14*S7/10000,0)</f>
        <v>0</v>
      </c>
      <c r="AR7" s="55">
        <f t="shared" ref="AR7:AR13" si="13">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16" customFormat="1" ht="13.8">
      <c r="A8" s="2292" t="str">
        <f>'数据-汇总表'!C21</f>
        <v>地下2层</v>
      </c>
      <c r="B8" s="2293" t="str">
        <f t="shared" si="1"/>
        <v>经营性</v>
      </c>
      <c r="C8" s="2294" t="s">
        <v>1372</v>
      </c>
      <c r="D8" s="1046">
        <f>SUMIF(项目基本情况!D$12:I$12,C8,项目基本情况!D$14:I$14)</f>
        <v>40</v>
      </c>
      <c r="E8" s="1043">
        <f>IF(B8="","",SUMIF(项目基本情况!D$12:I$12,C8,项目基本情况!D$13:I$13))</f>
        <v>52299</v>
      </c>
      <c r="F8" s="72">
        <f>SUMIF(项目基本情况!D$12:I$12,C8,项目基本情况!D$15:I$15)</f>
        <v>22.68</v>
      </c>
      <c r="G8" s="73">
        <f t="shared" si="2"/>
        <v>0.78</v>
      </c>
      <c r="H8" s="802">
        <v>0.05</v>
      </c>
      <c r="I8" s="802">
        <v>5.5E-2</v>
      </c>
      <c r="J8" s="74">
        <v>8.5000000000000006E-2</v>
      </c>
      <c r="K8" s="1246">
        <f>SUMIF('数据-汇总表'!C$19:C$33,A8,'数据-汇总表'!E$19:E$33)</f>
        <v>7268.6</v>
      </c>
      <c r="L8" s="2980">
        <f>L6</f>
        <v>5000</v>
      </c>
      <c r="M8" s="75">
        <f>ROUND(K8*L8/10000,0)</f>
        <v>3634</v>
      </c>
      <c r="N8" s="801">
        <f t="shared" si="3"/>
        <v>0.97</v>
      </c>
      <c r="O8" s="75" t="str">
        <f t="shared" si="4"/>
        <v>——</v>
      </c>
      <c r="P8" s="76" t="str">
        <f t="shared" si="5"/>
        <v>——</v>
      </c>
      <c r="Q8" s="804">
        <v>0.15</v>
      </c>
      <c r="R8" s="77">
        <f ca="1">SUMIF('数据-汇总表'!C$19:C$33,A8,'数据-汇总表'!R$19:R$27)</f>
        <v>2165.91</v>
      </c>
      <c r="S8" s="54">
        <f>IF('数据-汇总表'!$I$17="按面积比例",SUMIF('数据-汇总表'!C$19:C$33,A8,'数据-汇总表'!K$19:K$33),SUMIF('数据-汇总表'!C$19:C$33,A8,'数据-汇总表'!N$19:N$33))</f>
        <v>0</v>
      </c>
      <c r="T8" s="1438">
        <f t="shared" si="6"/>
        <v>0</v>
      </c>
      <c r="U8" s="2976">
        <v>4</v>
      </c>
      <c r="V8" s="805">
        <v>0.03</v>
      </c>
      <c r="W8" s="805">
        <v>0.1</v>
      </c>
      <c r="X8" s="1256"/>
      <c r="Y8" s="80">
        <f t="shared" si="7"/>
        <v>0.97</v>
      </c>
      <c r="Z8" s="81"/>
      <c r="AA8" s="74"/>
      <c r="AB8" s="74"/>
      <c r="AC8" s="1256"/>
      <c r="AD8" s="82"/>
      <c r="AE8" s="1257">
        <f t="shared" ca="1" si="8"/>
        <v>22.68</v>
      </c>
      <c r="AF8" s="1790"/>
      <c r="AG8" s="147">
        <f t="shared" si="9"/>
        <v>0</v>
      </c>
      <c r="AH8" s="806"/>
      <c r="AI8" s="85">
        <v>365</v>
      </c>
      <c r="AJ8" s="86"/>
      <c r="AK8" s="87">
        <v>1.4999999999999999E-2</v>
      </c>
      <c r="AL8" s="88">
        <v>1.5E-3</v>
      </c>
      <c r="AM8" s="89">
        <v>0.01</v>
      </c>
      <c r="AN8" s="2295" t="s">
        <v>3157</v>
      </c>
      <c r="AO8" s="55">
        <f t="shared" ca="1" si="10"/>
        <v>12159</v>
      </c>
      <c r="AP8" s="2296">
        <f t="shared" si="11"/>
        <v>0</v>
      </c>
      <c r="AQ8" s="55">
        <f t="shared" si="12"/>
        <v>0</v>
      </c>
      <c r="AR8" s="55">
        <f t="shared" si="13"/>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16" customFormat="1" ht="13.8">
      <c r="A9" s="2292" t="str">
        <f>'数据-汇总表'!C22</f>
        <v>地下3层</v>
      </c>
      <c r="B9" s="2293" t="str">
        <f t="shared" si="1"/>
        <v>经营性</v>
      </c>
      <c r="C9" s="2294" t="s">
        <v>3086</v>
      </c>
      <c r="D9" s="1046">
        <f>SUMIF(项目基本情况!D$12:I$12,C9,项目基本情况!D$14:I$14)</f>
        <v>40</v>
      </c>
      <c r="E9" s="1043">
        <f>IF(B9="","",SUMIF(项目基本情况!D$12:I$12,C9,项目基本情况!D$13:I$13))</f>
        <v>52299</v>
      </c>
      <c r="F9" s="72">
        <f>SUMIF(项目基本情况!D$12:I$12,C9,项目基本情况!D$15:I$15)</f>
        <v>22.68</v>
      </c>
      <c r="G9" s="73">
        <f t="shared" si="2"/>
        <v>0.74399999999999999</v>
      </c>
      <c r="H9" s="74">
        <v>0.04</v>
      </c>
      <c r="I9" s="74">
        <v>4.4999999999999998E-2</v>
      </c>
      <c r="J9" s="74">
        <v>8.5000000000000006E-2</v>
      </c>
      <c r="K9" s="1246">
        <f>SUMIF('数据-汇总表'!C$19:C$33,A9,'数据-汇总表'!E$19:E$33)</f>
        <v>7954.3</v>
      </c>
      <c r="L9" s="2980">
        <f>N23</f>
        <v>4100</v>
      </c>
      <c r="M9" s="75">
        <f t="shared" si="0"/>
        <v>3261</v>
      </c>
      <c r="N9" s="801">
        <f t="shared" si="3"/>
        <v>0.97</v>
      </c>
      <c r="O9" s="75" t="str">
        <f t="shared" si="4"/>
        <v>——</v>
      </c>
      <c r="P9" s="76" t="str">
        <f t="shared" si="5"/>
        <v>——</v>
      </c>
      <c r="Q9" s="2981">
        <v>0.05</v>
      </c>
      <c r="R9" s="77">
        <f ca="1">SUMIF('数据-汇总表'!C$19:C$33,A9,'数据-汇总表'!R$19:R$27)</f>
        <v>2370.2399999999998</v>
      </c>
      <c r="S9" s="54">
        <f>IF('数据-汇总表'!$I$17="按面积比例",SUMIF('数据-汇总表'!C$19:C$33,A9,'数据-汇总表'!K$19:K$33),SUMIF('数据-汇总表'!C$19:C$33,A9,'数据-汇总表'!N$19:N$33))</f>
        <v>0</v>
      </c>
      <c r="T9" s="1438">
        <f t="shared" si="6"/>
        <v>0</v>
      </c>
      <c r="U9" s="2975">
        <v>450</v>
      </c>
      <c r="V9" s="79">
        <v>2.5000000000000001E-2</v>
      </c>
      <c r="W9" s="79">
        <v>0.15</v>
      </c>
      <c r="X9" s="1256"/>
      <c r="Y9" s="80">
        <f t="shared" si="7"/>
        <v>0.97</v>
      </c>
      <c r="Z9" s="81"/>
      <c r="AA9" s="74"/>
      <c r="AB9" s="74"/>
      <c r="AC9" s="1256"/>
      <c r="AD9" s="82"/>
      <c r="AE9" s="1257">
        <f t="shared" ca="1" si="8"/>
        <v>22.68</v>
      </c>
      <c r="AF9" s="1790"/>
      <c r="AG9" s="147">
        <f t="shared" si="9"/>
        <v>0</v>
      </c>
      <c r="AH9" s="83">
        <v>254</v>
      </c>
      <c r="AI9" s="85">
        <v>12</v>
      </c>
      <c r="AJ9" s="86"/>
      <c r="AK9" s="2984">
        <v>5.0000000000000001E-3</v>
      </c>
      <c r="AL9" s="88">
        <v>1.5E-3</v>
      </c>
      <c r="AM9" s="89">
        <v>0.01</v>
      </c>
      <c r="AN9" s="2295" t="s">
        <v>3159</v>
      </c>
      <c r="AO9" s="55">
        <f t="shared" ca="1" si="10"/>
        <v>1558</v>
      </c>
      <c r="AP9" s="2296">
        <f t="shared" si="11"/>
        <v>0</v>
      </c>
      <c r="AQ9" s="55">
        <f t="shared" si="12"/>
        <v>0</v>
      </c>
      <c r="AR9" s="55">
        <f t="shared" si="13"/>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16" customFormat="1" ht="13.8" hidden="1">
      <c r="A10" s="2292">
        <f>'数据-汇总表'!C23</f>
        <v>0</v>
      </c>
      <c r="B10" s="2293" t="str">
        <f t="shared" si="1"/>
        <v/>
      </c>
      <c r="C10" s="229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8">
        <f t="shared" si="6"/>
        <v>0</v>
      </c>
      <c r="U10" s="78"/>
      <c r="V10" s="79"/>
      <c r="W10" s="79"/>
      <c r="X10" s="1256"/>
      <c r="Y10" s="80"/>
      <c r="Z10" s="81"/>
      <c r="AA10" s="74"/>
      <c r="AB10" s="74"/>
      <c r="AC10" s="1256"/>
      <c r="AD10" s="82"/>
      <c r="AE10" s="1257">
        <f t="shared" ca="1" si="8"/>
        <v>0</v>
      </c>
      <c r="AF10" s="1790"/>
      <c r="AG10" s="147">
        <f t="shared" si="9"/>
        <v>0</v>
      </c>
      <c r="AH10" s="83"/>
      <c r="AI10" s="85"/>
      <c r="AJ10" s="86"/>
      <c r="AK10" s="87"/>
      <c r="AL10" s="88"/>
      <c r="AM10" s="89"/>
      <c r="AN10" s="2295"/>
      <c r="AO10" s="55" t="e">
        <f t="shared" ca="1" si="10"/>
        <v>#REF!</v>
      </c>
      <c r="AP10" s="2296">
        <f t="shared" si="11"/>
        <v>0</v>
      </c>
      <c r="AQ10" s="55">
        <f t="shared" si="12"/>
        <v>0</v>
      </c>
      <c r="AR10" s="55">
        <f t="shared" si="13"/>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16" customFormat="1" ht="13.8" hidden="1">
      <c r="A11" s="2292">
        <f>'数据-汇总表'!C24</f>
        <v>0</v>
      </c>
      <c r="B11" s="2293" t="str">
        <f t="shared" si="1"/>
        <v/>
      </c>
      <c r="C11" s="229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8">
        <f t="shared" si="6"/>
        <v>0</v>
      </c>
      <c r="U11" s="83"/>
      <c r="V11" s="74"/>
      <c r="W11" s="74"/>
      <c r="X11" s="1256"/>
      <c r="Y11" s="80"/>
      <c r="Z11" s="93"/>
      <c r="AA11" s="74"/>
      <c r="AB11" s="74"/>
      <c r="AC11" s="1256"/>
      <c r="AD11" s="82"/>
      <c r="AE11" s="1257">
        <f t="shared" ca="1" si="8"/>
        <v>0</v>
      </c>
      <c r="AF11" s="1790"/>
      <c r="AG11" s="147">
        <f t="shared" si="9"/>
        <v>0</v>
      </c>
      <c r="AH11" s="83"/>
      <c r="AI11" s="85"/>
      <c r="AJ11" s="86"/>
      <c r="AK11" s="94"/>
      <c r="AL11" s="95"/>
      <c r="AM11" s="96"/>
      <c r="AN11" s="2295"/>
      <c r="AO11" s="55" t="e">
        <f t="shared" ca="1" si="10"/>
        <v>#REF!</v>
      </c>
      <c r="AP11" s="2296">
        <f t="shared" si="11"/>
        <v>0</v>
      </c>
      <c r="AQ11" s="55">
        <f t="shared" si="12"/>
        <v>0</v>
      </c>
      <c r="AR11" s="55">
        <f t="shared" si="13"/>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16" customFormat="1" ht="13.8" hidden="1">
      <c r="A12" s="2292">
        <f>'数据-汇总表'!C25</f>
        <v>0</v>
      </c>
      <c r="B12" s="2293" t="str">
        <f t="shared" si="1"/>
        <v/>
      </c>
      <c r="C12" s="229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0"/>
      <c r="AG12" s="147">
        <f t="shared" si="9"/>
        <v>0</v>
      </c>
      <c r="AH12" s="83"/>
      <c r="AI12" s="85"/>
      <c r="AJ12" s="86"/>
      <c r="AK12" s="94"/>
      <c r="AL12" s="95"/>
      <c r="AM12" s="96"/>
      <c r="AN12" s="2295"/>
      <c r="AO12" s="55" t="e">
        <f t="shared" ca="1" si="10"/>
        <v>#REF!</v>
      </c>
      <c r="AP12" s="2296">
        <f t="shared" si="11"/>
        <v>0</v>
      </c>
      <c r="AQ12" s="55">
        <f t="shared" si="12"/>
        <v>0</v>
      </c>
      <c r="AR12" s="55">
        <f t="shared" si="13"/>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16" customFormat="1" ht="13.8" hidden="1">
      <c r="A13" s="2292">
        <f>'数据-汇总表'!C26</f>
        <v>0</v>
      </c>
      <c r="B13" s="2293" t="str">
        <f t="shared" si="1"/>
        <v/>
      </c>
      <c r="C13" s="229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0"/>
      <c r="AG13" s="147">
        <f t="shared" si="9"/>
        <v>0</v>
      </c>
      <c r="AH13" s="83"/>
      <c r="AI13" s="85"/>
      <c r="AJ13" s="86"/>
      <c r="AK13" s="87"/>
      <c r="AL13" s="88"/>
      <c r="AM13" s="89"/>
      <c r="AN13" s="2295"/>
      <c r="AO13" s="55" t="e">
        <f t="shared" ca="1" si="10"/>
        <v>#REF!</v>
      </c>
      <c r="AP13" s="2296">
        <f t="shared" si="11"/>
        <v>0</v>
      </c>
      <c r="AQ13" s="55">
        <f t="shared" si="12"/>
        <v>0</v>
      </c>
      <c r="AR13" s="55">
        <f t="shared" si="13"/>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16" customFormat="1" ht="14.4">
      <c r="A14" s="2297" t="s">
        <v>2008</v>
      </c>
      <c r="B14" s="2293" t="s">
        <v>2009</v>
      </c>
      <c r="C14" s="2298" t="s">
        <v>2008</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3"/>
      <c r="V14" s="1251"/>
      <c r="W14" s="1251"/>
      <c r="X14" s="1252"/>
      <c r="Y14" s="1253"/>
      <c r="Z14" s="1254"/>
      <c r="AA14" s="1255"/>
      <c r="AB14" s="1255"/>
      <c r="AC14" s="1256"/>
      <c r="AD14" s="1252"/>
      <c r="AE14" s="1257"/>
      <c r="AF14" s="55"/>
      <c r="AG14" s="147"/>
      <c r="AH14" s="1257"/>
      <c r="AI14" s="1801"/>
      <c r="AJ14" s="773"/>
      <c r="AK14" s="1258"/>
      <c r="AL14" s="1259"/>
      <c r="AM14" s="1260"/>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16" customFormat="1" ht="28.8">
      <c r="A15" s="2297" t="s">
        <v>2010</v>
      </c>
      <c r="B15" s="2293" t="s">
        <v>2009</v>
      </c>
      <c r="C15" s="2298" t="s">
        <v>2011</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01"/>
      <c r="AJ15" s="773"/>
      <c r="AK15" s="1258"/>
      <c r="AL15" s="1259"/>
      <c r="AM15" s="1260"/>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16" customFormat="1" ht="15" thickBot="1">
      <c r="A16" s="2299" t="s">
        <v>2012</v>
      </c>
      <c r="B16" s="97"/>
      <c r="C16" s="1000"/>
      <c r="D16" s="2300"/>
      <c r="E16" s="97"/>
      <c r="F16" s="97"/>
      <c r="G16" s="98">
        <f>ROUND(SUMPRODUCT(G6:G13,K6:K13)/SUMPRODUCT((G6:G13&gt;0)*(K6:K13)),3)</f>
        <v>0.76900000000000002</v>
      </c>
      <c r="H16" s="99">
        <f>ROUND(SUMPRODUCT(H6:H13,K6:K13)/SUMPRODUCT((H6:H13&gt;0)*(K6:K13)),3)</f>
        <v>4.7E-2</v>
      </c>
      <c r="I16" s="100"/>
      <c r="J16" s="100"/>
      <c r="K16" s="101">
        <f>SUM(K6:K15)</f>
        <v>26881.280000000002</v>
      </c>
      <c r="L16" s="102">
        <f>ROUND(M16*10000/SUM(K6:K14),0)</f>
        <v>4734</v>
      </c>
      <c r="M16" s="102">
        <f>SUM(M6:M14)</f>
        <v>12725</v>
      </c>
      <c r="N16" s="103">
        <f>ROUND(SUMPRODUCT(M6:M14,N6:N14)/M16,3)</f>
        <v>0.97</v>
      </c>
      <c r="O16" s="102">
        <f>SUM(O6:O14)</f>
        <v>0</v>
      </c>
      <c r="P16" s="102">
        <f>SUM(P6:P14)</f>
        <v>0</v>
      </c>
      <c r="Q16" s="104">
        <f>ROUND(SUMPRODUCT(Q6:Q13,K6:K13)/SUMPRODUCT((Q6:Q13&gt;0)*(K6:K13)),2)</f>
        <v>0.13</v>
      </c>
      <c r="R16" s="1250">
        <f ca="1">SUM(R6:R13)</f>
        <v>8010.13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8" thickBot="1">
      <c r="A17" s="2301"/>
      <c r="B17" s="732"/>
      <c r="C17" s="1575"/>
      <c r="D17" s="2259"/>
      <c r="E17" s="2259"/>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6"/>
      <c r="C18" s="2263"/>
      <c r="D18" s="2264"/>
      <c r="E18" s="2263"/>
      <c r="F18" s="2263"/>
      <c r="G18" s="2263"/>
      <c r="H18" s="2263"/>
      <c r="I18" s="2263"/>
      <c r="J18" s="2263"/>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f>K9/AH9</f>
        <v>31.316141732283466</v>
      </c>
      <c r="AI18" s="1575"/>
      <c r="AJ18" s="1575"/>
      <c r="AK18" s="1575"/>
      <c r="AL18" s="1575"/>
      <c r="AM18" s="1575"/>
    </row>
    <row r="19" spans="1:67" ht="14.4">
      <c r="A19" s="2302" t="s">
        <v>2014</v>
      </c>
      <c r="B19" s="112">
        <v>0</v>
      </c>
      <c r="C19" s="2263" t="s">
        <v>2015</v>
      </c>
      <c r="D19" s="2264"/>
      <c r="E19" s="2263"/>
      <c r="F19" s="2263"/>
      <c r="G19" s="2263"/>
      <c r="H19" s="2263"/>
      <c r="I19" s="2263"/>
      <c r="J19" s="2263"/>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f>K9*2</f>
        <v>15908.6</v>
      </c>
      <c r="AH19" s="1575">
        <v>55</v>
      </c>
      <c r="AI19" s="1575">
        <f>AG19/AH19</f>
        <v>289.24727272727273</v>
      </c>
      <c r="AJ19" s="1575"/>
      <c r="AK19" s="1575"/>
      <c r="AL19" s="1575"/>
      <c r="AM19" s="1575"/>
    </row>
    <row r="20" spans="1:67" ht="14.4">
      <c r="A20" s="2303" t="s">
        <v>2016</v>
      </c>
      <c r="B20" s="113">
        <v>2</v>
      </c>
      <c r="C20" s="2263" t="s">
        <v>2017</v>
      </c>
      <c r="D20" s="2264"/>
      <c r="E20" s="2263"/>
      <c r="F20" s="2263"/>
      <c r="G20" s="2263"/>
      <c r="H20" s="2263"/>
      <c r="I20" s="2263"/>
      <c r="J20" s="2263"/>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4" t="s">
        <v>2018</v>
      </c>
      <c r="B21" s="113">
        <v>2</v>
      </c>
      <c r="C21" s="2263"/>
      <c r="D21" s="2264"/>
      <c r="E21" s="2263"/>
      <c r="F21" s="2263"/>
      <c r="G21" s="2263"/>
      <c r="H21" s="2263"/>
      <c r="I21" s="2263"/>
      <c r="J21" s="2263"/>
      <c r="K21" s="3411" t="s">
        <v>4230</v>
      </c>
      <c r="L21" s="3411" t="s">
        <v>4231</v>
      </c>
      <c r="M21" s="1575">
        <v>3500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4">
      <c r="A22" s="2303" t="s">
        <v>2019</v>
      </c>
      <c r="B22" s="114">
        <f>B19+B20</f>
        <v>2</v>
      </c>
      <c r="C22" s="2263"/>
      <c r="D22" s="2264"/>
      <c r="E22" s="2263"/>
      <c r="F22" s="2263"/>
      <c r="G22" s="2263"/>
      <c r="H22" s="2263"/>
      <c r="I22" s="2263"/>
      <c r="J22" s="2263"/>
      <c r="K22" s="168"/>
      <c r="L22" s="3411" t="s">
        <v>4232</v>
      </c>
      <c r="M22" s="1575">
        <v>1500</v>
      </c>
      <c r="N22" s="1575">
        <f>M21+M22</f>
        <v>5000</v>
      </c>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04" t="s">
        <v>2020</v>
      </c>
      <c r="B23" s="114">
        <f>B19+B21</f>
        <v>2</v>
      </c>
      <c r="C23" s="2263"/>
      <c r="D23" s="2264"/>
      <c r="E23" s="2263"/>
      <c r="F23" s="2263"/>
      <c r="G23" s="2263"/>
      <c r="H23" s="2263"/>
      <c r="I23" s="2263"/>
      <c r="J23" s="2263"/>
      <c r="K23" s="168"/>
      <c r="L23" s="3411" t="s">
        <v>4233</v>
      </c>
      <c r="M23" s="1575">
        <v>300</v>
      </c>
      <c r="N23" s="1575">
        <f>M21+M23+M24</f>
        <v>4100</v>
      </c>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5" t="s">
        <v>2021</v>
      </c>
      <c r="B24" s="115">
        <f>B20-B21</f>
        <v>0</v>
      </c>
      <c r="C24" s="2263"/>
      <c r="D24" s="2264"/>
      <c r="E24" s="2263"/>
      <c r="F24" s="2263"/>
      <c r="G24" s="2263"/>
      <c r="H24" s="2263"/>
      <c r="I24" s="2263"/>
      <c r="J24" s="2263"/>
      <c r="K24" s="168"/>
      <c r="L24" s="3411" t="s">
        <v>4234</v>
      </c>
      <c r="M24" s="1575">
        <v>300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14"/>
      <c r="B25" s="2266"/>
      <c r="C25" s="2263"/>
      <c r="D25" s="2264"/>
      <c r="E25" s="2263"/>
      <c r="F25" s="2263"/>
      <c r="G25" s="2263"/>
      <c r="H25" s="2263"/>
      <c r="I25" s="2263"/>
      <c r="J25" s="2263"/>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2" t="s">
        <v>2022</v>
      </c>
      <c r="B26" s="2306" t="s">
        <v>2023</v>
      </c>
      <c r="C26" s="2307" t="s">
        <v>2024</v>
      </c>
      <c r="D26" s="2264"/>
      <c r="E26" s="2263"/>
      <c r="F26" s="2263"/>
      <c r="G26" s="2263"/>
      <c r="H26" s="2263"/>
      <c r="I26" s="2263"/>
      <c r="J26" s="2263"/>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0" customFormat="1" ht="28.8">
      <c r="A27" s="2308" t="s">
        <v>2025</v>
      </c>
      <c r="B27" s="116">
        <v>160</v>
      </c>
      <c r="C27" s="1750" t="s">
        <v>2026</v>
      </c>
      <c r="D27" s="2309"/>
      <c r="E27" s="1422"/>
      <c r="F27" s="1422"/>
      <c r="G27" s="2263"/>
      <c r="H27" s="2263"/>
      <c r="I27" s="2263"/>
      <c r="J27" s="2263"/>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0" customFormat="1" ht="28.8">
      <c r="A28" s="2311" t="s">
        <v>2027</v>
      </c>
      <c r="B28" s="119">
        <v>200</v>
      </c>
      <c r="C28" s="2312"/>
      <c r="D28" s="2309"/>
      <c r="E28" s="1422"/>
      <c r="F28" s="1422"/>
      <c r="G28" s="2263"/>
      <c r="H28" s="2263"/>
      <c r="I28" s="2263"/>
      <c r="J28" s="2263"/>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0" customFormat="1" ht="29.4" thickBot="1">
      <c r="A29" s="2313" t="s">
        <v>2028</v>
      </c>
      <c r="B29" s="121">
        <f>ROUND(B28*K16/10000,0)</f>
        <v>538</v>
      </c>
      <c r="C29" s="1750" t="s">
        <v>2029</v>
      </c>
      <c r="D29" s="2309"/>
      <c r="E29" s="1422"/>
      <c r="F29" s="1422"/>
      <c r="G29" s="2263"/>
      <c r="H29" s="2263"/>
      <c r="I29" s="2263"/>
      <c r="J29" s="2263"/>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0" customFormat="1" ht="28.8">
      <c r="A30" s="2314" t="s">
        <v>2030</v>
      </c>
      <c r="B30" s="724">
        <v>200</v>
      </c>
      <c r="C30" s="2312"/>
      <c r="D30" s="2309"/>
      <c r="E30" s="1422"/>
      <c r="F30" s="1422"/>
      <c r="G30" s="2263"/>
      <c r="H30" s="2263"/>
      <c r="I30" s="2263"/>
      <c r="J30" s="2263"/>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0" customFormat="1" ht="28.8">
      <c r="A31" s="2311" t="s">
        <v>2031</v>
      </c>
      <c r="B31" s="120">
        <f>B30-B32</f>
        <v>200</v>
      </c>
      <c r="C31" s="1750"/>
      <c r="D31" s="2309"/>
      <c r="E31" s="1422"/>
      <c r="F31" s="1422"/>
      <c r="G31" s="2263"/>
      <c r="H31" s="2263"/>
      <c r="I31" s="2263"/>
      <c r="J31" s="2263"/>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0" customFormat="1" ht="29.4" thickBot="1">
      <c r="A32" s="2315" t="s">
        <v>2032</v>
      </c>
      <c r="B32" s="725">
        <v>0</v>
      </c>
      <c r="C32" s="2312"/>
      <c r="D32" s="2264"/>
      <c r="E32" s="2263"/>
      <c r="F32" s="2263"/>
      <c r="G32" s="2263"/>
      <c r="H32" s="2263"/>
      <c r="I32" s="2263"/>
      <c r="J32" s="2263"/>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0" customFormat="1" ht="14.4">
      <c r="A33" s="2308" t="s">
        <v>2033</v>
      </c>
      <c r="B33" s="726">
        <v>0.05</v>
      </c>
      <c r="C33" s="1749" t="s">
        <v>2034</v>
      </c>
      <c r="D33" s="2264"/>
      <c r="E33" s="2263"/>
      <c r="F33" s="2263"/>
      <c r="G33" s="2263"/>
      <c r="H33" s="2263"/>
      <c r="I33" s="2263"/>
      <c r="J33" s="2263"/>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0" customFormat="1" ht="14.4">
      <c r="A34" s="2311" t="s">
        <v>2035</v>
      </c>
      <c r="B34" s="122">
        <v>0</v>
      </c>
      <c r="C34" s="1749" t="s">
        <v>2036</v>
      </c>
      <c r="D34" s="2264" t="s">
        <v>2037</v>
      </c>
      <c r="E34" s="732"/>
      <c r="F34" s="2263"/>
      <c r="G34" s="2263"/>
      <c r="H34" s="2263"/>
      <c r="I34" s="2263"/>
      <c r="J34" s="2263"/>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0" customFormat="1" ht="14.4">
      <c r="A35" s="2311" t="s">
        <v>2038</v>
      </c>
      <c r="B35" s="119">
        <v>200</v>
      </c>
      <c r="C35" s="1749" t="s">
        <v>2039</v>
      </c>
      <c r="D35" s="2309"/>
      <c r="E35" s="1422"/>
      <c r="F35" s="1422"/>
      <c r="G35" s="2263"/>
      <c r="H35" s="2263"/>
      <c r="I35" s="2263"/>
      <c r="J35" s="2263"/>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3" t="s">
        <v>2040</v>
      </c>
      <c r="B36" s="123">
        <v>1.4999999999999999E-2</v>
      </c>
      <c r="C36" s="1749" t="s">
        <v>2041</v>
      </c>
      <c r="D36" s="2264"/>
      <c r="E36" s="2263"/>
      <c r="F36" s="2263"/>
      <c r="G36" s="2263"/>
      <c r="H36" s="2263"/>
      <c r="I36" s="2263"/>
      <c r="J36" s="2263"/>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4" t="s">
        <v>2042</v>
      </c>
      <c r="B37" s="124">
        <v>2.5000000000000001E-2</v>
      </c>
      <c r="C37" s="1749" t="s">
        <v>2043</v>
      </c>
      <c r="D37" s="2264"/>
      <c r="E37" s="2263"/>
      <c r="F37" s="2263"/>
      <c r="G37" s="2263"/>
      <c r="H37" s="2263"/>
      <c r="I37" s="2263"/>
      <c r="J37" s="2263"/>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1" t="s">
        <v>2044</v>
      </c>
      <c r="B38" s="122">
        <v>0.02</v>
      </c>
      <c r="C38" s="1749" t="s">
        <v>2043</v>
      </c>
      <c r="D38" s="2264"/>
      <c r="E38" s="2263"/>
      <c r="F38" s="2263"/>
      <c r="G38" s="2263"/>
      <c r="H38" s="2263"/>
      <c r="I38" s="2263"/>
      <c r="J38" s="2263"/>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5" t="s">
        <v>2045</v>
      </c>
      <c r="B39" s="362">
        <f ca="1">存贷款利率!I1</f>
        <v>1.4999999999999999E-2</v>
      </c>
      <c r="C39" s="1749"/>
      <c r="D39" s="2264"/>
      <c r="E39" s="2263"/>
      <c r="F39" s="2263"/>
      <c r="G39" s="2263"/>
      <c r="H39" s="2263"/>
      <c r="I39" s="2263"/>
      <c r="J39" s="2263"/>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5" t="s">
        <v>2046</v>
      </c>
      <c r="B40" s="1295">
        <f ca="1">存贷款利率!G1</f>
        <v>4.7500000000000001E-2</v>
      </c>
      <c r="C40" s="1749" t="s">
        <v>2047</v>
      </c>
      <c r="D40" s="1575"/>
      <c r="E40" s="2264"/>
      <c r="F40" s="2263"/>
      <c r="G40" s="2263"/>
      <c r="H40" s="2263"/>
      <c r="I40" s="2263"/>
      <c r="J40" s="2263"/>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08" t="s">
        <v>2048</v>
      </c>
      <c r="B41" s="125">
        <f>B42+B43</f>
        <v>5.6000000000000001E-2</v>
      </c>
      <c r="C41" s="1750"/>
      <c r="D41" s="1575"/>
      <c r="E41" s="2264"/>
      <c r="F41" s="2263"/>
      <c r="G41" s="2263"/>
      <c r="H41" s="2263"/>
      <c r="I41" s="2263"/>
      <c r="J41" s="2263"/>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16" t="s">
        <v>2049</v>
      </c>
      <c r="B42" s="126">
        <v>0.05</v>
      </c>
      <c r="C42" s="2317">
        <f>IF(B2&lt;DATE(2016,5,1),0,B42)</f>
        <v>0.05</v>
      </c>
      <c r="D42" s="2264"/>
      <c r="E42" s="2263"/>
      <c r="F42" s="2263"/>
      <c r="G42" s="2263"/>
      <c r="H42" s="2263"/>
      <c r="I42" s="2263"/>
      <c r="J42" s="2263"/>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16" t="s">
        <v>2050</v>
      </c>
      <c r="B43" s="127">
        <f>B42*(B44+B45+B46)+B47</f>
        <v>6.000000000000001E-3</v>
      </c>
      <c r="C43" s="1750"/>
      <c r="D43" s="2264"/>
      <c r="E43" s="2263"/>
      <c r="F43" s="2263"/>
      <c r="G43" s="2263"/>
      <c r="H43" s="2263"/>
      <c r="I43" s="2263"/>
      <c r="J43" s="2263"/>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18" t="s">
        <v>2051</v>
      </c>
      <c r="B44" s="128">
        <v>7.0000000000000007E-2</v>
      </c>
      <c r="C44" s="1749" t="s">
        <v>2052</v>
      </c>
      <c r="D44" s="2264"/>
      <c r="E44" s="2263"/>
      <c r="F44" s="2263"/>
      <c r="G44" s="2263"/>
      <c r="H44" s="2263"/>
      <c r="I44" s="2263"/>
      <c r="J44" s="2263"/>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18" t="s">
        <v>2053</v>
      </c>
      <c r="B45" s="126">
        <v>0.03</v>
      </c>
      <c r="C45" s="1750" t="s">
        <v>2054</v>
      </c>
      <c r="D45" s="2264"/>
      <c r="E45" s="2263"/>
      <c r="F45" s="2263"/>
      <c r="G45" s="2263"/>
      <c r="H45" s="2263"/>
      <c r="I45" s="2263"/>
      <c r="J45" s="2263"/>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18" t="s">
        <v>2055</v>
      </c>
      <c r="B46" s="126">
        <v>0.02</v>
      </c>
      <c r="C46" s="1750" t="s">
        <v>2056</v>
      </c>
      <c r="D46" s="2264"/>
      <c r="E46" s="2263"/>
      <c r="F46" s="2263"/>
      <c r="G46" s="2263"/>
      <c r="H46" s="2263"/>
      <c r="I46" s="2263"/>
      <c r="J46" s="2263"/>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9" t="s">
        <v>2057</v>
      </c>
      <c r="B47" s="129"/>
      <c r="C47" s="1750" t="s">
        <v>2058</v>
      </c>
      <c r="D47" s="2264"/>
      <c r="E47" s="2263"/>
      <c r="F47" s="2263"/>
      <c r="G47" s="2263"/>
      <c r="H47" s="2263"/>
      <c r="I47" s="2263"/>
      <c r="J47" s="2263"/>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0" t="s">
        <v>2059</v>
      </c>
      <c r="B48" s="130">
        <v>0.03</v>
      </c>
      <c r="C48" s="1757" t="s">
        <v>2060</v>
      </c>
      <c r="D48" s="2264"/>
      <c r="E48" s="2263"/>
      <c r="F48" s="2263"/>
      <c r="G48" s="2263"/>
      <c r="H48" s="2263"/>
      <c r="I48" s="2263"/>
      <c r="J48" s="2263"/>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5" t="s">
        <v>2061</v>
      </c>
      <c r="B49" s="126">
        <v>5.0000000000000001E-4</v>
      </c>
      <c r="C49" s="1757" t="s">
        <v>2062</v>
      </c>
      <c r="D49" s="2264"/>
      <c r="E49" s="2263"/>
      <c r="F49" s="2263"/>
      <c r="G49" s="2263"/>
      <c r="H49" s="2263"/>
      <c r="I49" s="2263"/>
      <c r="J49" s="2263"/>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1" t="s">
        <v>2063</v>
      </c>
      <c r="B50" s="131">
        <v>1.2E-2</v>
      </c>
      <c r="C50" s="1422"/>
      <c r="D50" s="2264"/>
      <c r="E50" s="2263"/>
      <c r="F50" s="2263"/>
      <c r="G50" s="2263"/>
      <c r="H50" s="2263"/>
      <c r="I50" s="2263"/>
      <c r="J50" s="2263"/>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3" t="s">
        <v>2064</v>
      </c>
      <c r="B51" s="132">
        <v>0.12</v>
      </c>
      <c r="C51" s="1422"/>
      <c r="D51" s="2264"/>
      <c r="E51" s="2263"/>
      <c r="F51" s="2263"/>
      <c r="G51" s="2263"/>
      <c r="H51" s="2263"/>
      <c r="I51" s="2263"/>
      <c r="J51" s="2263"/>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1" t="s">
        <v>2065</v>
      </c>
      <c r="B52" s="133">
        <f>SUMIF(A54:A63,B53,B54:B63)</f>
        <v>3</v>
      </c>
      <c r="C52" s="1422"/>
      <c r="D52" s="2264"/>
      <c r="E52" s="2263"/>
      <c r="F52" s="2263"/>
      <c r="G52" s="2263"/>
      <c r="H52" s="2263"/>
      <c r="I52" s="2263"/>
      <c r="J52" s="2263"/>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1" t="s">
        <v>2066</v>
      </c>
      <c r="B53" s="2322" t="s">
        <v>523</v>
      </c>
      <c r="C53" s="1422" t="s">
        <v>2067</v>
      </c>
      <c r="D53" s="2323" t="s">
        <v>2068</v>
      </c>
      <c r="E53" s="2263"/>
      <c r="F53" s="2263"/>
      <c r="G53" s="2263"/>
      <c r="H53" s="2263"/>
      <c r="I53" s="2263"/>
      <c r="J53" s="2263"/>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4" t="s">
        <v>2069</v>
      </c>
      <c r="B54" s="84">
        <v>30</v>
      </c>
      <c r="C54" s="1422">
        <v>30</v>
      </c>
      <c r="D54" s="2264"/>
      <c r="E54" s="2263"/>
      <c r="F54" s="2263"/>
      <c r="G54" s="2263"/>
      <c r="H54" s="2263"/>
      <c r="I54" s="2263"/>
      <c r="J54" s="2263"/>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4" t="s">
        <v>2070</v>
      </c>
      <c r="B55" s="84">
        <v>14</v>
      </c>
      <c r="C55" s="1422">
        <v>24</v>
      </c>
      <c r="D55" s="2264"/>
      <c r="E55" s="2263"/>
      <c r="F55" s="2263"/>
      <c r="G55" s="2263"/>
      <c r="H55" s="2263"/>
      <c r="I55" s="2325"/>
      <c r="J55" s="2263"/>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4" t="s">
        <v>2071</v>
      </c>
      <c r="B56" s="84">
        <v>18</v>
      </c>
      <c r="C56" s="1422">
        <v>18</v>
      </c>
      <c r="D56" s="2264"/>
      <c r="E56" s="2263"/>
      <c r="F56" s="2263"/>
      <c r="G56" s="2263"/>
      <c r="H56" s="2263"/>
      <c r="I56" s="2263"/>
      <c r="J56" s="2263"/>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4" t="s">
        <v>2072</v>
      </c>
      <c r="B57" s="84">
        <v>12</v>
      </c>
      <c r="C57" s="1422">
        <v>12</v>
      </c>
      <c r="D57" s="2264"/>
      <c r="E57" s="2263"/>
      <c r="F57" s="2263"/>
      <c r="G57" s="2263"/>
      <c r="H57" s="2263"/>
      <c r="I57" s="2263"/>
      <c r="J57" s="2263"/>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4" t="s">
        <v>2073</v>
      </c>
      <c r="B58" s="84">
        <v>3</v>
      </c>
      <c r="C58" s="1422">
        <v>3</v>
      </c>
      <c r="D58" s="2264"/>
      <c r="E58" s="2263"/>
      <c r="F58" s="2263"/>
      <c r="G58" s="2263"/>
      <c r="H58" s="2263"/>
      <c r="I58" s="2263"/>
      <c r="J58" s="2263"/>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4" t="s">
        <v>2074</v>
      </c>
      <c r="B59" s="84">
        <v>1.5</v>
      </c>
      <c r="C59" s="1422">
        <v>1.5</v>
      </c>
      <c r="D59" s="2264"/>
      <c r="E59" s="2263"/>
      <c r="F59" s="2263"/>
      <c r="G59" s="2263"/>
      <c r="H59" s="2263"/>
      <c r="I59" s="2263"/>
      <c r="J59" s="2263"/>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4" t="s">
        <v>2075</v>
      </c>
      <c r="B60" s="84"/>
      <c r="C60" s="2263"/>
      <c r="D60" s="2264"/>
      <c r="E60" s="2263"/>
      <c r="F60" s="2263"/>
      <c r="G60" s="2263"/>
      <c r="H60" s="2263"/>
      <c r="I60" s="2263"/>
      <c r="J60" s="2263"/>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4" t="s">
        <v>2076</v>
      </c>
      <c r="B61" s="84"/>
      <c r="C61" s="2263"/>
      <c r="D61" s="2264"/>
      <c r="E61" s="2263"/>
      <c r="F61" s="2263"/>
      <c r="G61" s="2263"/>
      <c r="H61" s="2263"/>
      <c r="I61" s="2263"/>
      <c r="J61" s="2263"/>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4" t="s">
        <v>2077</v>
      </c>
      <c r="B62" s="84"/>
      <c r="C62" s="2263"/>
      <c r="D62" s="2264"/>
      <c r="E62" s="2263"/>
      <c r="F62" s="2263"/>
      <c r="G62" s="2263"/>
      <c r="H62" s="2263"/>
      <c r="I62" s="2263"/>
      <c r="J62" s="2263"/>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6" t="s">
        <v>2078</v>
      </c>
      <c r="B63" s="134"/>
      <c r="C63" s="2263"/>
      <c r="D63" s="2264"/>
      <c r="E63" s="2263"/>
      <c r="F63" s="2263"/>
      <c r="G63" s="2263"/>
      <c r="H63" s="2263"/>
      <c r="I63" s="2263"/>
      <c r="J63" s="2263"/>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27"/>
      <c r="D64" s="2328"/>
      <c r="K64" s="798"/>
      <c r="L64" s="798"/>
    </row>
    <row r="65" spans="1:12" s="959" customFormat="1">
      <c r="A65" s="2327"/>
      <c r="D65" s="2328"/>
      <c r="K65" s="798"/>
      <c r="L65" s="798"/>
    </row>
    <row r="66" spans="1:12" s="959" customFormat="1">
      <c r="A66" s="2327"/>
      <c r="D66" s="2328"/>
      <c r="K66" s="798"/>
      <c r="L66" s="798"/>
    </row>
    <row r="67" spans="1:12" s="959" customFormat="1">
      <c r="A67" s="2327"/>
      <c r="D67" s="2328"/>
      <c r="K67" s="798"/>
      <c r="L67" s="798"/>
    </row>
    <row r="68" spans="1:12" s="959" customFormat="1">
      <c r="A68" s="2327"/>
      <c r="D68" s="2328"/>
      <c r="K68" s="798"/>
      <c r="L68" s="798"/>
    </row>
    <row r="69" spans="1:12" s="959" customFormat="1">
      <c r="A69" s="2327"/>
      <c r="D69" s="2328"/>
      <c r="K69" s="798"/>
      <c r="L69" s="798"/>
    </row>
    <row r="70" spans="1:12" s="959" customFormat="1">
      <c r="A70" s="2327"/>
      <c r="D70" s="2328"/>
      <c r="K70" s="798"/>
      <c r="L70" s="798"/>
    </row>
    <row r="71" spans="1:12" s="959" customFormat="1">
      <c r="A71" s="2327"/>
      <c r="D71" s="2328"/>
      <c r="K71" s="798"/>
      <c r="L71" s="798"/>
    </row>
    <row r="72" spans="1:12" s="959" customFormat="1">
      <c r="A72" s="2327"/>
      <c r="D72" s="2328"/>
      <c r="K72" s="798"/>
      <c r="L72" s="798"/>
    </row>
    <row r="73" spans="1:12" s="959" customFormat="1">
      <c r="A73" s="2327"/>
      <c r="D73" s="2328"/>
      <c r="K73" s="798"/>
      <c r="L73" s="798"/>
    </row>
    <row r="74" spans="1:12" s="959" customFormat="1">
      <c r="A74" s="2327"/>
      <c r="D74" s="2328"/>
      <c r="K74" s="798"/>
      <c r="L74" s="798"/>
    </row>
    <row r="75" spans="1:12" s="959" customFormat="1">
      <c r="A75" s="2327"/>
      <c r="D75" s="2328"/>
      <c r="K75" s="798"/>
      <c r="L75" s="798"/>
    </row>
    <row r="76" spans="1:12" s="959" customFormat="1">
      <c r="A76" s="2327"/>
      <c r="D76" s="2328"/>
      <c r="K76" s="798"/>
      <c r="L76" s="798"/>
    </row>
    <row r="77" spans="1:12" s="959" customFormat="1">
      <c r="A77" s="2327"/>
      <c r="D77" s="2328"/>
      <c r="K77" s="798"/>
      <c r="L77" s="798"/>
    </row>
    <row r="78" spans="1:12" s="959" customFormat="1">
      <c r="A78" s="2327"/>
      <c r="D78" s="2328"/>
      <c r="K78" s="798"/>
      <c r="L78" s="798"/>
    </row>
    <row r="79" spans="1:12" s="959" customFormat="1">
      <c r="A79" s="2327"/>
      <c r="D79" s="2328"/>
      <c r="K79" s="798"/>
      <c r="L79" s="798"/>
    </row>
    <row r="80" spans="1:12" s="959" customFormat="1">
      <c r="A80" s="2327"/>
      <c r="D80" s="2328"/>
      <c r="K80" s="798"/>
      <c r="L80" s="798"/>
    </row>
    <row r="81" spans="1:12" s="959" customFormat="1">
      <c r="A81" s="2327"/>
      <c r="D81" s="2328"/>
      <c r="K81" s="798"/>
      <c r="L81" s="798"/>
    </row>
    <row r="82" spans="1:12" s="959" customFormat="1">
      <c r="A82" s="2327"/>
      <c r="D82" s="2328"/>
      <c r="K82" s="798"/>
      <c r="L82" s="798"/>
    </row>
    <row r="83" spans="1:12" s="959" customFormat="1">
      <c r="A83" s="2327"/>
      <c r="D83" s="2328"/>
      <c r="K83" s="798"/>
      <c r="L83" s="798"/>
    </row>
    <row r="84" spans="1:12" s="959" customFormat="1">
      <c r="A84" s="2327"/>
      <c r="D84" s="2328"/>
      <c r="K84" s="798"/>
      <c r="L84" s="798"/>
    </row>
    <row r="85" spans="1:12" s="959" customFormat="1">
      <c r="A85" s="2327"/>
      <c r="D85" s="2328"/>
      <c r="K85" s="798"/>
      <c r="L85" s="798"/>
    </row>
    <row r="86" spans="1:12" s="959" customFormat="1">
      <c r="A86" s="2327"/>
      <c r="D86" s="2328"/>
      <c r="K86" s="798"/>
      <c r="L86" s="798"/>
    </row>
    <row r="87" spans="1:12" s="959" customFormat="1">
      <c r="A87" s="2327"/>
      <c r="D87" s="2328"/>
      <c r="K87" s="798"/>
      <c r="L87" s="798"/>
    </row>
    <row r="88" spans="1:12" s="959" customFormat="1">
      <c r="A88" s="2327"/>
      <c r="D88" s="2328"/>
      <c r="K88" s="798"/>
      <c r="L88" s="798"/>
    </row>
    <row r="89" spans="1:12" s="959" customFormat="1">
      <c r="A89" s="2327"/>
      <c r="D89" s="2328"/>
      <c r="K89" s="798"/>
      <c r="L89" s="798"/>
    </row>
    <row r="90" spans="1:12" s="959" customFormat="1">
      <c r="A90" s="2327"/>
      <c r="D90" s="2328"/>
      <c r="K90" s="798"/>
      <c r="L90" s="798"/>
    </row>
    <row r="91" spans="1:12" s="959" customFormat="1">
      <c r="A91" s="2327"/>
      <c r="D91" s="2328"/>
      <c r="K91" s="798"/>
      <c r="L91" s="798"/>
    </row>
    <row r="92" spans="1:12" s="959" customFormat="1">
      <c r="A92" s="2327"/>
      <c r="D92" s="2328"/>
      <c r="K92" s="798"/>
      <c r="L92" s="798"/>
    </row>
    <row r="93" spans="1:12" s="959" customFormat="1">
      <c r="A93" s="2327"/>
      <c r="D93" s="2328"/>
      <c r="K93" s="798"/>
      <c r="L93" s="798"/>
    </row>
    <row r="94" spans="1:12" s="959" customFormat="1">
      <c r="A94" s="2327"/>
      <c r="D94" s="2328"/>
      <c r="K94" s="798"/>
      <c r="L94" s="798"/>
    </row>
    <row r="95" spans="1:12" s="959" customFormat="1">
      <c r="A95" s="2327"/>
      <c r="D95" s="2328"/>
      <c r="K95" s="798"/>
      <c r="L95" s="798"/>
    </row>
    <row r="96" spans="1:12" s="959" customFormat="1">
      <c r="A96" s="2327"/>
      <c r="D96" s="2328"/>
      <c r="K96" s="798"/>
      <c r="L96" s="798"/>
    </row>
    <row r="97" spans="1:12" s="959" customFormat="1">
      <c r="A97" s="2327"/>
      <c r="D97" s="2328"/>
      <c r="K97" s="798"/>
      <c r="L97" s="798"/>
    </row>
    <row r="98" spans="1:12" s="959" customFormat="1">
      <c r="A98" s="2327"/>
      <c r="D98" s="2328"/>
      <c r="K98" s="798"/>
      <c r="L98" s="798"/>
    </row>
    <row r="99" spans="1:12" s="959" customFormat="1">
      <c r="A99" s="2327"/>
      <c r="D99" s="2328"/>
      <c r="K99" s="798"/>
      <c r="L99" s="798"/>
    </row>
    <row r="100" spans="1:12" s="959" customFormat="1">
      <c r="A100" s="2327"/>
      <c r="D100" s="2328"/>
      <c r="K100" s="798"/>
      <c r="L100" s="798"/>
    </row>
    <row r="101" spans="1:12" s="959" customFormat="1">
      <c r="A101" s="2327"/>
      <c r="D101" s="2328"/>
      <c r="K101" s="798"/>
      <c r="L101" s="798"/>
    </row>
    <row r="102" spans="1:12" s="959" customFormat="1">
      <c r="A102" s="2327"/>
      <c r="D102" s="2328"/>
      <c r="K102" s="798"/>
      <c r="L102" s="798"/>
    </row>
    <row r="103" spans="1:12" s="959" customFormat="1">
      <c r="A103" s="2327"/>
      <c r="D103" s="2328"/>
      <c r="K103" s="798"/>
      <c r="L103" s="798"/>
    </row>
    <row r="104" spans="1:12" s="959" customFormat="1">
      <c r="A104" s="2327"/>
      <c r="D104" s="2328"/>
      <c r="K104" s="798"/>
      <c r="L104" s="798"/>
    </row>
    <row r="105" spans="1:12" s="959" customFormat="1">
      <c r="A105" s="2327"/>
      <c r="D105" s="2328"/>
      <c r="K105" s="798"/>
      <c r="L105" s="798"/>
    </row>
    <row r="106" spans="1:12" s="959" customFormat="1">
      <c r="A106" s="2327"/>
      <c r="D106" s="2328"/>
      <c r="K106" s="798"/>
      <c r="L106" s="798"/>
    </row>
    <row r="107" spans="1:12" s="959" customFormat="1">
      <c r="A107" s="2327"/>
      <c r="D107" s="2328"/>
      <c r="K107" s="798"/>
      <c r="L107" s="798"/>
    </row>
    <row r="108" spans="1:12" s="959" customFormat="1">
      <c r="A108" s="2327"/>
      <c r="D108" s="2328"/>
      <c r="K108" s="798"/>
      <c r="L108" s="798"/>
    </row>
    <row r="109" spans="1:12" s="959" customFormat="1">
      <c r="A109" s="2327"/>
      <c r="D109" s="2328"/>
      <c r="K109" s="798"/>
      <c r="L109" s="798"/>
    </row>
    <row r="110" spans="1:12" s="959" customFormat="1">
      <c r="A110" s="2327"/>
      <c r="D110" s="2328"/>
      <c r="K110" s="798"/>
      <c r="L110" s="798"/>
    </row>
    <row r="111" spans="1:12" s="959" customFormat="1">
      <c r="A111" s="2327"/>
      <c r="D111" s="2328"/>
      <c r="K111" s="798"/>
      <c r="L111" s="798"/>
    </row>
    <row r="112" spans="1:12" s="959" customFormat="1">
      <c r="A112" s="2327"/>
      <c r="D112" s="2328"/>
      <c r="K112" s="798"/>
      <c r="L112" s="798"/>
    </row>
    <row r="113" spans="1:12" s="959" customFormat="1">
      <c r="A113" s="2327"/>
      <c r="D113" s="2328"/>
      <c r="K113" s="798"/>
      <c r="L113" s="798"/>
    </row>
    <row r="114" spans="1:12" s="959" customFormat="1">
      <c r="A114" s="2327"/>
      <c r="D114" s="2328"/>
      <c r="K114" s="798"/>
      <c r="L114" s="798"/>
    </row>
    <row r="115" spans="1:12" s="959" customFormat="1">
      <c r="A115" s="2327"/>
      <c r="D115" s="2328"/>
      <c r="K115" s="798"/>
      <c r="L115" s="798"/>
    </row>
    <row r="116" spans="1:12" s="959" customFormat="1">
      <c r="A116" s="2327"/>
      <c r="D116" s="2328"/>
      <c r="K116" s="798"/>
      <c r="L116" s="798"/>
    </row>
    <row r="117" spans="1:12" s="959" customFormat="1">
      <c r="A117" s="2327"/>
      <c r="D117" s="2328"/>
      <c r="K117" s="798"/>
      <c r="L117" s="798"/>
    </row>
    <row r="118" spans="1:12" s="959" customFormat="1">
      <c r="A118" s="2327"/>
      <c r="D118" s="2328"/>
      <c r="K118" s="798"/>
      <c r="L118" s="798"/>
    </row>
    <row r="119" spans="1:12" s="959" customFormat="1">
      <c r="A119" s="2327"/>
      <c r="D119" s="2328"/>
      <c r="K119" s="798"/>
      <c r="L119" s="798"/>
    </row>
    <row r="120" spans="1:12" s="959" customFormat="1">
      <c r="A120" s="2327"/>
      <c r="D120" s="2328"/>
      <c r="K120" s="798"/>
      <c r="L120" s="798"/>
    </row>
    <row r="121" spans="1:12" s="959" customFormat="1">
      <c r="A121" s="2327"/>
      <c r="D121" s="2328"/>
      <c r="K121" s="798"/>
      <c r="L121" s="798"/>
    </row>
    <row r="122" spans="1:12" s="959" customFormat="1">
      <c r="A122" s="2327"/>
      <c r="D122" s="2328"/>
      <c r="K122" s="798"/>
      <c r="L122" s="798"/>
    </row>
    <row r="123" spans="1:12" s="959" customFormat="1">
      <c r="A123" s="2327"/>
      <c r="D123" s="2328"/>
      <c r="K123" s="798"/>
      <c r="L123" s="798"/>
    </row>
    <row r="124" spans="1:12" s="959" customFormat="1">
      <c r="A124" s="2327"/>
      <c r="D124" s="2328"/>
      <c r="K124" s="798"/>
      <c r="L124" s="798"/>
    </row>
    <row r="125" spans="1:12" s="959" customFormat="1">
      <c r="A125" s="2327"/>
      <c r="D125" s="2328"/>
      <c r="K125" s="798"/>
      <c r="L125" s="798"/>
    </row>
    <row r="126" spans="1:12" s="959" customFormat="1">
      <c r="A126" s="2327"/>
      <c r="D126" s="2328"/>
      <c r="K126" s="798"/>
      <c r="L126" s="798"/>
    </row>
    <row r="127" spans="1:12" s="959" customFormat="1">
      <c r="A127" s="2327"/>
      <c r="D127" s="2328"/>
      <c r="K127" s="798"/>
      <c r="L127" s="798"/>
    </row>
    <row r="128" spans="1:12" s="959" customFormat="1">
      <c r="A128" s="2327"/>
      <c r="D128" s="2328"/>
      <c r="K128" s="798"/>
      <c r="L128" s="798"/>
    </row>
    <row r="129" spans="1:12" s="959" customFormat="1">
      <c r="A129" s="2327"/>
      <c r="D129" s="2328"/>
      <c r="K129" s="798"/>
      <c r="L129" s="798"/>
    </row>
    <row r="130" spans="1:12" s="959" customFormat="1">
      <c r="A130" s="2327"/>
      <c r="D130" s="2328"/>
      <c r="K130" s="798"/>
      <c r="L130" s="798"/>
    </row>
    <row r="131" spans="1:12" s="959" customFormat="1">
      <c r="A131" s="2327"/>
      <c r="D131" s="2328"/>
      <c r="K131" s="798"/>
      <c r="L131" s="798"/>
    </row>
    <row r="132" spans="1:12" s="959" customFormat="1">
      <c r="A132" s="2327"/>
      <c r="D132" s="2328"/>
      <c r="K132" s="798"/>
      <c r="L132" s="798"/>
    </row>
    <row r="133" spans="1:12" s="959"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3:G7"/>
    </sheetView>
  </sheetViews>
  <sheetFormatPr defaultColWidth="9" defaultRowHeight="13.8"/>
  <cols>
    <col min="1" max="1" width="9.44140625" style="2354"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3"/>
    <col min="30" max="16384" width="9" style="2354"/>
  </cols>
  <sheetData>
    <row r="1" spans="1:29" s="2347" customFormat="1" ht="18" thickBot="1">
      <c r="A1" s="3078" t="s">
        <v>2079</v>
      </c>
      <c r="B1" s="3079"/>
      <c r="C1" s="3079"/>
      <c r="D1" s="3079"/>
      <c r="E1" s="3079"/>
      <c r="F1" s="3079"/>
      <c r="G1" s="3079"/>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2080</v>
      </c>
      <c r="D2" s="2351"/>
      <c r="E2" s="2352"/>
      <c r="F2" s="2272"/>
      <c r="G2" s="2350" t="s">
        <v>2081</v>
      </c>
      <c r="H2" s="2353"/>
      <c r="I2" s="2353"/>
      <c r="J2" s="2353"/>
      <c r="K2" s="2353"/>
      <c r="L2" s="2353"/>
      <c r="M2" s="2353"/>
      <c r="N2" s="2353"/>
      <c r="O2" s="2353"/>
      <c r="P2" s="2353"/>
      <c r="Q2" s="2353"/>
      <c r="R2" s="2353"/>
    </row>
    <row r="3" spans="1:29" ht="28.8">
      <c r="A3" s="415" t="s">
        <v>2082</v>
      </c>
      <c r="B3" s="1263" t="s">
        <v>2083</v>
      </c>
      <c r="C3" s="2355"/>
      <c r="D3" s="2356"/>
      <c r="E3" s="431" t="s">
        <v>2082</v>
      </c>
      <c r="F3" s="2357" t="s">
        <v>2084</v>
      </c>
      <c r="G3" s="2358"/>
      <c r="H3" s="2353"/>
      <c r="I3" s="2353"/>
      <c r="J3" s="2353"/>
      <c r="K3" s="2353"/>
      <c r="L3" s="2353"/>
      <c r="M3" s="2353"/>
      <c r="N3" s="2353"/>
      <c r="O3" s="2353"/>
      <c r="P3" s="2353"/>
      <c r="Q3" s="2353"/>
      <c r="R3" s="2353"/>
    </row>
    <row r="4" spans="1:29" ht="14.4">
      <c r="A4" s="431"/>
      <c r="B4" s="1781" t="s">
        <v>2085</v>
      </c>
      <c r="C4" s="2359"/>
      <c r="D4" s="2356"/>
      <c r="E4" s="2360"/>
      <c r="F4" s="42" t="s">
        <v>2086</v>
      </c>
      <c r="G4" s="2361"/>
      <c r="H4" s="2353"/>
      <c r="I4" s="2353"/>
      <c r="J4" s="2353"/>
      <c r="K4" s="2353"/>
      <c r="L4" s="2353"/>
      <c r="M4" s="2353"/>
      <c r="N4" s="2353"/>
      <c r="O4" s="2353"/>
      <c r="P4" s="2353"/>
      <c r="Q4" s="2353"/>
      <c r="R4" s="2353"/>
    </row>
    <row r="5" spans="1:29" ht="14.4">
      <c r="A5" s="431"/>
      <c r="B5" s="1781" t="s">
        <v>2087</v>
      </c>
      <c r="C5" s="2359"/>
      <c r="D5" s="2356"/>
      <c r="E5" s="2360"/>
      <c r="F5" s="1781" t="s">
        <v>2088</v>
      </c>
      <c r="G5" s="2361"/>
      <c r="H5" s="2353"/>
      <c r="I5" s="2353"/>
      <c r="J5" s="2353"/>
      <c r="K5" s="2353"/>
      <c r="L5" s="2353"/>
      <c r="M5" s="2353"/>
      <c r="N5" s="2353"/>
      <c r="O5" s="2353"/>
      <c r="P5" s="2353"/>
      <c r="Q5" s="2353"/>
      <c r="R5" s="2353"/>
    </row>
    <row r="6" spans="1:29" ht="14.4">
      <c r="A6" s="431"/>
      <c r="B6" s="1781" t="s">
        <v>2089</v>
      </c>
      <c r="C6" s="2361"/>
      <c r="D6" s="2356"/>
      <c r="E6" s="2360"/>
      <c r="F6" s="1781" t="s">
        <v>2090</v>
      </c>
      <c r="G6" s="2361"/>
      <c r="H6" s="2353"/>
      <c r="I6" s="2353"/>
      <c r="J6" s="2353"/>
      <c r="K6" s="2353"/>
      <c r="L6" s="2353"/>
      <c r="M6" s="2353"/>
      <c r="N6" s="2353"/>
      <c r="O6" s="2353"/>
      <c r="P6" s="2353"/>
      <c r="Q6" s="2353"/>
      <c r="R6" s="2353"/>
    </row>
    <row r="7" spans="1:29" ht="15" thickBot="1">
      <c r="A7" s="431"/>
      <c r="B7" s="1781" t="s">
        <v>2088</v>
      </c>
      <c r="C7" s="2361"/>
      <c r="D7" s="2362"/>
      <c r="E7" s="2363"/>
      <c r="F7" s="2364" t="s">
        <v>2091</v>
      </c>
      <c r="G7" s="2365"/>
      <c r="H7" s="2353"/>
      <c r="I7" s="2353"/>
      <c r="J7" s="2353"/>
      <c r="K7" s="2353"/>
      <c r="L7" s="2353"/>
      <c r="M7" s="2353"/>
      <c r="N7" s="2353"/>
      <c r="O7" s="2353"/>
      <c r="P7" s="2353"/>
      <c r="Q7" s="2353"/>
      <c r="R7" s="2353"/>
    </row>
    <row r="8" spans="1:29" ht="14.4">
      <c r="A8" s="431"/>
      <c r="B8" s="1781" t="s">
        <v>2090</v>
      </c>
      <c r="C8" s="2361"/>
      <c r="D8" s="2362"/>
      <c r="E8" s="2362"/>
      <c r="F8" s="1128"/>
      <c r="G8" s="1128"/>
      <c r="H8" s="2353"/>
      <c r="I8" s="2353"/>
      <c r="J8" s="2353"/>
      <c r="K8" s="2353"/>
      <c r="L8" s="2353"/>
      <c r="M8" s="2353"/>
      <c r="N8" s="2353"/>
      <c r="O8" s="2353"/>
      <c r="P8" s="2353"/>
      <c r="Q8" s="2353"/>
      <c r="R8" s="2353"/>
    </row>
    <row r="9" spans="1:29" ht="14.4">
      <c r="A9" s="431"/>
      <c r="B9" s="1781" t="s">
        <v>2092</v>
      </c>
      <c r="C9" s="2359"/>
      <c r="D9" s="2356"/>
      <c r="E9" s="2362"/>
      <c r="F9" s="1128"/>
      <c r="G9" s="1128"/>
      <c r="H9" s="2353"/>
      <c r="I9" s="2353"/>
      <c r="J9" s="2353"/>
      <c r="K9" s="2353"/>
      <c r="L9" s="2353"/>
      <c r="M9" s="2353"/>
      <c r="N9" s="2353"/>
      <c r="O9" s="2353"/>
      <c r="P9" s="2353"/>
      <c r="Q9" s="2353"/>
      <c r="R9" s="2353"/>
    </row>
    <row r="10" spans="1:29" s="117" customFormat="1" ht="15" thickBot="1">
      <c r="A10" s="2366"/>
      <c r="B10" s="2367" t="s">
        <v>2093</v>
      </c>
      <c r="C10" s="2368"/>
      <c r="D10" s="2356"/>
      <c r="E10" s="2356"/>
      <c r="F10" s="1128"/>
      <c r="G10" s="1128"/>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7" customFormat="1">
      <c r="A11" s="2372"/>
      <c r="B11" s="2362"/>
      <c r="C11" s="2356"/>
      <c r="D11" s="2356"/>
      <c r="E11" s="2356"/>
      <c r="F11" s="2362"/>
      <c r="G11" s="1146"/>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7.399999999999999">
      <c r="A12" s="2372"/>
      <c r="B12" s="2362"/>
      <c r="C12" s="2356"/>
      <c r="D12" s="2373"/>
      <c r="E12" s="2356"/>
      <c r="F12" s="2362"/>
      <c r="G12" s="1146"/>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8" thickBot="1">
      <c r="A13" s="2379" t="s">
        <v>2094</v>
      </c>
      <c r="B13" s="2373"/>
      <c r="C13" s="2373"/>
      <c r="D13" s="2380"/>
      <c r="E13" s="2373"/>
      <c r="F13" s="2373"/>
      <c r="G13" s="2373"/>
    </row>
    <row r="14" spans="1:29" ht="15" thickBot="1">
      <c r="A14" s="2384"/>
      <c r="B14" s="2385"/>
      <c r="C14" s="2386" t="s">
        <v>2095</v>
      </c>
      <c r="D14" s="2356"/>
      <c r="E14" s="2387"/>
      <c r="F14" s="2387"/>
      <c r="G14" s="2350" t="s">
        <v>2096</v>
      </c>
    </row>
    <row r="15" spans="1:29" ht="28.8">
      <c r="A15" s="68" t="s">
        <v>2097</v>
      </c>
      <c r="B15" s="1262" t="s">
        <v>2083</v>
      </c>
      <c r="C15" s="2388">
        <f>C3</f>
        <v>0</v>
      </c>
      <c r="D15" s="2356"/>
      <c r="E15" s="2389" t="s">
        <v>2098</v>
      </c>
      <c r="F15" s="1262" t="s">
        <v>2099</v>
      </c>
      <c r="G15" s="135">
        <f>G3</f>
        <v>0</v>
      </c>
    </row>
    <row r="16" spans="1:29" ht="14.4">
      <c r="A16" s="645"/>
      <c r="B16" s="2390" t="s">
        <v>2085</v>
      </c>
      <c r="C16" s="2391">
        <f>C4</f>
        <v>0</v>
      </c>
      <c r="D16" s="2356"/>
      <c r="E16" s="2392"/>
      <c r="F16" s="2393" t="s">
        <v>2086</v>
      </c>
      <c r="G16" s="136">
        <f>G4</f>
        <v>0</v>
      </c>
    </row>
    <row r="17" spans="1:18" ht="14.4">
      <c r="A17" s="645"/>
      <c r="B17" s="2390" t="s">
        <v>2087</v>
      </c>
      <c r="C17" s="2391">
        <f>C5</f>
        <v>0</v>
      </c>
      <c r="D17" s="2362"/>
      <c r="E17" s="2392"/>
      <c r="F17" s="2393" t="s">
        <v>2100</v>
      </c>
      <c r="G17" s="1563"/>
    </row>
    <row r="18" spans="1:18" ht="14.4">
      <c r="A18" s="645"/>
      <c r="B18" s="2393" t="s">
        <v>2089</v>
      </c>
      <c r="C18" s="136">
        <f>C6</f>
        <v>0</v>
      </c>
      <c r="D18" s="2362"/>
      <c r="E18" s="2392"/>
      <c r="F18" s="2393" t="s">
        <v>2091</v>
      </c>
      <c r="G18" s="136">
        <f>G7</f>
        <v>0</v>
      </c>
    </row>
    <row r="19" spans="1:18" ht="14.4">
      <c r="A19" s="645"/>
      <c r="B19" s="2393" t="s">
        <v>2101</v>
      </c>
      <c r="C19" s="1563"/>
      <c r="D19" s="2356"/>
      <c r="E19" s="2392"/>
      <c r="F19" s="1781" t="s">
        <v>2088</v>
      </c>
      <c r="G19" s="136">
        <f>G5</f>
        <v>0</v>
      </c>
    </row>
    <row r="20" spans="1:18" ht="14.4">
      <c r="A20" s="645"/>
      <c r="B20" s="2393" t="s">
        <v>2102</v>
      </c>
      <c r="C20" s="2391">
        <f>C9</f>
        <v>0</v>
      </c>
      <c r="D20" s="2362"/>
      <c r="E20" s="2392"/>
      <c r="F20" s="1781" t="s">
        <v>2103</v>
      </c>
      <c r="G20" s="136">
        <f>G6</f>
        <v>0</v>
      </c>
    </row>
    <row r="21" spans="1:18" ht="14.4">
      <c r="A21" s="645"/>
      <c r="B21" s="1781" t="s">
        <v>2088</v>
      </c>
      <c r="C21" s="136">
        <f>C7</f>
        <v>0</v>
      </c>
      <c r="D21" s="2356"/>
      <c r="E21" s="2392"/>
      <c r="F21" s="2393" t="s">
        <v>2104</v>
      </c>
      <c r="G21" s="2394"/>
    </row>
    <row r="22" spans="1:18" ht="13.5" customHeight="1">
      <c r="A22" s="645"/>
      <c r="B22" s="1781" t="s">
        <v>2090</v>
      </c>
      <c r="C22" s="136">
        <f>C8</f>
        <v>0</v>
      </c>
      <c r="D22" s="2356"/>
      <c r="E22" s="2392"/>
      <c r="F22" s="2393" t="s">
        <v>2093</v>
      </c>
      <c r="G22" s="1563"/>
    </row>
    <row r="23" spans="1:18" s="2353" customFormat="1" ht="15" thickBot="1">
      <c r="A23" s="645"/>
      <c r="B23" s="2393" t="s">
        <v>2104</v>
      </c>
      <c r="C23" s="2394"/>
      <c r="D23" s="2381"/>
      <c r="E23" s="2395"/>
      <c r="F23" s="2396" t="s">
        <v>2105</v>
      </c>
      <c r="G23" s="2397"/>
      <c r="H23" s="2381"/>
      <c r="I23" s="2382"/>
      <c r="J23" s="2381"/>
      <c r="K23" s="2381"/>
      <c r="L23" s="2382"/>
      <c r="M23" s="2381"/>
      <c r="N23" s="2381"/>
      <c r="O23" s="2382"/>
      <c r="P23" s="2381"/>
      <c r="Q23" s="2381"/>
      <c r="R23" s="2383"/>
    </row>
    <row r="24" spans="1:18" s="2353" customFormat="1" ht="15" thickBot="1">
      <c r="A24" s="2398"/>
      <c r="B24" s="2396" t="s">
        <v>2106</v>
      </c>
      <c r="C24" s="137">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ColWidth="9" defaultRowHeight="14.4"/>
  <cols>
    <col min="1" max="1" width="23.33203125" style="2946" customWidth="1"/>
    <col min="2" max="9" width="15.77734375" style="2946" customWidth="1"/>
    <col min="10" max="16384" width="9" style="2946"/>
  </cols>
  <sheetData>
    <row r="1" spans="1:10" ht="16.2">
      <c r="A1" s="2947" t="s">
        <v>1360</v>
      </c>
      <c r="B1" s="2947">
        <f>SUM(B14:B23)</f>
        <v>37817.270000000004</v>
      </c>
      <c r="C1" s="2944"/>
      <c r="D1" s="2944"/>
      <c r="E1" s="2944"/>
      <c r="F1" s="2944"/>
      <c r="G1" s="2945"/>
    </row>
    <row r="2" spans="1:10" ht="16.2">
      <c r="A2" s="2947" t="s">
        <v>1348</v>
      </c>
      <c r="B2" s="2947">
        <f>SUM(C14:C23)</f>
        <v>11268.859999999999</v>
      </c>
      <c r="C2" s="2944"/>
      <c r="D2" s="2944"/>
      <c r="E2" s="2944"/>
      <c r="F2" s="2944"/>
      <c r="G2" s="2945"/>
    </row>
    <row r="3" spans="1:10" ht="15.6">
      <c r="A3" s="2947" t="s">
        <v>1357</v>
      </c>
      <c r="B3" s="2948">
        <f>项目基本情况!D3</f>
        <v>44020</v>
      </c>
      <c r="C3" s="2944"/>
      <c r="D3" s="2944"/>
      <c r="E3" s="2944"/>
      <c r="F3" s="2944"/>
      <c r="G3" s="2945"/>
    </row>
    <row r="4" spans="1:10" ht="31.2">
      <c r="A4" s="2947" t="s">
        <v>1356</v>
      </c>
      <c r="B4" s="2947" t="s">
        <v>1355</v>
      </c>
      <c r="C4" s="2947" t="s">
        <v>1354</v>
      </c>
      <c r="D4" s="2947" t="s">
        <v>1353</v>
      </c>
      <c r="E4" s="2944"/>
      <c r="F4" s="2945"/>
      <c r="G4" s="2945"/>
    </row>
    <row r="5" spans="1:10" ht="15.6">
      <c r="A5" s="2947" t="s">
        <v>1352</v>
      </c>
      <c r="B5" s="2947">
        <f ca="1">SUM(D14:D23)</f>
        <v>95197</v>
      </c>
      <c r="C5" s="2947">
        <f ca="1">ROUND(B5*10000/$B$1,0)</f>
        <v>25173</v>
      </c>
      <c r="D5" s="2947">
        <f ca="1">ROUND(B5*10000/$B$2,0)</f>
        <v>84478</v>
      </c>
      <c r="E5" s="2944"/>
      <c r="F5" s="2945"/>
      <c r="G5" s="2945"/>
    </row>
    <row r="6" spans="1:10" ht="15.6">
      <c r="A6" s="2947" t="s">
        <v>1351</v>
      </c>
      <c r="B6" s="2947">
        <f ca="1">SUM(G14:G23)</f>
        <v>95197</v>
      </c>
      <c r="C6" s="2947">
        <f ca="1">ROUND(B6*10000/$B$1,0)</f>
        <v>25173</v>
      </c>
      <c r="D6" s="2947">
        <f ca="1">ROUND(B6*10000/$B$2,0)</f>
        <v>84478</v>
      </c>
      <c r="E6" s="2944"/>
      <c r="F6" s="2945"/>
      <c r="G6" s="2945"/>
    </row>
    <row r="7" spans="1:10" ht="15.6">
      <c r="A7" s="2947" t="s">
        <v>1359</v>
      </c>
      <c r="B7" s="2947">
        <f>SUM(H14:H23)</f>
        <v>0</v>
      </c>
      <c r="C7" s="2947">
        <f>ROUND(B7*10000/$B$1,0)</f>
        <v>0</v>
      </c>
      <c r="D7" s="2947">
        <f>ROUND(B7*10000/$B$2,0)</f>
        <v>0</v>
      </c>
      <c r="E7" s="2944"/>
      <c r="F7" s="2945"/>
      <c r="G7" s="2945"/>
    </row>
    <row r="8" spans="1:10" ht="15.6">
      <c r="A8" s="2947" t="s">
        <v>1280</v>
      </c>
      <c r="B8" s="2947">
        <f>SUM(I14:I23)</f>
        <v>0</v>
      </c>
      <c r="C8" s="2947">
        <f>ROUND(B8*10000/$B$1,0)</f>
        <v>0</v>
      </c>
      <c r="D8" s="2947">
        <f>ROUND(B8*10000/$B$2,0)</f>
        <v>0</v>
      </c>
      <c r="E8" s="2944"/>
      <c r="F8" s="2945"/>
      <c r="G8" s="2945"/>
    </row>
    <row r="9" spans="1:10" ht="15.6">
      <c r="A9" s="2947" t="s">
        <v>1350</v>
      </c>
      <c r="B9" s="1732"/>
      <c r="C9" s="2944"/>
      <c r="D9" s="2944"/>
      <c r="E9" s="2944"/>
      <c r="F9" s="2945"/>
      <c r="G9" s="2945"/>
    </row>
    <row r="10" spans="1:10" ht="15.6">
      <c r="A10" s="2947" t="s">
        <v>1349</v>
      </c>
      <c r="B10" s="1732"/>
      <c r="C10" s="2944"/>
      <c r="D10" s="2944"/>
      <c r="E10" s="2944"/>
      <c r="F10" s="2945"/>
      <c r="G10" s="2945"/>
    </row>
    <row r="11" spans="1:10" ht="15.6">
      <c r="A11" s="2947" t="s">
        <v>1365</v>
      </c>
      <c r="B11" s="1732"/>
      <c r="C11" s="2944"/>
      <c r="D11" s="2944"/>
      <c r="E11" s="2944"/>
      <c r="F11" s="2945"/>
      <c r="G11" s="2945"/>
    </row>
    <row r="12" spans="1:10" ht="15.6">
      <c r="A12" s="2944"/>
      <c r="B12" s="2944"/>
      <c r="C12" s="2944"/>
      <c r="D12" s="2944"/>
      <c r="E12" s="2944"/>
      <c r="F12" s="2945"/>
      <c r="G12" s="2945"/>
    </row>
    <row r="13" spans="1:10" ht="31.8">
      <c r="A13" s="2949" t="s">
        <v>1364</v>
      </c>
      <c r="B13" s="2950" t="s">
        <v>1361</v>
      </c>
      <c r="C13" s="2950" t="s">
        <v>1363</v>
      </c>
      <c r="D13" s="2950" t="s">
        <v>1362</v>
      </c>
      <c r="E13" s="2947" t="s">
        <v>1354</v>
      </c>
      <c r="F13" s="2947" t="s">
        <v>1353</v>
      </c>
      <c r="G13" s="2950" t="s">
        <v>1347</v>
      </c>
      <c r="H13" s="2950" t="s">
        <v>1358</v>
      </c>
      <c r="I13" s="2950" t="s">
        <v>1346</v>
      </c>
      <c r="J13" s="2945"/>
    </row>
    <row r="14" spans="1:10" ht="15.6">
      <c r="A14" s="2951" t="s">
        <v>1345</v>
      </c>
      <c r="B14" s="2952">
        <f>结果表!B118</f>
        <v>26881.280000000002</v>
      </c>
      <c r="C14" s="2952">
        <f>结果表!C118</f>
        <v>8010.13</v>
      </c>
      <c r="D14" s="2952">
        <f ca="1">结果表!H118</f>
        <v>60459</v>
      </c>
      <c r="E14" s="2950">
        <f ca="1">ROUND(D14*10000/B14,0)</f>
        <v>22491</v>
      </c>
      <c r="F14" s="2950">
        <f ca="1">ROUND(D14*10000/C14,0)</f>
        <v>75478</v>
      </c>
      <c r="G14" s="2952">
        <f ca="1">结果表!D122</f>
        <v>60459</v>
      </c>
      <c r="H14" s="2952" t="str">
        <f>结果表!D124</f>
        <v>——</v>
      </c>
      <c r="I14" s="2952" t="str">
        <f>结果表!D126</f>
        <v>——</v>
      </c>
      <c r="J14" s="2945"/>
    </row>
    <row r="15" spans="1:10" ht="15.6">
      <c r="A15" s="2951" t="s">
        <v>1344</v>
      </c>
      <c r="B15" s="1733">
        <f>'[2]数据-汇总表'!$E$3</f>
        <v>7261.079999999999</v>
      </c>
      <c r="C15" s="1733">
        <f>'[2]数据-汇总表'!$D$3</f>
        <v>2163.67</v>
      </c>
      <c r="D15" s="1733">
        <f ca="1">[2]结果表!$G$19</f>
        <v>22958</v>
      </c>
      <c r="E15" s="2950">
        <f t="shared" ref="E15:E23" ca="1" si="0">ROUND(D15*10000/B15,0)</f>
        <v>31618</v>
      </c>
      <c r="F15" s="2950">
        <f t="shared" ref="F15:F23" ca="1" si="1">ROUND(D15*10000/C15,0)</f>
        <v>106107</v>
      </c>
      <c r="G15" s="1734">
        <f ca="1">[2]结果表!$G$19</f>
        <v>22958</v>
      </c>
      <c r="H15" s="1734"/>
      <c r="I15" s="1733"/>
      <c r="J15" s="2945"/>
    </row>
    <row r="16" spans="1:10" ht="15.6">
      <c r="A16" s="2951" t="s">
        <v>1343</v>
      </c>
      <c r="B16" s="1733">
        <f>'[3]数据-汇总表'!$E$3</f>
        <v>3674.91</v>
      </c>
      <c r="C16" s="1733">
        <f>'[3]数据-汇总表'!$D$3</f>
        <v>1095.06</v>
      </c>
      <c r="D16" s="1733">
        <f>[3]结果表!$G$19</f>
        <v>11780</v>
      </c>
      <c r="E16" s="2950">
        <f t="shared" si="0"/>
        <v>32055</v>
      </c>
      <c r="F16" s="2950">
        <f t="shared" si="1"/>
        <v>107574</v>
      </c>
      <c r="G16" s="1734">
        <f>[3]结果表!$G$19</f>
        <v>11780</v>
      </c>
      <c r="H16" s="1734"/>
      <c r="I16" s="1733"/>
    </row>
    <row r="17" spans="1:9" ht="15.6">
      <c r="A17" s="2951" t="s">
        <v>1342</v>
      </c>
      <c r="B17" s="1733"/>
      <c r="C17" s="1733"/>
      <c r="D17" s="1733"/>
      <c r="E17" s="2950" t="e">
        <f t="shared" si="0"/>
        <v>#DIV/0!</v>
      </c>
      <c r="F17" s="2950" t="e">
        <f t="shared" si="1"/>
        <v>#DIV/0!</v>
      </c>
      <c r="G17" s="1734"/>
      <c r="H17" s="1734"/>
      <c r="I17" s="1733"/>
    </row>
    <row r="18" spans="1:9" ht="15.6">
      <c r="A18" s="2951" t="s">
        <v>1341</v>
      </c>
      <c r="B18" s="1733"/>
      <c r="C18" s="1733"/>
      <c r="D18" s="1733"/>
      <c r="E18" s="2950" t="e">
        <f t="shared" si="0"/>
        <v>#DIV/0!</v>
      </c>
      <c r="F18" s="2950" t="e">
        <f t="shared" si="1"/>
        <v>#DIV/0!</v>
      </c>
      <c r="G18" s="1733"/>
      <c r="H18" s="1733"/>
      <c r="I18" s="1733"/>
    </row>
    <row r="19" spans="1:9" ht="15.6">
      <c r="A19" s="2951" t="s">
        <v>1340</v>
      </c>
      <c r="B19" s="1733"/>
      <c r="C19" s="1733"/>
      <c r="D19" s="1733"/>
      <c r="E19" s="2950" t="e">
        <f t="shared" si="0"/>
        <v>#DIV/0!</v>
      </c>
      <c r="F19" s="2950" t="e">
        <f t="shared" si="1"/>
        <v>#DIV/0!</v>
      </c>
      <c r="G19" s="1733"/>
      <c r="H19" s="1733"/>
      <c r="I19" s="1733"/>
    </row>
    <row r="20" spans="1:9" ht="15.6">
      <c r="A20" s="2951" t="s">
        <v>1339</v>
      </c>
      <c r="B20" s="1733"/>
      <c r="C20" s="1733"/>
      <c r="D20" s="1733"/>
      <c r="E20" s="2950" t="e">
        <f t="shared" si="0"/>
        <v>#DIV/0!</v>
      </c>
      <c r="F20" s="2950" t="e">
        <f t="shared" si="1"/>
        <v>#DIV/0!</v>
      </c>
      <c r="G20" s="1733"/>
      <c r="H20" s="1733"/>
      <c r="I20" s="1733"/>
    </row>
    <row r="21" spans="1:9" ht="15.6">
      <c r="A21" s="2951" t="s">
        <v>1338</v>
      </c>
      <c r="B21" s="1733"/>
      <c r="C21" s="1733"/>
      <c r="D21" s="1733"/>
      <c r="E21" s="2950" t="e">
        <f t="shared" si="0"/>
        <v>#DIV/0!</v>
      </c>
      <c r="F21" s="2950" t="e">
        <f t="shared" si="1"/>
        <v>#DIV/0!</v>
      </c>
      <c r="G21" s="1733"/>
      <c r="H21" s="1733"/>
      <c r="I21" s="1733"/>
    </row>
    <row r="22" spans="1:9" ht="15.6">
      <c r="A22" s="2951" t="s">
        <v>1337</v>
      </c>
      <c r="B22" s="1733"/>
      <c r="C22" s="1733"/>
      <c r="D22" s="1733"/>
      <c r="E22" s="2950" t="e">
        <f t="shared" si="0"/>
        <v>#DIV/0!</v>
      </c>
      <c r="F22" s="2950" t="e">
        <f t="shared" si="1"/>
        <v>#DIV/0!</v>
      </c>
      <c r="G22" s="1733"/>
      <c r="H22" s="1733"/>
      <c r="I22" s="1733"/>
    </row>
    <row r="23" spans="1:9" ht="15.6">
      <c r="A23" s="2951" t="s">
        <v>1336</v>
      </c>
      <c r="B23" s="1733"/>
      <c r="C23" s="1733"/>
      <c r="D23" s="1733"/>
      <c r="E23" s="2947" t="e">
        <f t="shared" si="0"/>
        <v>#DIV/0!</v>
      </c>
      <c r="F23" s="2947" t="e">
        <f t="shared" si="1"/>
        <v>#DIV/0!</v>
      </c>
      <c r="G23" s="1733"/>
      <c r="H23" s="1733"/>
      <c r="I23" s="1733"/>
    </row>
  </sheetData>
  <sheetProtection password="C66D" sheet="1" objects="1" scenarios="1" formatCells="0" formatColumns="0" formatRows="0"/>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640625" defaultRowHeight="21.75" customHeight="1"/>
  <cols>
    <col min="1" max="2" width="12.6640625" style="2410"/>
    <col min="3" max="4" width="12.6640625" style="2410" customWidth="1"/>
    <col min="5" max="9" width="12.6640625" style="2410"/>
    <col min="10" max="11" width="12.6640625" style="795" customWidth="1"/>
    <col min="12" max="12" width="12.6640625" style="795"/>
    <col min="13" max="13" width="14.109375" style="795" bestFit="1" customWidth="1"/>
    <col min="14" max="26" width="12.6640625" style="795"/>
    <col min="27" max="35" width="12.6640625" style="2409"/>
    <col min="36" max="16384" width="12.6640625" style="2410"/>
  </cols>
  <sheetData>
    <row r="1" spans="1:12" ht="21.75" customHeight="1" thickBot="1">
      <c r="A1" s="2211" t="s">
        <v>2107</v>
      </c>
      <c r="B1" s="2404"/>
      <c r="C1" s="2405"/>
      <c r="D1" s="2404"/>
      <c r="E1" s="2404"/>
      <c r="F1" s="2406" t="s">
        <v>2108</v>
      </c>
      <c r="G1" s="2056" t="s">
        <v>4208</v>
      </c>
      <c r="H1" s="2407" t="str">
        <f>IF(G1="现房","——","估价对象范围")</f>
        <v>——</v>
      </c>
      <c r="I1" s="2408" t="s">
        <v>4209</v>
      </c>
    </row>
    <row r="2" spans="1:12" ht="21.75" customHeight="1" thickBot="1">
      <c r="A2" s="3154" t="str">
        <f>项目基本情况!S2</f>
        <v>房地产</v>
      </c>
      <c r="B2" s="3155"/>
      <c r="C2" s="3155"/>
      <c r="D2" s="3155"/>
      <c r="E2" s="3155"/>
      <c r="F2" s="3155"/>
      <c r="G2" s="3155"/>
      <c r="H2" s="3155"/>
      <c r="I2" s="3156"/>
    </row>
    <row r="3" spans="1:12" ht="13.2">
      <c r="A3" s="3157" t="s">
        <v>2109</v>
      </c>
      <c r="B3" s="3158"/>
      <c r="C3" s="3158"/>
      <c r="D3" s="3158"/>
      <c r="E3" s="3158"/>
      <c r="F3" s="3158"/>
      <c r="G3" s="3158"/>
      <c r="H3" s="3158"/>
      <c r="I3" s="3158"/>
    </row>
    <row r="4" spans="1:12" ht="14.4">
      <c r="A4" s="2411" t="s">
        <v>2110</v>
      </c>
      <c r="B4" s="2412" t="s">
        <v>2111</v>
      </c>
      <c r="C4" s="2413" t="s">
        <v>4207</v>
      </c>
      <c r="D4" s="2413" t="s">
        <v>4210</v>
      </c>
      <c r="E4" s="3138" t="s">
        <v>2112</v>
      </c>
      <c r="F4" s="3151"/>
      <c r="G4" s="3151"/>
      <c r="H4" s="3151"/>
      <c r="I4" s="3139"/>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收益法</v>
      </c>
    </row>
    <row r="5" spans="1:12" ht="13.2">
      <c r="A5" s="3129" t="s">
        <v>2113</v>
      </c>
      <c r="B5" s="3053">
        <v>25</v>
      </c>
      <c r="C5" s="3159"/>
      <c r="D5" s="3147"/>
      <c r="E5" s="140" t="s">
        <v>2114</v>
      </c>
      <c r="F5" s="2415"/>
      <c r="G5" s="2415"/>
      <c r="H5" s="2415"/>
      <c r="I5" s="1817"/>
    </row>
    <row r="6" spans="1:12" ht="13.2">
      <c r="A6" s="3129"/>
      <c r="B6" s="3053"/>
      <c r="C6" s="3161"/>
      <c r="D6" s="3147"/>
      <c r="E6" s="140" t="s">
        <v>2115</v>
      </c>
      <c r="F6" s="2415"/>
      <c r="G6" s="2415"/>
      <c r="H6" s="2415"/>
      <c r="I6" s="1817"/>
    </row>
    <row r="7" spans="1:12" ht="13.2">
      <c r="A7" s="3129"/>
      <c r="B7" s="3053"/>
      <c r="C7" s="3160"/>
      <c r="D7" s="3147"/>
      <c r="E7" s="140" t="s">
        <v>2116</v>
      </c>
      <c r="F7" s="2415"/>
      <c r="G7" s="2415"/>
      <c r="H7" s="2415"/>
      <c r="I7" s="1817"/>
    </row>
    <row r="8" spans="1:12" ht="13.2">
      <c r="A8" s="3129" t="s">
        <v>2117</v>
      </c>
      <c r="B8" s="3053">
        <v>15</v>
      </c>
      <c r="C8" s="3159"/>
      <c r="D8" s="3147"/>
      <c r="E8" s="140" t="s">
        <v>2118</v>
      </c>
      <c r="F8" s="2415"/>
      <c r="G8" s="2415"/>
      <c r="H8" s="2415"/>
      <c r="I8" s="1817"/>
    </row>
    <row r="9" spans="1:12" ht="13.2">
      <c r="A9" s="3129"/>
      <c r="B9" s="3053"/>
      <c r="C9" s="3160"/>
      <c r="D9" s="3147"/>
      <c r="E9" s="140" t="s">
        <v>2119</v>
      </c>
      <c r="F9" s="2415"/>
      <c r="G9" s="2415"/>
      <c r="H9" s="2415"/>
      <c r="I9" s="1817"/>
    </row>
    <row r="10" spans="1:12" ht="13.2">
      <c r="A10" s="3129" t="s">
        <v>2120</v>
      </c>
      <c r="B10" s="3053">
        <v>15</v>
      </c>
      <c r="C10" s="3159"/>
      <c r="D10" s="3147"/>
      <c r="E10" s="140" t="s">
        <v>2121</v>
      </c>
      <c r="F10" s="2415"/>
      <c r="G10" s="2415"/>
      <c r="H10" s="2415"/>
      <c r="I10" s="1817"/>
    </row>
    <row r="11" spans="1:12" ht="13.2">
      <c r="A11" s="3129"/>
      <c r="B11" s="3053"/>
      <c r="C11" s="3160"/>
      <c r="D11" s="3147"/>
      <c r="E11" s="140" t="s">
        <v>2122</v>
      </c>
      <c r="F11" s="2415"/>
      <c r="G11" s="2415"/>
      <c r="H11" s="2415"/>
      <c r="I11" s="1817"/>
    </row>
    <row r="12" spans="1:12" ht="13.2">
      <c r="A12" s="3129" t="s">
        <v>2123</v>
      </c>
      <c r="B12" s="3053">
        <v>15</v>
      </c>
      <c r="C12" s="3159"/>
      <c r="D12" s="3147"/>
      <c r="E12" s="140" t="s">
        <v>2124</v>
      </c>
      <c r="F12" s="2415"/>
      <c r="G12" s="2415"/>
      <c r="H12" s="2415"/>
      <c r="I12" s="1817"/>
    </row>
    <row r="13" spans="1:12" ht="13.2">
      <c r="A13" s="3129"/>
      <c r="B13" s="3053"/>
      <c r="C13" s="3160"/>
      <c r="D13" s="3147"/>
      <c r="E13" s="140" t="s">
        <v>2125</v>
      </c>
      <c r="F13" s="2415"/>
      <c r="G13" s="2415"/>
      <c r="H13" s="2415"/>
      <c r="I13" s="1817"/>
    </row>
    <row r="14" spans="1:12" ht="13.2">
      <c r="A14" s="3129" t="s">
        <v>2126</v>
      </c>
      <c r="B14" s="3053">
        <v>30</v>
      </c>
      <c r="C14" s="3159">
        <v>4</v>
      </c>
      <c r="D14" s="3147">
        <v>6</v>
      </c>
      <c r="E14" s="140" t="s">
        <v>2127</v>
      </c>
      <c r="F14" s="2415"/>
      <c r="G14" s="2415"/>
      <c r="H14" s="2415"/>
      <c r="I14" s="1817"/>
    </row>
    <row r="15" spans="1:12" ht="13.2">
      <c r="A15" s="3129"/>
      <c r="B15" s="3053"/>
      <c r="C15" s="3161"/>
      <c r="D15" s="3147"/>
      <c r="E15" s="140" t="s">
        <v>2128</v>
      </c>
      <c r="F15" s="2415"/>
      <c r="G15" s="2415"/>
      <c r="H15" s="2415"/>
      <c r="I15" s="1817"/>
    </row>
    <row r="16" spans="1:12" ht="13.2">
      <c r="A16" s="3129"/>
      <c r="B16" s="3053"/>
      <c r="C16" s="3160"/>
      <c r="D16" s="3147"/>
      <c r="E16" s="140" t="s">
        <v>2129</v>
      </c>
      <c r="F16" s="2415"/>
      <c r="G16" s="2415"/>
      <c r="H16" s="2415"/>
      <c r="I16" s="1817"/>
    </row>
    <row r="17" spans="1:35" ht="14.4">
      <c r="A17" s="2416" t="s">
        <v>2130</v>
      </c>
      <c r="B17" s="64"/>
      <c r="C17" s="141">
        <f>SUM(C5:C16)</f>
        <v>4</v>
      </c>
      <c r="D17" s="141">
        <f>SUM(D5:D16)</f>
        <v>6</v>
      </c>
      <c r="E17" s="138"/>
      <c r="F17" s="138"/>
      <c r="G17" s="138"/>
      <c r="H17" s="138"/>
      <c r="I17" s="138"/>
      <c r="K17" s="2414"/>
      <c r="L17" s="2417" t="s">
        <v>2131</v>
      </c>
      <c r="M17" s="2417" t="s">
        <v>2132</v>
      </c>
    </row>
    <row r="18" spans="1:35" ht="15" thickBot="1">
      <c r="A18" s="2418" t="s">
        <v>2133</v>
      </c>
      <c r="B18" s="2419"/>
      <c r="C18" s="142">
        <f>ROUND(C17/SUM(C17:D17),2)</f>
        <v>0.4</v>
      </c>
      <c r="D18" s="142">
        <f>1-C18</f>
        <v>0.6</v>
      </c>
      <c r="E18" s="138"/>
      <c r="F18" s="138"/>
      <c r="G18" s="138"/>
      <c r="H18" s="138"/>
      <c r="I18" s="138"/>
      <c r="K18" s="2414" t="s">
        <v>2134</v>
      </c>
      <c r="L18" s="2414">
        <f>IF(C1="",'数据-汇总表'!E3,SUMIF(项目类型,C1,'数据-汇总表'!E17:E26)+SUMIF(项目类型,C1,'数据-汇总表'!I17:I26))</f>
        <v>26881.280000000002</v>
      </c>
      <c r="M18" s="2414">
        <f>IF(C1="",'数据-汇总表'!E3,SUMIF(项目类型,C1,'数据-汇总表'!E17:E26))</f>
        <v>26881.280000000002</v>
      </c>
    </row>
    <row r="19" spans="1:35" ht="14.4">
      <c r="A19" s="2420" t="s">
        <v>2135</v>
      </c>
      <c r="B19" s="2421" t="s">
        <v>2136</v>
      </c>
      <c r="C19" s="143">
        <f ca="1">SUMIF(INDIRECT("'"&amp;C4&amp;"'"&amp;"!A:A"),结果表!B19,INDIRECT("'"&amp;C4&amp;"'"&amp;"!B:B"))</f>
        <v>57826</v>
      </c>
      <c r="D19" s="144">
        <f ca="1">SUMIF(INDIRECT("'"&amp;D4&amp;"'"&amp;"!A:A"),结果表!B19,INDIRECT("'"&amp;D4&amp;"'"&amp;"!B:B"))</f>
        <v>62215</v>
      </c>
      <c r="E19" s="2420" t="s">
        <v>2137</v>
      </c>
      <c r="F19" s="2421" t="s">
        <v>2136</v>
      </c>
      <c r="G19" s="145">
        <f ca="1">ROUND(C19*$C$18+D19*$D$18,0)</f>
        <v>60459</v>
      </c>
      <c r="H19" s="2422" t="s">
        <v>2138</v>
      </c>
      <c r="I19" s="138"/>
      <c r="K19" s="2414" t="s">
        <v>2139</v>
      </c>
      <c r="L19" s="2414">
        <f>IF(C1="",'数据-汇总表'!D3,SUMIF(项目类型,C1,'数据-汇总表'!D17:D26)+SUMIF(项目类型,C1,'数据-汇总表'!H17:H27))</f>
        <v>8010.13</v>
      </c>
      <c r="M19" s="2414">
        <f>IF(C1="",'数据-汇总表'!D3,SUMIF(项目类型,C1,'数据-汇总表'!D17:D26))</f>
        <v>8010.13</v>
      </c>
    </row>
    <row r="20" spans="1:35" ht="14.4">
      <c r="A20" s="2423"/>
      <c r="B20" s="1242" t="s">
        <v>2140</v>
      </c>
      <c r="C20" s="146">
        <f ca="1">SUMIF(INDIRECT("'"&amp;C4&amp;"'"&amp;"!A:A"),结果表!B20,INDIRECT("'"&amp;C4&amp;"'"&amp;"!B:B"))</f>
        <v>21512</v>
      </c>
      <c r="D20" s="147">
        <f ca="1">SUMIF(INDIRECT("'"&amp;D4&amp;"'"&amp;"!A:A"),结果表!B20,INDIRECT("'"&amp;D4&amp;"'"&amp;"!B:B"))</f>
        <v>23144</v>
      </c>
      <c r="E20" s="2423"/>
      <c r="F20" s="1242" t="s">
        <v>2140</v>
      </c>
      <c r="G20" s="148">
        <f ca="1">ROUND(C20*$C$18+D20*$D$18,0)</f>
        <v>22491</v>
      </c>
      <c r="H20" s="975" t="s">
        <v>2141</v>
      </c>
      <c r="I20" s="138"/>
    </row>
    <row r="21" spans="1:35" ht="15" customHeight="1" thickBot="1">
      <c r="A21" s="995"/>
      <c r="B21" s="2424" t="s">
        <v>2142</v>
      </c>
      <c r="C21" s="789">
        <f ca="1">ROUND(C19*10000/L19,0)</f>
        <v>72191</v>
      </c>
      <c r="D21" s="790">
        <f ca="1">ROUND(D19*10000/L19,0)</f>
        <v>77670</v>
      </c>
      <c r="E21" s="995"/>
      <c r="F21" s="2424" t="s">
        <v>2142</v>
      </c>
      <c r="G21" s="149">
        <f ca="1">ROUND(G19*10000/L19,0)</f>
        <v>75478</v>
      </c>
      <c r="H21" s="2425" t="s">
        <v>2141</v>
      </c>
      <c r="I21" s="138"/>
    </row>
    <row r="22" spans="1:35" ht="15" thickBot="1">
      <c r="A22" s="2267" t="s">
        <v>2143</v>
      </c>
      <c r="B22" s="2426"/>
      <c r="C22" s="2427"/>
      <c r="D22" s="791">
        <f ca="1">IF(C19&lt;D19,D19/C19-1,C19/D19-1)</f>
        <v>7.5900114135510011E-2</v>
      </c>
      <c r="E22" s="138"/>
      <c r="F22" s="138"/>
      <c r="G22" s="138"/>
      <c r="H22" s="138"/>
      <c r="I22" s="138"/>
    </row>
    <row r="23" spans="1:35" ht="13.8" thickBot="1">
      <c r="A23" s="2404"/>
      <c r="B23" s="2404"/>
      <c r="C23" s="2404"/>
      <c r="D23" s="2404"/>
      <c r="E23" s="138"/>
      <c r="F23" s="138"/>
      <c r="G23" s="138"/>
      <c r="H23" s="138"/>
      <c r="I23" s="138"/>
    </row>
    <row r="24" spans="1:35" ht="14.4">
      <c r="A24" s="3168" t="s">
        <v>2144</v>
      </c>
      <c r="B24" s="2421" t="s">
        <v>2136</v>
      </c>
      <c r="C24" s="145">
        <f>IF(B30=0,0,D30)</f>
        <v>0</v>
      </c>
      <c r="D24" s="2428"/>
      <c r="E24" s="138"/>
      <c r="F24" s="138"/>
      <c r="G24" s="138"/>
      <c r="H24" s="138"/>
      <c r="I24" s="138"/>
    </row>
    <row r="25" spans="1:35" ht="14.4">
      <c r="A25" s="3169"/>
      <c r="B25" s="1242" t="s">
        <v>2140</v>
      </c>
      <c r="C25" s="150">
        <f>IF(B30=0,0,C30)</f>
        <v>0</v>
      </c>
      <c r="D25" s="2429"/>
      <c r="E25" s="138"/>
      <c r="F25" s="138"/>
      <c r="G25" s="138"/>
      <c r="H25" s="138"/>
      <c r="I25" s="138"/>
    </row>
    <row r="26" spans="1:35" ht="13.5" customHeight="1">
      <c r="A26" s="2430" t="s">
        <v>2145</v>
      </c>
      <c r="B26" s="151" t="s">
        <v>2146</v>
      </c>
      <c r="C26" s="151" t="s">
        <v>2147</v>
      </c>
      <c r="D26" s="152" t="s">
        <v>2148</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c r="E28" s="138"/>
      <c r="F28" s="138"/>
      <c r="G28" s="138"/>
      <c r="H28" s="138"/>
      <c r="I28" s="138"/>
    </row>
    <row r="29" spans="1:35" ht="13.8">
      <c r="A29" s="2430"/>
      <c r="B29" s="151"/>
      <c r="C29" s="151"/>
      <c r="D29" s="152"/>
      <c r="E29" s="138"/>
      <c r="F29" s="138"/>
      <c r="G29" s="138"/>
      <c r="H29" s="138"/>
      <c r="I29" s="138"/>
    </row>
    <row r="30" spans="1:35" ht="14.4">
      <c r="A30" s="151" t="s">
        <v>2149</v>
      </c>
      <c r="B30" s="151"/>
      <c r="C30" s="151"/>
      <c r="D30" s="151"/>
      <c r="E30" s="2903" t="s">
        <v>3026</v>
      </c>
      <c r="F30" s="138"/>
      <c r="G30" s="138"/>
      <c r="H30" s="138"/>
      <c r="I30" s="138"/>
    </row>
    <row r="31" spans="1:35" s="2432" customFormat="1" ht="14.4"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 thickBot="1">
      <c r="A32" s="2433" t="s">
        <v>2150</v>
      </c>
      <c r="B32" s="2434"/>
      <c r="C32" s="153">
        <f ca="1">IF(D32="总价",G19-C24,G20-C25)</f>
        <v>60459</v>
      </c>
      <c r="D32" s="2435" t="s">
        <v>2151</v>
      </c>
      <c r="E32" s="138"/>
      <c r="F32" s="138"/>
      <c r="G32" s="138"/>
      <c r="H32" s="138"/>
      <c r="I32" s="138"/>
    </row>
    <row r="33" spans="1:15" ht="14.4">
      <c r="A33" s="952" t="s">
        <v>2152</v>
      </c>
      <c r="B33" s="2436"/>
      <c r="C33" s="2437"/>
      <c r="D33" s="2438"/>
      <c r="E33" s="2439" t="s">
        <v>2153</v>
      </c>
      <c r="F33" s="2440" t="str">
        <f>IF(D32="楼面单价","取值（单价）","取值（总价）")</f>
        <v>取值（总价）</v>
      </c>
      <c r="G33" s="138"/>
      <c r="H33" s="138"/>
      <c r="I33" s="138"/>
    </row>
    <row r="34" spans="1:15" ht="14.4">
      <c r="A34" s="2441"/>
      <c r="B34" s="2442" t="s">
        <v>2154</v>
      </c>
      <c r="C34" s="157" t="e">
        <f ca="1">IF(C33="自定义",F34,C32-C35)</f>
        <v>#REF!</v>
      </c>
      <c r="D34" s="1050" t="e">
        <f ca="1">IF(C33="自定义",ROUND(C34/C32,3),IF(C33="收益比率",SUMIF(INDIRECT("'"&amp;D33&amp;"'"&amp;"!b:b"),"土地收益比率",INDIRECT("'"&amp;D33&amp;"'"&amp;"!c:c")),SUMIF(INDIRECT("'"&amp;D33&amp;"'"&amp;"!b:b"),"土地成本比率",INDIRECT("'"&amp;D33&amp;"'"&amp;"!c:c"))))</f>
        <v>#REF!</v>
      </c>
      <c r="E34" s="2443" t="s">
        <v>2155</v>
      </c>
      <c r="F34" s="1730"/>
      <c r="G34" s="138"/>
      <c r="H34" s="138"/>
      <c r="I34" s="138"/>
    </row>
    <row r="35" spans="1:15" ht="15" thickBot="1">
      <c r="A35" s="2444"/>
      <c r="B35" s="2445" t="s">
        <v>2156</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46" t="s">
        <v>2157</v>
      </c>
      <c r="F35" s="163"/>
      <c r="G35" s="138"/>
      <c r="H35" s="138"/>
      <c r="I35" s="138"/>
    </row>
    <row r="36" spans="1:15" ht="15" thickBot="1">
      <c r="A36" s="3148" t="s">
        <v>2158</v>
      </c>
      <c r="B36" s="2447" t="s">
        <v>2159</v>
      </c>
      <c r="C36" s="154"/>
      <c r="D36" s="2448"/>
      <c r="E36" s="2449"/>
      <c r="F36" s="2450"/>
      <c r="G36" s="138"/>
      <c r="H36" s="138"/>
      <c r="I36" s="138"/>
    </row>
    <row r="37" spans="1:15" ht="15" thickBot="1">
      <c r="A37" s="3149"/>
      <c r="B37" s="2253" t="s">
        <v>2160</v>
      </c>
      <c r="C37" s="156"/>
      <c r="D37" s="1387"/>
      <c r="E37" s="1387"/>
      <c r="F37" s="2450"/>
      <c r="G37" s="138"/>
      <c r="H37" s="138"/>
      <c r="I37" s="138"/>
    </row>
    <row r="38" spans="1:15" ht="15" thickBot="1">
      <c r="A38" s="3150"/>
      <c r="B38" s="2451" t="s">
        <v>2161</v>
      </c>
      <c r="C38" s="727"/>
      <c r="D38" s="2452" t="s">
        <v>2162</v>
      </c>
      <c r="E38" s="1387"/>
      <c r="F38" s="2450"/>
      <c r="G38" s="138"/>
      <c r="H38" s="138"/>
      <c r="I38" s="138"/>
    </row>
    <row r="39" spans="1:15" ht="14.4">
      <c r="A39" s="2423" t="s">
        <v>2163</v>
      </c>
      <c r="B39" s="2453" t="s">
        <v>2164</v>
      </c>
      <c r="C39" s="2454" t="s">
        <v>2165</v>
      </c>
      <c r="D39" s="2454" t="s">
        <v>2166</v>
      </c>
      <c r="E39" s="2455" t="s">
        <v>2167</v>
      </c>
      <c r="F39" s="2450"/>
      <c r="G39" s="138"/>
      <c r="H39" s="138"/>
      <c r="I39" s="138"/>
    </row>
    <row r="40" spans="1:15" ht="13.8">
      <c r="A40" s="2456" t="s">
        <v>2168</v>
      </c>
      <c r="B40" s="158"/>
      <c r="C40" s="159"/>
      <c r="D40" s="159"/>
      <c r="E40" s="160"/>
      <c r="F40" s="2450"/>
      <c r="G40" s="138"/>
      <c r="H40" s="138"/>
      <c r="I40" s="138"/>
    </row>
    <row r="41" spans="1:15" ht="13.8">
      <c r="A41" s="2456" t="s">
        <v>2169</v>
      </c>
      <c r="B41" s="158"/>
      <c r="C41" s="159"/>
      <c r="D41" s="159"/>
      <c r="E41" s="160"/>
      <c r="F41" s="2450"/>
      <c r="G41" s="138"/>
      <c r="H41" s="138"/>
      <c r="I41" s="138"/>
    </row>
    <row r="42" spans="1:15" ht="14.4" thickBot="1">
      <c r="A42" s="2457"/>
      <c r="B42" s="161"/>
      <c r="C42" s="162"/>
      <c r="D42" s="162"/>
      <c r="E42" s="163"/>
      <c r="F42" s="2450"/>
      <c r="G42" s="138"/>
      <c r="H42" s="138"/>
      <c r="I42" s="138"/>
    </row>
    <row r="43" spans="1:15" ht="13.2">
      <c r="A43" s="2151"/>
      <c r="B43" s="2151"/>
      <c r="C43" s="2151"/>
      <c r="D43" s="2151"/>
      <c r="E43" s="2151"/>
      <c r="F43" s="2458"/>
      <c r="G43" s="2458"/>
      <c r="H43" s="2458"/>
      <c r="I43" s="2459"/>
    </row>
    <row r="44" spans="1:15" ht="17.399999999999999">
      <c r="A44" s="2460" t="s">
        <v>2170</v>
      </c>
      <c r="B44" s="2461"/>
      <c r="C44" s="2461"/>
      <c r="D44" s="2462"/>
      <c r="E44" s="2462"/>
      <c r="F44" s="2463"/>
      <c r="G44" s="2463"/>
      <c r="H44" s="2463"/>
      <c r="I44" s="2463"/>
      <c r="J44" s="2464" t="s">
        <v>2171</v>
      </c>
      <c r="K44" s="2465"/>
      <c r="L44" s="2465"/>
      <c r="M44" s="2465"/>
      <c r="N44" s="2465"/>
      <c r="O44" s="2465"/>
    </row>
    <row r="45" spans="1:15" ht="14.25" customHeight="1" thickBot="1">
      <c r="A45" s="3165" t="s">
        <v>2172</v>
      </c>
      <c r="B45" s="3166"/>
      <c r="C45" s="3167"/>
      <c r="D45" s="164">
        <f ca="1">ROUND(H101*F45,0)</f>
        <v>60459</v>
      </c>
      <c r="E45" s="165" t="s">
        <v>2173</v>
      </c>
      <c r="F45" s="166">
        <v>1</v>
      </c>
      <c r="G45" s="167" t="s">
        <v>2174</v>
      </c>
      <c r="H45" s="138"/>
      <c r="I45" s="138"/>
      <c r="J45" s="3082" t="s">
        <v>2175</v>
      </c>
      <c r="K45" s="3082"/>
      <c r="L45" s="3082"/>
      <c r="M45" s="3082"/>
      <c r="N45" s="3082"/>
      <c r="O45" s="3082"/>
    </row>
    <row r="46" spans="1:15" ht="14.25" customHeight="1">
      <c r="A46" s="3162" t="s">
        <v>2176</v>
      </c>
      <c r="B46" s="3163"/>
      <c r="C46" s="3163"/>
      <c r="D46" s="3163"/>
      <c r="E46" s="3163"/>
      <c r="F46" s="3163"/>
      <c r="G46" s="3164"/>
      <c r="H46" s="2466"/>
      <c r="I46" s="168"/>
      <c r="J46" s="1795">
        <v>1</v>
      </c>
      <c r="K46" s="3082" t="s">
        <v>2177</v>
      </c>
      <c r="L46" s="3082"/>
      <c r="M46" s="3083"/>
      <c r="N46" s="3083"/>
      <c r="O46" s="3083"/>
    </row>
    <row r="47" spans="1:15" ht="12" customHeight="1">
      <c r="A47" s="169" t="s">
        <v>2178</v>
      </c>
      <c r="B47" s="170"/>
      <c r="C47" s="171"/>
      <c r="D47" s="172" t="s">
        <v>2179</v>
      </c>
      <c r="E47" s="24" t="s">
        <v>2180</v>
      </c>
      <c r="F47" s="173" t="s">
        <v>2181</v>
      </c>
      <c r="G47" s="174" t="s">
        <v>2182</v>
      </c>
      <c r="H47" s="2466"/>
      <c r="I47" s="168"/>
      <c r="J47" s="1795">
        <v>2</v>
      </c>
      <c r="K47" s="3082" t="s">
        <v>2183</v>
      </c>
      <c r="L47" s="3082"/>
      <c r="M47" s="3084">
        <f>'数据-取费表'!B2</f>
        <v>44020</v>
      </c>
      <c r="N47" s="3084"/>
      <c r="O47" s="3084"/>
    </row>
    <row r="48" spans="1:15" ht="26.4">
      <c r="A48" s="3152" t="s">
        <v>2184</v>
      </c>
      <c r="B48" s="3153"/>
      <c r="C48" s="3153"/>
      <c r="D48" s="140">
        <f>IF(H48="情况1",0,IF(H48="情况2",D52,IF(H48="情况3",D53,IF(H48="情况4",D54))))</f>
        <v>0</v>
      </c>
      <c r="E48" s="1784" t="str">
        <f>IF(H48="情况4","(销售额-原购置价)×税（费）率","销售额×税（费）率")</f>
        <v>销售额×税（费）率</v>
      </c>
      <c r="F48" s="175" t="str">
        <f>IF(H48="情况1","免征",'数据-取费表'!B41)</f>
        <v>免征</v>
      </c>
      <c r="G48" s="2467" t="s">
        <v>2185</v>
      </c>
      <c r="H48" s="2468" t="s">
        <v>2186</v>
      </c>
      <c r="I48" s="2466"/>
      <c r="J48" s="1795">
        <v>3</v>
      </c>
      <c r="K48" s="3082" t="s">
        <v>2187</v>
      </c>
      <c r="L48" s="3082"/>
      <c r="M48" s="3085">
        <f ca="1">H101</f>
        <v>60459</v>
      </c>
      <c r="N48" s="3085"/>
      <c r="O48" s="3085"/>
    </row>
    <row r="49" spans="1:35" ht="25.5" customHeight="1">
      <c r="A49" s="176" t="s">
        <v>2188</v>
      </c>
      <c r="B49" s="3132" t="s">
        <v>2189</v>
      </c>
      <c r="C49" s="3132"/>
      <c r="D49" s="177">
        <v>0</v>
      </c>
      <c r="E49" s="23" t="s">
        <v>2190</v>
      </c>
      <c r="F49" s="28" t="s">
        <v>34</v>
      </c>
      <c r="G49" s="3113"/>
      <c r="H49" s="138"/>
      <c r="I49" s="2469"/>
      <c r="J49" s="1795">
        <v>4</v>
      </c>
      <c r="K49" s="3082" t="str">
        <f>IF(项目基本情况!E8="房地产抵押价值","房地产抵押价值","抵押担保权已注销时的房地产抵押价值")</f>
        <v>抵押担保权已注销时的房地产抵押价值</v>
      </c>
      <c r="L49" s="3082"/>
      <c r="M49" s="3085" t="str">
        <f>IF(项目基本情况!E8="房地产抵押价值",H107,H109)</f>
        <v>——</v>
      </c>
      <c r="N49" s="3085"/>
      <c r="O49" s="3085"/>
    </row>
    <row r="50" spans="1:35" ht="25.5" customHeight="1">
      <c r="A50" s="178"/>
      <c r="B50" s="3132" t="s">
        <v>2191</v>
      </c>
      <c r="C50" s="3132"/>
      <c r="D50" s="179"/>
      <c r="E50" s="31"/>
      <c r="F50" s="180"/>
      <c r="G50" s="3114"/>
      <c r="H50" s="138"/>
      <c r="I50" s="2469"/>
      <c r="J50" s="3082" t="s">
        <v>2192</v>
      </c>
      <c r="K50" s="3082"/>
      <c r="L50" s="3082"/>
      <c r="M50" s="3082"/>
      <c r="N50" s="3082"/>
      <c r="O50" s="3082"/>
    </row>
    <row r="51" spans="1:35" ht="12" customHeight="1">
      <c r="A51" s="181"/>
      <c r="B51" s="3132" t="s">
        <v>2193</v>
      </c>
      <c r="C51" s="3132"/>
      <c r="D51" s="182"/>
      <c r="E51" s="30"/>
      <c r="F51" s="180"/>
      <c r="G51" s="3115"/>
      <c r="H51" s="138"/>
      <c r="I51" s="2469"/>
      <c r="J51" s="2470" t="s">
        <v>2194</v>
      </c>
      <c r="K51" s="3082" t="s">
        <v>2195</v>
      </c>
      <c r="L51" s="3082"/>
      <c r="M51" s="2470" t="s">
        <v>2196</v>
      </c>
      <c r="N51" s="2470" t="s">
        <v>2197</v>
      </c>
      <c r="O51" s="2470" t="s">
        <v>2198</v>
      </c>
    </row>
    <row r="52" spans="1:35" ht="24" customHeight="1">
      <c r="A52" s="183" t="s">
        <v>2199</v>
      </c>
      <c r="B52" s="3132" t="s">
        <v>2200</v>
      </c>
      <c r="C52" s="3132"/>
      <c r="D52" s="182">
        <f ca="1">ROUND(D45*'数据-取费表'!B41/(1+'数据-取费表'!C42),0)</f>
        <v>3224</v>
      </c>
      <c r="E52" s="11" t="s">
        <v>2201</v>
      </c>
      <c r="F52" s="184">
        <f>'数据-取费表'!B41</f>
        <v>5.6000000000000001E-2</v>
      </c>
      <c r="G52" s="2471"/>
      <c r="H52" s="138"/>
      <c r="I52" s="2469"/>
      <c r="J52" s="1795">
        <v>1</v>
      </c>
      <c r="K52" s="3107" t="s">
        <v>2202</v>
      </c>
      <c r="L52" s="3107"/>
      <c r="M52" s="1737">
        <f>D48</f>
        <v>0</v>
      </c>
      <c r="N52" s="1795" t="str">
        <f>E48</f>
        <v>销售额×税（费）率</v>
      </c>
      <c r="O52" s="1738" t="str">
        <f>F48</f>
        <v>免征</v>
      </c>
    </row>
    <row r="53" spans="1:35" ht="12" customHeight="1">
      <c r="A53" s="183" t="s">
        <v>2203</v>
      </c>
      <c r="B53" s="3133" t="s">
        <v>2204</v>
      </c>
      <c r="C53" s="3134"/>
      <c r="D53" s="182">
        <f ca="1">ROUND(D45*'数据-取费表'!B41/(1+'数据-取费表'!C42),0)</f>
        <v>3224</v>
      </c>
      <c r="E53" s="11" t="s">
        <v>2201</v>
      </c>
      <c r="F53" s="184">
        <f>'数据-取费表'!B41</f>
        <v>5.6000000000000001E-2</v>
      </c>
      <c r="G53" s="2471"/>
      <c r="H53" s="138"/>
      <c r="I53" s="2469"/>
      <c r="J53" s="1795">
        <v>2</v>
      </c>
      <c r="K53" s="3107" t="s">
        <v>2205</v>
      </c>
      <c r="L53" s="3107"/>
      <c r="M53" s="1737">
        <f t="shared" ref="M53:O54" ca="1" si="0">D55</f>
        <v>30</v>
      </c>
      <c r="N53" s="1795" t="str">
        <f t="shared" si="0"/>
        <v>销售额×税（费）率</v>
      </c>
      <c r="O53" s="1738">
        <f t="shared" si="0"/>
        <v>5.0000000000000001E-4</v>
      </c>
    </row>
    <row r="54" spans="1:35" ht="12" customHeight="1">
      <c r="A54" s="183" t="s">
        <v>2206</v>
      </c>
      <c r="B54" s="3133" t="s">
        <v>2207</v>
      </c>
      <c r="C54" s="3134"/>
      <c r="D54" s="182">
        <f ca="1">C68</f>
        <v>3224</v>
      </c>
      <c r="E54" s="30" t="s">
        <v>2208</v>
      </c>
      <c r="F54" s="184">
        <f>'数据-取费表'!B41</f>
        <v>5.6000000000000001E-2</v>
      </c>
      <c r="G54" s="2471"/>
      <c r="H54" s="2472"/>
      <c r="I54" s="2469"/>
      <c r="J54" s="1795">
        <v>3</v>
      </c>
      <c r="K54" s="3107" t="s">
        <v>2209</v>
      </c>
      <c r="L54" s="3107"/>
      <c r="M54" s="1737">
        <f t="shared" ca="1" si="0"/>
        <v>34220</v>
      </c>
      <c r="N54" s="1795" t="str">
        <f t="shared" si="0"/>
        <v>增值额×税（费）率</v>
      </c>
      <c r="O54" s="1739" t="str">
        <f t="shared" si="0"/>
        <v>——</v>
      </c>
    </row>
    <row r="55" spans="1:35" ht="24" customHeight="1">
      <c r="A55" s="3171" t="s">
        <v>2210</v>
      </c>
      <c r="B55" s="3153"/>
      <c r="C55" s="3153"/>
      <c r="D55" s="185">
        <f ca="1">IF(H55="个人住宅",0,ROUND(D45*I55,0))</f>
        <v>30</v>
      </c>
      <c r="E55" s="11" t="s">
        <v>2211</v>
      </c>
      <c r="F55" s="184">
        <f>IF(H55="正常",I55,"免征")</f>
        <v>5.0000000000000001E-4</v>
      </c>
      <c r="G55" s="2471"/>
      <c r="H55" s="2468" t="s">
        <v>2212</v>
      </c>
      <c r="I55" s="186">
        <f>'数据-取费表'!B49</f>
        <v>5.0000000000000001E-4</v>
      </c>
      <c r="J55" s="1795" t="str">
        <f>IF(H59="非个人房产","",4)</f>
        <v/>
      </c>
      <c r="K55" s="3107" t="str">
        <f>IF(H59="非个人房产","——","个人所得税")</f>
        <v>——</v>
      </c>
      <c r="L55" s="3107"/>
      <c r="M55" s="1740" t="str">
        <f>D59</f>
        <v>——</v>
      </c>
      <c r="N55" s="1793" t="str">
        <f>E59</f>
        <v>——</v>
      </c>
      <c r="O55" s="1741" t="str">
        <f>F59</f>
        <v>——</v>
      </c>
    </row>
    <row r="56" spans="1:35" ht="25.2">
      <c r="A56" s="3171" t="s">
        <v>2213</v>
      </c>
      <c r="B56" s="3153"/>
      <c r="C56" s="3153"/>
      <c r="D56" s="185">
        <f ca="1">IF(H56="个人住宅",D57,D58)</f>
        <v>34220</v>
      </c>
      <c r="E56" s="11" t="s">
        <v>2214</v>
      </c>
      <c r="F56" s="184" t="str">
        <f>IF(H56="正常",F58,"免征")</f>
        <v>——</v>
      </c>
      <c r="G56" s="2473" t="s">
        <v>2215</v>
      </c>
      <c r="H56" s="2474" t="s">
        <v>2212</v>
      </c>
      <c r="I56" s="2475"/>
      <c r="J56" s="1795" t="str">
        <f>IF(项目基本情况!K6="上海银行",IF(J55="",4,J55+1),"")</f>
        <v/>
      </c>
      <c r="K56" s="3088" t="str">
        <f>IF(项目基本情况!K6="上海银行","其他处置费用","")</f>
        <v/>
      </c>
      <c r="L56" s="3089"/>
      <c r="M56" s="1737" t="str">
        <f>IF(项目基本情况!K6="上海银行",M69,"")</f>
        <v/>
      </c>
      <c r="N56" s="3091" t="str">
        <f>IF(项目基本情况!K6="上海银行","包含处置中涉及的律师、诉讼、拍卖、评估等费用","")</f>
        <v/>
      </c>
      <c r="O56" s="3092"/>
    </row>
    <row r="57" spans="1:35" ht="13.2">
      <c r="A57" s="183" t="s">
        <v>2188</v>
      </c>
      <c r="B57" s="3138" t="s">
        <v>2216</v>
      </c>
      <c r="C57" s="3139"/>
      <c r="D57" s="187">
        <v>0</v>
      </c>
      <c r="E57" s="23" t="s">
        <v>2190</v>
      </c>
      <c r="F57" s="155"/>
      <c r="G57" s="2471"/>
      <c r="H57" s="2475"/>
      <c r="I57" s="2475"/>
      <c r="J57" s="3107">
        <f>IF(AND(J55="",J56=""),4,IF(项目基本情况!K6="上海银行",结果表!J56+1,结果表!J55+1))</f>
        <v>4</v>
      </c>
      <c r="K57" s="3107" t="s">
        <v>2217</v>
      </c>
      <c r="L57" s="2476" t="s">
        <v>2218</v>
      </c>
      <c r="M57" s="1742"/>
      <c r="N57" s="1743">
        <f ca="1">SUMIF(M52:M56,"&lt;9e307")</f>
        <v>34250</v>
      </c>
      <c r="O57" s="2477"/>
      <c r="P57" s="1736" t="e">
        <f ca="1">N57/M49</f>
        <v>#VALUE!</v>
      </c>
    </row>
    <row r="58" spans="1:35" ht="25.2">
      <c r="A58" s="183" t="s">
        <v>2199</v>
      </c>
      <c r="B58" s="3138" t="s">
        <v>2219</v>
      </c>
      <c r="C58" s="3151"/>
      <c r="D58" s="185">
        <f ca="1">IF(H58="转让取得",C81,C97)</f>
        <v>34220</v>
      </c>
      <c r="E58" s="11" t="s">
        <v>2214</v>
      </c>
      <c r="F58" s="24" t="s">
        <v>34</v>
      </c>
      <c r="G58" s="2471"/>
      <c r="H58" s="2474" t="s">
        <v>2220</v>
      </c>
      <c r="I58" s="2475"/>
      <c r="J58" s="3107"/>
      <c r="K58" s="3107"/>
      <c r="L58" s="2476" t="s">
        <v>2221</v>
      </c>
      <c r="M58" s="1744"/>
      <c r="N58" s="2478" t="str">
        <f ca="1">NUMBERSTRING(INT(N57*10000),2)&amp;"元整"</f>
        <v>叁亿肆仟贰佰伍拾万元整</v>
      </c>
      <c r="O58" s="2479"/>
    </row>
    <row r="59" spans="1:35" ht="24.6" thickBot="1">
      <c r="A59" s="3111" t="s">
        <v>2222</v>
      </c>
      <c r="B59" s="3112"/>
      <c r="C59" s="3112"/>
      <c r="D59" s="188" t="str">
        <f>IF(H59="非个人房产","——",IF(H59="个人住宅",0,ROUND(D45*I59,0)))</f>
        <v>——</v>
      </c>
      <c r="E59" s="189" t="str">
        <f>IF(H59="非个人房产","——","销售额×税（费）率")</f>
        <v>——</v>
      </c>
      <c r="F59" s="190" t="str">
        <f>IF(H59="非个人房产","——",IF(H59="个人住宅","免征",I59))</f>
        <v>——</v>
      </c>
      <c r="G59" s="2480" t="s">
        <v>2215</v>
      </c>
      <c r="H59" s="2474" t="s">
        <v>2223</v>
      </c>
      <c r="I59" s="191">
        <v>0.01</v>
      </c>
      <c r="J59" s="3109">
        <f>J57+1</f>
        <v>5</v>
      </c>
      <c r="K59" s="3107" t="s">
        <v>2224</v>
      </c>
      <c r="L59" s="1795" t="s">
        <v>2218</v>
      </c>
      <c r="M59" s="1745"/>
      <c r="N59" s="1746" t="e">
        <f ca="1">M49-N57</f>
        <v>#VALUE!</v>
      </c>
      <c r="O59" s="2481"/>
    </row>
    <row r="60" spans="1:35" ht="12" customHeight="1">
      <c r="A60" s="2482"/>
      <c r="B60" s="2404"/>
      <c r="C60" s="2404"/>
      <c r="D60" s="2404"/>
      <c r="E60" s="2152"/>
      <c r="F60" s="2475"/>
      <c r="G60" s="2475"/>
      <c r="H60" s="2483"/>
      <c r="I60" s="138"/>
      <c r="J60" s="3110"/>
      <c r="K60" s="3107"/>
      <c r="L60" s="2476" t="s">
        <v>2221</v>
      </c>
      <c r="M60" s="1744"/>
      <c r="N60" s="2478" t="e">
        <f ca="1">NUMBERSTRING(INT(N59*10000),2)&amp;"元整"</f>
        <v>#VALUE!</v>
      </c>
      <c r="O60" s="2479"/>
    </row>
    <row r="61" spans="1:35" ht="13.8" thickBot="1">
      <c r="A61" s="3170" t="s">
        <v>2225</v>
      </c>
      <c r="B61" s="3170"/>
      <c r="C61" s="3170"/>
      <c r="D61" s="3170"/>
      <c r="E61" s="3170"/>
      <c r="F61" s="2475"/>
      <c r="G61" s="2475"/>
      <c r="H61" s="2483"/>
      <c r="I61" s="138"/>
      <c r="J61" s="1795">
        <f>J59+1</f>
        <v>6</v>
      </c>
      <c r="K61" s="3107" t="s">
        <v>2226</v>
      </c>
      <c r="L61" s="3107"/>
      <c r="M61" s="1747"/>
      <c r="N61" s="1748" t="e">
        <f ca="1">ROUND(N59*10000/'数据-汇总表'!E3,0)</f>
        <v>#VALUE!</v>
      </c>
      <c r="O61" s="2484"/>
    </row>
    <row r="62" spans="1:35" ht="13.2">
      <c r="A62" s="3127" t="s">
        <v>2227</v>
      </c>
      <c r="B62" s="3128"/>
      <c r="C62" s="1787"/>
      <c r="D62" s="1787" t="s">
        <v>2228</v>
      </c>
      <c r="E62" s="192" t="s">
        <v>2229</v>
      </c>
      <c r="F62" s="2475"/>
      <c r="G62" s="2475"/>
      <c r="H62" s="2483"/>
      <c r="I62" s="138"/>
    </row>
    <row r="63" spans="1:35" ht="13.2">
      <c r="A63" s="203" t="s">
        <v>775</v>
      </c>
      <c r="B63" s="193" t="s">
        <v>2230</v>
      </c>
      <c r="C63" s="194">
        <f ca="1">ROUND((C64+C65)/(1+'数据-取费表'!C42),0)</f>
        <v>57580</v>
      </c>
      <c r="D63" s="195"/>
      <c r="E63" s="196"/>
      <c r="F63" s="2475"/>
      <c r="G63" s="2475"/>
      <c r="H63" s="2483"/>
      <c r="I63" s="138"/>
      <c r="J63" s="3090" t="s">
        <v>2231</v>
      </c>
      <c r="K63" s="2485" t="s">
        <v>2232</v>
      </c>
      <c r="L63" s="1735" t="e">
        <f>IF(M49&gt;10000,M49*0.5%,IF(AND(M49&gt;1000,M49&lt;=10000),M49*1%,IF(AND(M49&gt;100,M49&lt;=1000),M49*3%,IF(AND(M49&gt;10,M49&lt;=100),M49*5%,M49*8%))))</f>
        <v>#VALUE!</v>
      </c>
      <c r="M63" s="24" t="e">
        <f>ROUND(L63,1)</f>
        <v>#VALUE!</v>
      </c>
      <c r="Z63" s="2409"/>
      <c r="AI63" s="2410"/>
    </row>
    <row r="64" spans="1:35" ht="14.25" customHeight="1">
      <c r="A64" s="197" t="s">
        <v>770</v>
      </c>
      <c r="B64" s="198" t="s">
        <v>2233</v>
      </c>
      <c r="C64" s="199">
        <f ca="1">D45</f>
        <v>60459</v>
      </c>
      <c r="D64" s="200" t="s">
        <v>32</v>
      </c>
      <c r="E64" s="201"/>
      <c r="F64" s="2475"/>
      <c r="G64" s="2475"/>
      <c r="H64" s="2483"/>
      <c r="I64" s="138"/>
      <c r="J64" s="3090"/>
      <c r="K64" s="2485" t="s">
        <v>2234</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09"/>
      <c r="AI64" s="2410"/>
    </row>
    <row r="65" spans="1:35" ht="14.25" customHeight="1">
      <c r="A65" s="197" t="s">
        <v>771</v>
      </c>
      <c r="B65" s="198" t="s">
        <v>2236</v>
      </c>
      <c r="C65" s="202"/>
      <c r="D65" s="200"/>
      <c r="E65" s="201"/>
      <c r="F65" s="2475"/>
      <c r="G65" s="2475"/>
      <c r="H65" s="2483"/>
      <c r="I65" s="138"/>
      <c r="J65" s="3090"/>
      <c r="K65" s="2485" t="s">
        <v>2237</v>
      </c>
      <c r="L65" s="1735" t="e">
        <f>IF(M49&gt;1000,M49*0.1%,IF(AND(M49&gt;500,M49&lt;=1000),M49*0.5%,IF(AND(M49&gt;50,M49&lt;=500),M49*1%,IF(AND(M49&gt;1,M49&lt;=50),M49*1.5%))))</f>
        <v>#VALUE!</v>
      </c>
      <c r="M65" s="24" t="e">
        <f t="shared" si="1"/>
        <v>#VALUE!</v>
      </c>
      <c r="N65" s="138" t="s">
        <v>2235</v>
      </c>
      <c r="Z65" s="2409"/>
      <c r="AI65" s="2410"/>
    </row>
    <row r="66" spans="1:35" ht="14.25" customHeight="1">
      <c r="A66" s="203" t="s">
        <v>772</v>
      </c>
      <c r="B66" s="204" t="s">
        <v>2238</v>
      </c>
      <c r="C66" s="205"/>
      <c r="D66" s="206" t="s">
        <v>32</v>
      </c>
      <c r="E66" s="1759" t="s">
        <v>1366</v>
      </c>
      <c r="F66" s="2475"/>
      <c r="G66" s="2475"/>
      <c r="H66" s="2483"/>
      <c r="I66" s="138"/>
      <c r="J66" s="3090"/>
      <c r="K66" s="2485" t="s">
        <v>2239</v>
      </c>
      <c r="L66" s="1735" t="e">
        <f>M49*0.5%</f>
        <v>#VALUE!</v>
      </c>
      <c r="M66" s="24" t="e">
        <f>IF(L66&gt;0.5,0.5,ROUND(L66,0))</f>
        <v>#VALUE!</v>
      </c>
      <c r="N66" s="138" t="s">
        <v>2240</v>
      </c>
      <c r="Z66" s="2409"/>
      <c r="AI66" s="2410"/>
    </row>
    <row r="67" spans="1:35" ht="14.25" customHeight="1">
      <c r="A67" s="203" t="s">
        <v>773</v>
      </c>
      <c r="B67" s="204" t="s">
        <v>2241</v>
      </c>
      <c r="C67" s="207">
        <f ca="1">C63-C66</f>
        <v>57580</v>
      </c>
      <c r="D67" s="200" t="s">
        <v>32</v>
      </c>
      <c r="E67" s="201"/>
      <c r="F67" s="2475"/>
      <c r="G67" s="2475"/>
      <c r="H67" s="2483"/>
      <c r="I67" s="138"/>
      <c r="J67" s="3090"/>
      <c r="K67" s="2485" t="s">
        <v>2242</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2243</v>
      </c>
      <c r="C68" s="210">
        <f ca="1">IF(C67&lt;=0,0,ROUND(C67*D68,0))</f>
        <v>3224</v>
      </c>
      <c r="D68" s="211">
        <f>'数据-取费表'!B41</f>
        <v>5.6000000000000001E-2</v>
      </c>
      <c r="E68" s="212"/>
      <c r="F68" s="2475"/>
      <c r="G68" s="2475"/>
      <c r="H68" s="2483"/>
      <c r="I68" s="138"/>
      <c r="J68" s="3090"/>
      <c r="K68" s="2485" t="s">
        <v>2244</v>
      </c>
      <c r="L68" s="1735"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2"/>
      <c r="G69" s="2152"/>
      <c r="H69" s="2151"/>
      <c r="I69" s="2404"/>
      <c r="J69" s="3090"/>
      <c r="K69" s="2485" t="s">
        <v>2245</v>
      </c>
      <c r="L69" s="2491"/>
      <c r="M69" s="24" t="e">
        <f>ROUND(SUM(M63:M68),0)</f>
        <v>#VALUE!</v>
      </c>
      <c r="N69" s="1736" t="e">
        <f>M69/M49</f>
        <v>#VALUE!</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4.4" thickBot="1">
      <c r="A70" s="3136" t="s">
        <v>2246</v>
      </c>
      <c r="B70" s="3137"/>
      <c r="C70" s="3137"/>
      <c r="D70" s="3137"/>
      <c r="E70" s="3137"/>
      <c r="F70" s="3137"/>
      <c r="G70" s="3137"/>
      <c r="H70" s="313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27" t="s">
        <v>2227</v>
      </c>
      <c r="B71" s="3128"/>
      <c r="C71" s="1787"/>
      <c r="D71" s="1787" t="s">
        <v>2228</v>
      </c>
      <c r="E71" s="213" t="s">
        <v>2229</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3" t="s">
        <v>775</v>
      </c>
      <c r="B72" s="204" t="s">
        <v>2247</v>
      </c>
      <c r="C72" s="207">
        <f ca="1">ROUND(D45/(1+'数据-取费表'!C42),0)</f>
        <v>57580</v>
      </c>
      <c r="D72" s="200" t="s">
        <v>32</v>
      </c>
      <c r="E72" s="1786"/>
      <c r="F72" s="1780"/>
      <c r="G72" s="1780"/>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3" t="s">
        <v>772</v>
      </c>
      <c r="B73" s="173" t="s">
        <v>2248</v>
      </c>
      <c r="C73" s="207">
        <f ca="1">C74+C78</f>
        <v>345</v>
      </c>
      <c r="D73" s="200" t="s">
        <v>32</v>
      </c>
      <c r="E73" s="1786"/>
      <c r="F73" s="1780"/>
      <c r="G73" s="1780"/>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2249</v>
      </c>
      <c r="C74" s="200">
        <f>ROUND(IF(G77="2016年5月1日后购买",C75/(1+'数据-取费表'!C42)+C76+C77,C75+C76+C77),0)</f>
        <v>0</v>
      </c>
      <c r="D74" s="200" t="s">
        <v>32</v>
      </c>
      <c r="E74" s="1786"/>
      <c r="F74" s="1780"/>
      <c r="G74" s="1780"/>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7" t="s">
        <v>776</v>
      </c>
      <c r="B75" s="198" t="s">
        <v>2250</v>
      </c>
      <c r="C75" s="218"/>
      <c r="D75" s="200" t="s">
        <v>32</v>
      </c>
      <c r="E75" s="219" t="s">
        <v>2251</v>
      </c>
      <c r="F75" s="2497" t="s">
        <v>2252</v>
      </c>
      <c r="G75" s="219" t="s">
        <v>2253</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2254</v>
      </c>
      <c r="C76" s="200">
        <f>IF(F75="购房发票",ROUND(C75*H75*D76,0),0)</f>
        <v>0</v>
      </c>
      <c r="D76" s="222">
        <v>0.05</v>
      </c>
      <c r="E76" s="3133" t="s">
        <v>2255</v>
      </c>
      <c r="F76" s="3132"/>
      <c r="G76" s="3132"/>
      <c r="H76" s="313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499" t="s">
        <v>2258</v>
      </c>
      <c r="H77" s="1791"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2259</v>
      </c>
      <c r="C78" s="225">
        <f ca="1">ROUND(D45*D78/(1+'数据-取费表'!C42),0)</f>
        <v>345</v>
      </c>
      <c r="D78" s="226">
        <f>'数据-取费表'!B43</f>
        <v>6.000000000000001E-3</v>
      </c>
      <c r="E78" s="3124" t="s">
        <v>2260</v>
      </c>
      <c r="F78" s="3125"/>
      <c r="G78" s="3125"/>
      <c r="H78" s="312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4" t="s">
        <v>2261</v>
      </c>
      <c r="C79" s="207">
        <f ca="1">C72-C73</f>
        <v>57235</v>
      </c>
      <c r="D79" s="200" t="s">
        <v>32</v>
      </c>
      <c r="E79" s="1786"/>
      <c r="F79" s="1780"/>
      <c r="G79" s="1780"/>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2262</v>
      </c>
      <c r="C80" s="227">
        <f ca="1">IF(C79&lt;=0,0,C79/C73)</f>
        <v>165.89855072463769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9" t="s">
        <v>2263</v>
      </c>
      <c r="C81" s="228">
        <f ca="1">ROUND(IF(C79&lt;=0,0,IF(C80&gt;=200%,C79*60%-C73*35%,IF(C80&gt;=100%,C79*50%-C73*15%,IF(C80&gt;=50%,C79*40%-C73*5%,IF(C80&lt;50%,C79*30%,0))))),0)</f>
        <v>34220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36" t="s">
        <v>2264</v>
      </c>
      <c r="B83" s="3137"/>
      <c r="C83" s="3137"/>
      <c r="D83" s="3137"/>
      <c r="E83" s="3137"/>
      <c r="F83" s="3137"/>
      <c r="G83" s="3137"/>
      <c r="H83" s="313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27" t="s">
        <v>2227</v>
      </c>
      <c r="B84" s="3128"/>
      <c r="C84" s="1787"/>
      <c r="D84" s="1787" t="s">
        <v>2228</v>
      </c>
      <c r="E84" s="213" t="s">
        <v>2229</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3" t="s">
        <v>775</v>
      </c>
      <c r="B85" s="204" t="s">
        <v>2247</v>
      </c>
      <c r="C85" s="207">
        <f ca="1">ROUND(D45/(1+'数据-取费表'!C42),0)</f>
        <v>57580</v>
      </c>
      <c r="D85" s="200" t="s">
        <v>32</v>
      </c>
      <c r="E85" s="1786"/>
      <c r="F85" s="1780"/>
      <c r="G85" s="1780"/>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3" t="s">
        <v>772</v>
      </c>
      <c r="B86" s="173" t="s">
        <v>2248</v>
      </c>
      <c r="C86" s="207">
        <f ca="1">IF(H88="仅含出让金",C87+C90+C91+C92+C93+C94,C87+C91+C92+C93+C94)</f>
        <v>345</v>
      </c>
      <c r="D86" s="235"/>
      <c r="E86" s="1786"/>
      <c r="F86" s="1780"/>
      <c r="G86" s="1780"/>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7" t="s">
        <v>770</v>
      </c>
      <c r="B87" s="198" t="s">
        <v>2265</v>
      </c>
      <c r="C87" s="225">
        <f>C88+C89</f>
        <v>0</v>
      </c>
      <c r="D87" s="226"/>
      <c r="E87" s="1782"/>
      <c r="F87" s="1783"/>
      <c r="G87" s="1783"/>
      <c r="H87" s="1785"/>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4">
      <c r="A88" s="217" t="s">
        <v>776</v>
      </c>
      <c r="B88" s="198" t="s">
        <v>2266</v>
      </c>
      <c r="C88" s="236"/>
      <c r="D88" s="226"/>
      <c r="E88" s="237" t="s">
        <v>2267</v>
      </c>
      <c r="F88" s="1783"/>
      <c r="G88" s="238" t="s">
        <v>2268</v>
      </c>
      <c r="H88" s="2503"/>
      <c r="I88" s="2498"/>
      <c r="J88" s="2953" t="s">
        <v>3048</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7" t="s">
        <v>777</v>
      </c>
      <c r="B89" s="198" t="s">
        <v>2256</v>
      </c>
      <c r="C89" s="225">
        <f>ROUND(C88*D89,0)</f>
        <v>0</v>
      </c>
      <c r="D89" s="226">
        <f>'数据-取费表'!B48+'数据-取费表'!B49</f>
        <v>3.0499999999999999E-2</v>
      </c>
      <c r="E89" s="237" t="s">
        <v>2269</v>
      </c>
      <c r="F89" s="1783"/>
      <c r="G89" s="1783"/>
      <c r="H89" s="1785"/>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4">
      <c r="A90" s="217" t="s">
        <v>771</v>
      </c>
      <c r="B90" s="198" t="s">
        <v>2270</v>
      </c>
      <c r="C90" s="236"/>
      <c r="D90" s="226"/>
      <c r="E90" s="237" t="str">
        <f>IF(H88="-","土地取得成本中已包含该笔费用"," ")</f>
        <v xml:space="preserve"> </v>
      </c>
      <c r="F90" s="1783"/>
      <c r="G90" s="3093" t="s">
        <v>3050</v>
      </c>
      <c r="H90" s="3094"/>
      <c r="I90" s="2498"/>
      <c r="J90" s="2953" t="s">
        <v>3049</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2271</v>
      </c>
      <c r="B91" s="198" t="s">
        <v>2272</v>
      </c>
      <c r="C91" s="225">
        <f>IF(H91="——",成本法!C33,I91)</f>
        <v>0</v>
      </c>
      <c r="D91" s="226"/>
      <c r="E91" s="3124" t="s">
        <v>2273</v>
      </c>
      <c r="F91" s="3125"/>
      <c r="G91" s="3125"/>
      <c r="H91" s="2504" t="s">
        <v>2274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2275</v>
      </c>
      <c r="B92" s="198" t="s">
        <v>2276</v>
      </c>
      <c r="C92" s="225">
        <f>ROUND((C87+C90+C91)*D92,0)</f>
        <v>0</v>
      </c>
      <c r="D92" s="226">
        <v>0.1</v>
      </c>
      <c r="E92" s="3124" t="s">
        <v>2277</v>
      </c>
      <c r="F92" s="3125"/>
      <c r="G92" s="3125"/>
      <c r="H92" s="312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2278</v>
      </c>
      <c r="B93" s="198" t="s">
        <v>2259</v>
      </c>
      <c r="C93" s="225">
        <f ca="1">ROUND(D45*D93/(1+'数据-取费表'!C42),0)</f>
        <v>345</v>
      </c>
      <c r="D93" s="226">
        <f>'数据-取费表'!B43</f>
        <v>6.000000000000001E-3</v>
      </c>
      <c r="E93" s="3124" t="s">
        <v>2260</v>
      </c>
      <c r="F93" s="3125"/>
      <c r="G93" s="3125"/>
      <c r="H93" s="312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2279</v>
      </c>
      <c r="B94" s="198" t="s">
        <v>2280</v>
      </c>
      <c r="C94" s="236">
        <f>ROUND((C87+C90+C91)*D94,0)</f>
        <v>0</v>
      </c>
      <c r="D94" s="226">
        <v>0.2</v>
      </c>
      <c r="E94" s="3172" t="s">
        <v>2281</v>
      </c>
      <c r="F94" s="3173"/>
      <c r="G94" s="3173"/>
      <c r="H94" s="31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4" t="s">
        <v>2261</v>
      </c>
      <c r="C95" s="207">
        <f ca="1">ROUND(C85-C86,0)</f>
        <v>57235</v>
      </c>
      <c r="D95" s="200" t="s">
        <v>32</v>
      </c>
      <c r="E95" s="1786"/>
      <c r="F95" s="1780"/>
      <c r="G95" s="1780"/>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2262</v>
      </c>
      <c r="C96" s="227">
        <f ca="1">IF(C95&lt;=0,0,C95/C86)</f>
        <v>165.89855072463769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9" t="s">
        <v>2263</v>
      </c>
      <c r="C97" s="228">
        <f ca="1">ROUND(IF(C95&lt;=0,0,IF(C96&gt;=200%,C95*60%-C86*35%,IF(C96&gt;=100%,C95*50%-C86*15%,IF(C96&gt;=50%,C95*40%-C86*5%,IF(C96&lt;50%,C95*30%,0))))),0)</f>
        <v>34220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2"/>
      <c r="F98" s="2152"/>
      <c r="G98" s="2152"/>
      <c r="H98" s="2151"/>
      <c r="I98" s="138"/>
    </row>
    <row r="99" spans="1:35" ht="21.75" customHeight="1" thickBot="1">
      <c r="A99" s="2460" t="s">
        <v>2282</v>
      </c>
      <c r="B99" s="2404"/>
      <c r="C99" s="2404"/>
      <c r="D99" s="2404"/>
      <c r="E99" s="2152"/>
      <c r="F99" s="2152"/>
      <c r="G99" s="2152"/>
      <c r="H99" s="2151"/>
      <c r="I99" s="138"/>
    </row>
    <row r="100" spans="1:35" ht="18.75" customHeight="1">
      <c r="A100" s="3074" t="s">
        <v>2283</v>
      </c>
      <c r="B100" s="3075"/>
      <c r="C100" s="3075"/>
      <c r="D100" s="3108"/>
      <c r="E100" s="3075" t="s">
        <v>2284</v>
      </c>
      <c r="F100" s="3075"/>
      <c r="G100" s="3075"/>
      <c r="H100" s="3108"/>
      <c r="I100" s="138"/>
    </row>
    <row r="101" spans="1:35" ht="18.75" customHeight="1">
      <c r="A101" s="3116" t="s">
        <v>2285</v>
      </c>
      <c r="B101" s="3117"/>
      <c r="C101" s="736" t="str">
        <f>C4</f>
        <v>成本法</v>
      </c>
      <c r="D101" s="737" t="str">
        <f>D4</f>
        <v>收益法（汇总）</v>
      </c>
      <c r="E101" s="3086" t="s">
        <v>2286</v>
      </c>
      <c r="F101" s="3087"/>
      <c r="G101" s="2506" t="s">
        <v>2287</v>
      </c>
      <c r="H101" s="1040">
        <f ca="1">H118</f>
        <v>60459</v>
      </c>
      <c r="I101" s="138"/>
    </row>
    <row r="102" spans="1:35" ht="18.75" customHeight="1">
      <c r="A102" s="3118" t="s">
        <v>2288</v>
      </c>
      <c r="B102" s="2506" t="s">
        <v>2287</v>
      </c>
      <c r="C102" s="736">
        <f ca="1">C19</f>
        <v>57826</v>
      </c>
      <c r="D102" s="737">
        <f ca="1">D19</f>
        <v>62215</v>
      </c>
      <c r="E102" s="3086"/>
      <c r="F102" s="3087"/>
      <c r="G102" s="2506" t="s">
        <v>2289</v>
      </c>
      <c r="H102" s="371">
        <f ca="1">I118</f>
        <v>22491</v>
      </c>
      <c r="I102" s="138"/>
    </row>
    <row r="103" spans="1:35" ht="42.75" customHeight="1">
      <c r="A103" s="3118"/>
      <c r="B103" s="2506" t="s">
        <v>2289</v>
      </c>
      <c r="C103" s="738">
        <f ca="1">C20</f>
        <v>21512</v>
      </c>
      <c r="D103" s="739">
        <f ca="1">D20</f>
        <v>23144</v>
      </c>
      <c r="E103" s="3080" t="s">
        <v>2290</v>
      </c>
      <c r="F103" s="3081"/>
      <c r="G103" s="2507" t="s">
        <v>2291</v>
      </c>
      <c r="H103" s="1040">
        <f>IF(D36="正常操作",H104+H105+H106,H105+H106)</f>
        <v>0</v>
      </c>
      <c r="I103" s="138"/>
    </row>
    <row r="104" spans="1:35" ht="18.75" customHeight="1">
      <c r="A104" s="3118" t="s">
        <v>2292</v>
      </c>
      <c r="B104" s="2508" t="s">
        <v>2287</v>
      </c>
      <c r="C104" s="740">
        <f ca="1">H118</f>
        <v>60459</v>
      </c>
      <c r="D104" s="741"/>
      <c r="E104" s="2253" t="s">
        <v>2293</v>
      </c>
      <c r="F104" s="2244"/>
      <c r="G104" s="2507" t="s">
        <v>2291</v>
      </c>
      <c r="H104" s="1041">
        <f>IF(D36="同一抵押权人同一抵押物续贷",C36&amp;"（未扣减，详见特别提示）",C36)</f>
        <v>0</v>
      </c>
      <c r="I104" s="138"/>
    </row>
    <row r="105" spans="1:35" ht="18.75" customHeight="1" thickBot="1">
      <c r="A105" s="3130"/>
      <c r="B105" s="2509" t="s">
        <v>2289</v>
      </c>
      <c r="C105" s="742">
        <f ca="1">I118</f>
        <v>22491</v>
      </c>
      <c r="D105" s="743"/>
      <c r="E105" s="2253" t="s">
        <v>2294</v>
      </c>
      <c r="F105" s="2244"/>
      <c r="G105" s="2507" t="s">
        <v>2291</v>
      </c>
      <c r="H105" s="1041">
        <f>C37</f>
        <v>0</v>
      </c>
      <c r="I105" s="138"/>
    </row>
    <row r="106" spans="1:35" ht="18.75" customHeight="1">
      <c r="A106" s="2404" t="s">
        <v>2295</v>
      </c>
      <c r="B106" s="2404"/>
      <c r="C106" s="2404"/>
      <c r="D106" s="2404"/>
      <c r="E106" s="2510" t="s">
        <v>2296</v>
      </c>
      <c r="F106" s="2244"/>
      <c r="G106" s="2507" t="s">
        <v>2291</v>
      </c>
      <c r="H106" s="1041">
        <f>C38</f>
        <v>0</v>
      </c>
      <c r="I106" s="138"/>
    </row>
    <row r="107" spans="1:35" ht="18.75" customHeight="1">
      <c r="A107" s="138"/>
      <c r="B107" s="138"/>
      <c r="C107" s="138"/>
      <c r="D107" s="138"/>
      <c r="E107" s="3119" t="str">
        <f>IF(项目基本情况!E8="已注销","——","3.房地产抵押价值")</f>
        <v>3.房地产抵押价值</v>
      </c>
      <c r="F107" s="3087"/>
      <c r="G107" s="2506" t="s">
        <v>2287</v>
      </c>
      <c r="H107" s="1040">
        <f ca="1">IF(E107="——","——",H101-H103)</f>
        <v>60459</v>
      </c>
      <c r="I107" s="138"/>
    </row>
    <row r="108" spans="1:35" ht="18.75" customHeight="1">
      <c r="A108" s="138"/>
      <c r="B108" s="138"/>
      <c r="C108" s="138"/>
      <c r="D108" s="138"/>
      <c r="E108" s="3119"/>
      <c r="F108" s="3087"/>
      <c r="G108" s="2506" t="s">
        <v>2289</v>
      </c>
      <c r="H108" s="371">
        <f ca="1">ROUND(H107*10000/'数据-汇总表'!E3,0)</f>
        <v>22491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087"/>
      <c r="G109" s="2506" t="s">
        <v>2287</v>
      </c>
      <c r="H109" s="348" t="str">
        <f>IF(E109="——","——",H101-H105-H106)</f>
        <v>——</v>
      </c>
      <c r="I109" s="138"/>
    </row>
    <row r="110" spans="1:35" ht="18.75" customHeight="1">
      <c r="A110" s="138"/>
      <c r="B110" s="138"/>
      <c r="C110" s="138"/>
      <c r="D110" s="138"/>
      <c r="E110" s="3119"/>
      <c r="F110" s="3087"/>
      <c r="G110" s="2506" t="s">
        <v>2289</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06" t="s">
        <v>2287</v>
      </c>
      <c r="H111" s="1040" t="str">
        <f>IF(E111="——","——",N59)</f>
        <v>——</v>
      </c>
      <c r="I111" s="138"/>
    </row>
    <row r="112" spans="1:35" ht="18.75" customHeight="1" thickBot="1">
      <c r="A112" s="138"/>
      <c r="B112" s="138"/>
      <c r="C112" s="138"/>
      <c r="D112" s="138"/>
      <c r="E112" s="3122"/>
      <c r="F112" s="3123"/>
      <c r="G112" s="2511" t="s">
        <v>2289</v>
      </c>
      <c r="H112" s="790" t="str">
        <f>IF(E111="——","——",N61)</f>
        <v>——</v>
      </c>
      <c r="I112" s="138"/>
    </row>
    <row r="113" spans="1:11" ht="18.75" customHeight="1">
      <c r="A113" s="138"/>
      <c r="B113" s="138"/>
      <c r="C113" s="138"/>
      <c r="D113" s="138"/>
      <c r="E113" s="3131" t="s">
        <v>2295</v>
      </c>
      <c r="F113" s="3131"/>
      <c r="G113" s="3131"/>
      <c r="H113" s="3131"/>
      <c r="I113" s="138"/>
    </row>
    <row r="114" spans="1:11" ht="3.75" customHeight="1">
      <c r="A114" s="2404"/>
      <c r="B114" s="2404"/>
      <c r="C114" s="2404"/>
      <c r="D114" s="2404"/>
      <c r="E114" s="2482"/>
      <c r="F114" s="2482"/>
      <c r="G114" s="2482"/>
      <c r="H114" s="2482"/>
      <c r="I114" s="2404"/>
    </row>
    <row r="115" spans="1:11" ht="18.75" customHeight="1">
      <c r="A115" s="3144" t="s">
        <v>2297</v>
      </c>
      <c r="B115" s="3145"/>
      <c r="C115" s="3145"/>
      <c r="D115" s="3145"/>
      <c r="E115" s="3145"/>
      <c r="F115" s="3145"/>
      <c r="G115" s="3145"/>
      <c r="H115" s="3145"/>
      <c r="I115" s="3146"/>
    </row>
    <row r="116" spans="1:11" ht="27" customHeight="1">
      <c r="A116" s="3053" t="s">
        <v>2298</v>
      </c>
      <c r="B116" s="3098" t="s">
        <v>2299</v>
      </c>
      <c r="C116" s="3098" t="s">
        <v>2300</v>
      </c>
      <c r="D116" s="3104" t="s">
        <v>2301</v>
      </c>
      <c r="E116" s="3105"/>
      <c r="F116" s="3140" t="s">
        <v>2302</v>
      </c>
      <c r="G116" s="3140"/>
      <c r="H116" s="3053" t="s">
        <v>2303</v>
      </c>
      <c r="I116" s="3053"/>
    </row>
    <row r="117" spans="1:11" ht="18.75" customHeight="1">
      <c r="A117" s="3053"/>
      <c r="B117" s="3099"/>
      <c r="C117" s="3099"/>
      <c r="D117" s="1781" t="s">
        <v>2304</v>
      </c>
      <c r="E117" s="1781" t="s">
        <v>2305</v>
      </c>
      <c r="F117" s="1781" t="s">
        <v>2304</v>
      </c>
      <c r="G117" s="1781" t="s">
        <v>2306</v>
      </c>
      <c r="H117" s="1781" t="s">
        <v>2304</v>
      </c>
      <c r="I117" s="1781" t="s">
        <v>2306</v>
      </c>
    </row>
    <row r="118" spans="1:11" ht="24.75" customHeight="1">
      <c r="A118" s="2512" t="str">
        <f>项目基本情况!S2</f>
        <v>房地产</v>
      </c>
      <c r="B118" s="1781">
        <f>M18</f>
        <v>26881.280000000002</v>
      </c>
      <c r="C118" s="1781">
        <f>M19</f>
        <v>8010.13</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60459</v>
      </c>
      <c r="I118" s="1781">
        <f ca="1">ROUND(IF(D32="楼面单价",C32,H118*10000/B118),0)</f>
        <v>22491</v>
      </c>
    </row>
    <row r="119" spans="1:11" ht="18.75" customHeight="1">
      <c r="A119" s="3053" t="s">
        <v>2307</v>
      </c>
      <c r="B119" s="3053"/>
      <c r="C119" s="3053"/>
      <c r="D119" s="3100" t="e">
        <f ca="1">NUMBERSTRING(INT(D118*10000),2)&amp;"元整"</f>
        <v>#REF!</v>
      </c>
      <c r="E119" s="3101"/>
      <c r="F119" s="3100" t="e">
        <f ca="1">NUMBERSTRING(INT(F118*10000),2)&amp;"元整"</f>
        <v>#REF!</v>
      </c>
      <c r="G119" s="3101"/>
      <c r="H119" s="3100" t="str">
        <f ca="1">NUMBERSTRING(INT(H118*10000),2)&amp;"元整"</f>
        <v>陆亿零肆佰伍拾玖万元整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09" t="str">
        <f>IF(D120=0,"故，本次评估不存在"&amp;A120,"故，本次评估"&amp;A120&amp;"为人民币"&amp;D120&amp;"万元整。")</f>
        <v>故，本次评估不存在估价师知悉的法定优先受偿款</v>
      </c>
    </row>
    <row r="121" spans="1:11" ht="18.75" customHeight="1">
      <c r="A121" s="3141" t="s">
        <v>2307</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60459</v>
      </c>
      <c r="E122" s="3096"/>
      <c r="F122" s="3096"/>
      <c r="G122" s="3096"/>
      <c r="H122" s="3096"/>
      <c r="I122" s="3097"/>
    </row>
    <row r="123" spans="1:11" ht="18.75" customHeight="1">
      <c r="A123" s="3053" t="s">
        <v>2307</v>
      </c>
      <c r="B123" s="3053"/>
      <c r="C123" s="3053"/>
      <c r="D123" s="3100" t="str">
        <f ca="1">NUMBERSTRING(INT(D122*10000),2)&amp;"元整"</f>
        <v>陆亿零肆佰伍拾玖万元整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3" t="s">
        <v>2307</v>
      </c>
      <c r="B125" s="3053"/>
      <c r="C125" s="3053"/>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3" t="s">
        <v>2307</v>
      </c>
      <c r="B127" s="3053"/>
      <c r="C127" s="3053"/>
      <c r="D127" s="3100" t="e">
        <f>NUMBERSTRING(INT(D126*10000),2)&amp;"元整"</f>
        <v>#VALUE!</v>
      </c>
      <c r="E127" s="3102"/>
      <c r="F127" s="3102"/>
      <c r="G127" s="3102"/>
      <c r="H127" s="3102"/>
      <c r="I127" s="3101"/>
    </row>
    <row r="128" spans="1:11" ht="21.75" customHeight="1">
      <c r="A128" s="3103" t="s">
        <v>2308</v>
      </c>
      <c r="B128" s="3103"/>
      <c r="C128" s="3103"/>
      <c r="D128" s="3103"/>
      <c r="E128" s="3103"/>
      <c r="F128" s="3103"/>
      <c r="G128" s="3103"/>
      <c r="H128" s="3103"/>
      <c r="I128" s="3103"/>
    </row>
    <row r="129" spans="1:35" ht="21.75" customHeight="1">
      <c r="A129" s="2513" t="s">
        <v>2309</v>
      </c>
      <c r="B129" s="2514"/>
      <c r="C129" s="2515" t="s">
        <v>2310</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2311</v>
      </c>
      <c r="G135" s="2530"/>
      <c r="H135" s="2530"/>
      <c r="I135" s="2531" t="s">
        <v>2312</v>
      </c>
    </row>
    <row r="136" spans="1:35" ht="21.75" customHeight="1">
      <c r="A136" s="795"/>
      <c r="B136" s="253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2314</v>
      </c>
    </row>
    <row r="139" spans="1:35" ht="21.75" customHeight="1">
      <c r="A139" s="795"/>
      <c r="B139" s="2532" t="s">
        <v>2315</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2314</v>
      </c>
    </row>
    <row r="142" spans="1:35" ht="21.75" customHeight="1">
      <c r="A142" s="795"/>
      <c r="B142" s="2532"/>
      <c r="C142" s="2533"/>
      <c r="D142" s="2534"/>
      <c r="E142" s="2534"/>
      <c r="F142" s="2327"/>
      <c r="G142" s="795"/>
      <c r="H142" s="795"/>
      <c r="I142" s="795"/>
    </row>
    <row r="143" spans="1:35" s="139" customFormat="1" ht="21.75" customHeight="1">
      <c r="A143" s="795"/>
      <c r="B143" s="2532"/>
      <c r="C143" s="2533"/>
      <c r="D143" s="2534"/>
      <c r="E143" s="2534"/>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0" customWidth="1"/>
    <col min="2" max="9" width="10" style="1010" customWidth="1"/>
    <col min="10" max="16384" width="9" style="1010"/>
  </cols>
  <sheetData>
    <row r="36" spans="1:9">
      <c r="A36" s="1009" t="s">
        <v>818</v>
      </c>
      <c r="B36" s="1009" t="s">
        <v>819</v>
      </c>
    </row>
    <row r="37" spans="1:9" ht="27.75" customHeight="1">
      <c r="A37" s="1009"/>
      <c r="B37" s="2987" t="str">
        <f>项目基本情况!B1</f>
        <v>预评估</v>
      </c>
      <c r="C37" s="2987"/>
      <c r="D37" s="2987"/>
      <c r="E37" s="2987"/>
      <c r="F37" s="2987"/>
      <c r="G37" s="2987"/>
      <c r="H37" s="2987"/>
      <c r="I37" s="2987"/>
    </row>
    <row r="38" spans="1:9">
      <c r="A38" s="1011"/>
      <c r="B38" s="1011"/>
    </row>
    <row r="39" spans="1:9">
      <c r="A39" s="1009" t="s">
        <v>818</v>
      </c>
      <c r="B39" s="1009" t="s">
        <v>820</v>
      </c>
    </row>
    <row r="40" spans="1:9">
      <c r="A40" s="1009"/>
      <c r="B40" s="1927">
        <f>项目基本情况!B5</f>
        <v>0</v>
      </c>
    </row>
    <row r="41" spans="1:9">
      <c r="A41" s="1009"/>
      <c r="B41" s="1009"/>
    </row>
    <row r="42" spans="1:9">
      <c r="A42" s="1009" t="s">
        <v>818</v>
      </c>
      <c r="B42" s="1009" t="s">
        <v>821</v>
      </c>
    </row>
    <row r="43" spans="1:9">
      <c r="A43" s="1009"/>
      <c r="B43" s="1927" t="s">
        <v>822</v>
      </c>
    </row>
    <row r="44" spans="1:9">
      <c r="A44" s="1009"/>
      <c r="B44" s="1009"/>
    </row>
    <row r="45" spans="1:9">
      <c r="A45" s="1009" t="s">
        <v>818</v>
      </c>
      <c r="B45" s="1009" t="s">
        <v>823</v>
      </c>
    </row>
    <row r="46" spans="1:9" s="1009" customFormat="1">
      <c r="B46" s="1927" t="str">
        <f>项目基本情况!K4</f>
        <v>（注册号：0)、（注册号：0)</v>
      </c>
    </row>
    <row r="47" spans="1:9">
      <c r="A47" s="1009"/>
      <c r="B47" s="1009" t="str">
        <f>项目基本情况!K5</f>
        <v/>
      </c>
    </row>
    <row r="48" spans="1:9">
      <c r="A48" s="1009" t="s">
        <v>818</v>
      </c>
      <c r="B48" s="1009" t="s">
        <v>824</v>
      </c>
    </row>
    <row r="49" spans="2:2">
      <c r="B49" s="192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9"/>
  <sheetViews>
    <sheetView workbookViewId="0">
      <selection activeCell="K19" sqref="K19"/>
    </sheetView>
  </sheetViews>
  <sheetFormatPr defaultRowHeight="13.2"/>
  <cols>
    <col min="1" max="1" width="32.44140625" style="2965" customWidth="1"/>
    <col min="2" max="2" width="6.21875" style="2965" hidden="1" customWidth="1"/>
    <col min="3" max="3" width="11.77734375" style="2965" hidden="1" customWidth="1"/>
    <col min="4" max="4" width="7.88671875" style="2965" hidden="1" customWidth="1"/>
    <col min="5" max="5" width="15.88671875" style="2965" customWidth="1"/>
    <col min="6" max="6" width="10.21875" style="2965" customWidth="1"/>
    <col min="7" max="7" width="8.77734375" style="2965" customWidth="1"/>
    <col min="8" max="8" width="6.21875" style="2965" customWidth="1"/>
    <col min="9" max="10" width="9" style="2965" customWidth="1"/>
    <col min="11" max="11" width="10.6640625" style="2965" customWidth="1"/>
    <col min="12" max="13" width="10.21875" style="2965" customWidth="1"/>
    <col min="14" max="14" width="6.21875" style="2965" customWidth="1"/>
    <col min="15" max="15" width="80.88671875" style="2965" customWidth="1"/>
    <col min="16" max="254" width="9" style="2965"/>
    <col min="255" max="255" width="72" style="2965" customWidth="1"/>
    <col min="256" max="256" width="6.21875" style="2965" customWidth="1"/>
    <col min="257" max="257" width="11.77734375" style="2965" customWidth="1"/>
    <col min="258" max="258" width="7.88671875" style="2965" customWidth="1"/>
    <col min="259" max="259" width="39.6640625" style="2965" customWidth="1"/>
    <col min="260" max="261" width="13.88671875" style="2965" customWidth="1"/>
    <col min="262" max="262" width="6.21875" style="2965" customWidth="1"/>
    <col min="263" max="264" width="9" style="2965" customWidth="1"/>
    <col min="265" max="265" width="80.88671875" style="2965" customWidth="1"/>
    <col min="266" max="267" width="10.6640625" style="2965" customWidth="1"/>
    <col min="268" max="268" width="14.33203125" style="2965" customWidth="1"/>
    <col min="269" max="269" width="6.21875" style="2965" customWidth="1"/>
    <col min="270" max="270" width="7.88671875" style="2965" customWidth="1"/>
    <col min="271" max="510" width="9" style="2965"/>
    <col min="511" max="511" width="72" style="2965" customWidth="1"/>
    <col min="512" max="512" width="6.21875" style="2965" customWidth="1"/>
    <col min="513" max="513" width="11.77734375" style="2965" customWidth="1"/>
    <col min="514" max="514" width="7.88671875" style="2965" customWidth="1"/>
    <col min="515" max="515" width="39.6640625" style="2965" customWidth="1"/>
    <col min="516" max="517" width="13.88671875" style="2965" customWidth="1"/>
    <col min="518" max="518" width="6.21875" style="2965" customWidth="1"/>
    <col min="519" max="520" width="9" style="2965" customWidth="1"/>
    <col min="521" max="521" width="80.88671875" style="2965" customWidth="1"/>
    <col min="522" max="523" width="10.6640625" style="2965" customWidth="1"/>
    <col min="524" max="524" width="14.33203125" style="2965" customWidth="1"/>
    <col min="525" max="525" width="6.21875" style="2965" customWidth="1"/>
    <col min="526" max="526" width="7.88671875" style="2965" customWidth="1"/>
    <col min="527" max="766" width="9" style="2965"/>
    <col min="767" max="767" width="72" style="2965" customWidth="1"/>
    <col min="768" max="768" width="6.21875" style="2965" customWidth="1"/>
    <col min="769" max="769" width="11.77734375" style="2965" customWidth="1"/>
    <col min="770" max="770" width="7.88671875" style="2965" customWidth="1"/>
    <col min="771" max="771" width="39.6640625" style="2965" customWidth="1"/>
    <col min="772" max="773" width="13.88671875" style="2965" customWidth="1"/>
    <col min="774" max="774" width="6.21875" style="2965" customWidth="1"/>
    <col min="775" max="776" width="9" style="2965" customWidth="1"/>
    <col min="777" max="777" width="80.88671875" style="2965" customWidth="1"/>
    <col min="778" max="779" width="10.6640625" style="2965" customWidth="1"/>
    <col min="780" max="780" width="14.33203125" style="2965" customWidth="1"/>
    <col min="781" max="781" width="6.21875" style="2965" customWidth="1"/>
    <col min="782" max="782" width="7.88671875" style="2965" customWidth="1"/>
    <col min="783" max="1022" width="9" style="2965"/>
    <col min="1023" max="1023" width="72" style="2965" customWidth="1"/>
    <col min="1024" max="1024" width="6.21875" style="2965" customWidth="1"/>
    <col min="1025" max="1025" width="11.77734375" style="2965" customWidth="1"/>
    <col min="1026" max="1026" width="7.88671875" style="2965" customWidth="1"/>
    <col min="1027" max="1027" width="39.6640625" style="2965" customWidth="1"/>
    <col min="1028" max="1029" width="13.88671875" style="2965" customWidth="1"/>
    <col min="1030" max="1030" width="6.21875" style="2965" customWidth="1"/>
    <col min="1031" max="1032" width="9" style="2965" customWidth="1"/>
    <col min="1033" max="1033" width="80.88671875" style="2965" customWidth="1"/>
    <col min="1034" max="1035" width="10.6640625" style="2965" customWidth="1"/>
    <col min="1036" max="1036" width="14.33203125" style="2965" customWidth="1"/>
    <col min="1037" max="1037" width="6.21875" style="2965" customWidth="1"/>
    <col min="1038" max="1038" width="7.88671875" style="2965" customWidth="1"/>
    <col min="1039" max="1278" width="9" style="2965"/>
    <col min="1279" max="1279" width="72" style="2965" customWidth="1"/>
    <col min="1280" max="1280" width="6.21875" style="2965" customWidth="1"/>
    <col min="1281" max="1281" width="11.77734375" style="2965" customWidth="1"/>
    <col min="1282" max="1282" width="7.88671875" style="2965" customWidth="1"/>
    <col min="1283" max="1283" width="39.6640625" style="2965" customWidth="1"/>
    <col min="1284" max="1285" width="13.88671875" style="2965" customWidth="1"/>
    <col min="1286" max="1286" width="6.21875" style="2965" customWidth="1"/>
    <col min="1287" max="1288" width="9" style="2965" customWidth="1"/>
    <col min="1289" max="1289" width="80.88671875" style="2965" customWidth="1"/>
    <col min="1290" max="1291" width="10.6640625" style="2965" customWidth="1"/>
    <col min="1292" max="1292" width="14.33203125" style="2965" customWidth="1"/>
    <col min="1293" max="1293" width="6.21875" style="2965" customWidth="1"/>
    <col min="1294" max="1294" width="7.88671875" style="2965" customWidth="1"/>
    <col min="1295" max="1534" width="9" style="2965"/>
    <col min="1535" max="1535" width="72" style="2965" customWidth="1"/>
    <col min="1536" max="1536" width="6.21875" style="2965" customWidth="1"/>
    <col min="1537" max="1537" width="11.77734375" style="2965" customWidth="1"/>
    <col min="1538" max="1538" width="7.88671875" style="2965" customWidth="1"/>
    <col min="1539" max="1539" width="39.6640625" style="2965" customWidth="1"/>
    <col min="1540" max="1541" width="13.88671875" style="2965" customWidth="1"/>
    <col min="1542" max="1542" width="6.21875" style="2965" customWidth="1"/>
    <col min="1543" max="1544" width="9" style="2965" customWidth="1"/>
    <col min="1545" max="1545" width="80.88671875" style="2965" customWidth="1"/>
    <col min="1546" max="1547" width="10.6640625" style="2965" customWidth="1"/>
    <col min="1548" max="1548" width="14.33203125" style="2965" customWidth="1"/>
    <col min="1549" max="1549" width="6.21875" style="2965" customWidth="1"/>
    <col min="1550" max="1550" width="7.88671875" style="2965" customWidth="1"/>
    <col min="1551" max="1790" width="9" style="2965"/>
    <col min="1791" max="1791" width="72" style="2965" customWidth="1"/>
    <col min="1792" max="1792" width="6.21875" style="2965" customWidth="1"/>
    <col min="1793" max="1793" width="11.77734375" style="2965" customWidth="1"/>
    <col min="1794" max="1794" width="7.88671875" style="2965" customWidth="1"/>
    <col min="1795" max="1795" width="39.6640625" style="2965" customWidth="1"/>
    <col min="1796" max="1797" width="13.88671875" style="2965" customWidth="1"/>
    <col min="1798" max="1798" width="6.21875" style="2965" customWidth="1"/>
    <col min="1799" max="1800" width="9" style="2965" customWidth="1"/>
    <col min="1801" max="1801" width="80.88671875" style="2965" customWidth="1"/>
    <col min="1802" max="1803" width="10.6640625" style="2965" customWidth="1"/>
    <col min="1804" max="1804" width="14.33203125" style="2965" customWidth="1"/>
    <col min="1805" max="1805" width="6.21875" style="2965" customWidth="1"/>
    <col min="1806" max="1806" width="7.88671875" style="2965" customWidth="1"/>
    <col min="1807" max="2046" width="9" style="2965"/>
    <col min="2047" max="2047" width="72" style="2965" customWidth="1"/>
    <col min="2048" max="2048" width="6.21875" style="2965" customWidth="1"/>
    <col min="2049" max="2049" width="11.77734375" style="2965" customWidth="1"/>
    <col min="2050" max="2050" width="7.88671875" style="2965" customWidth="1"/>
    <col min="2051" max="2051" width="39.6640625" style="2965" customWidth="1"/>
    <col min="2052" max="2053" width="13.88671875" style="2965" customWidth="1"/>
    <col min="2054" max="2054" width="6.21875" style="2965" customWidth="1"/>
    <col min="2055" max="2056" width="9" style="2965" customWidth="1"/>
    <col min="2057" max="2057" width="80.88671875" style="2965" customWidth="1"/>
    <col min="2058" max="2059" width="10.6640625" style="2965" customWidth="1"/>
    <col min="2060" max="2060" width="14.33203125" style="2965" customWidth="1"/>
    <col min="2061" max="2061" width="6.21875" style="2965" customWidth="1"/>
    <col min="2062" max="2062" width="7.88671875" style="2965" customWidth="1"/>
    <col min="2063" max="2302" width="9" style="2965"/>
    <col min="2303" max="2303" width="72" style="2965" customWidth="1"/>
    <col min="2304" max="2304" width="6.21875" style="2965" customWidth="1"/>
    <col min="2305" max="2305" width="11.77734375" style="2965" customWidth="1"/>
    <col min="2306" max="2306" width="7.88671875" style="2965" customWidth="1"/>
    <col min="2307" max="2307" width="39.6640625" style="2965" customWidth="1"/>
    <col min="2308" max="2309" width="13.88671875" style="2965" customWidth="1"/>
    <col min="2310" max="2310" width="6.21875" style="2965" customWidth="1"/>
    <col min="2311" max="2312" width="9" style="2965" customWidth="1"/>
    <col min="2313" max="2313" width="80.88671875" style="2965" customWidth="1"/>
    <col min="2314" max="2315" width="10.6640625" style="2965" customWidth="1"/>
    <col min="2316" max="2316" width="14.33203125" style="2965" customWidth="1"/>
    <col min="2317" max="2317" width="6.21875" style="2965" customWidth="1"/>
    <col min="2318" max="2318" width="7.88671875" style="2965" customWidth="1"/>
    <col min="2319" max="2558" width="9" style="2965"/>
    <col min="2559" max="2559" width="72" style="2965" customWidth="1"/>
    <col min="2560" max="2560" width="6.21875" style="2965" customWidth="1"/>
    <col min="2561" max="2561" width="11.77734375" style="2965" customWidth="1"/>
    <col min="2562" max="2562" width="7.88671875" style="2965" customWidth="1"/>
    <col min="2563" max="2563" width="39.6640625" style="2965" customWidth="1"/>
    <col min="2564" max="2565" width="13.88671875" style="2965" customWidth="1"/>
    <col min="2566" max="2566" width="6.21875" style="2965" customWidth="1"/>
    <col min="2567" max="2568" width="9" style="2965" customWidth="1"/>
    <col min="2569" max="2569" width="80.88671875" style="2965" customWidth="1"/>
    <col min="2570" max="2571" width="10.6640625" style="2965" customWidth="1"/>
    <col min="2572" max="2572" width="14.33203125" style="2965" customWidth="1"/>
    <col min="2573" max="2573" width="6.21875" style="2965" customWidth="1"/>
    <col min="2574" max="2574" width="7.88671875" style="2965" customWidth="1"/>
    <col min="2575" max="2814" width="9" style="2965"/>
    <col min="2815" max="2815" width="72" style="2965" customWidth="1"/>
    <col min="2816" max="2816" width="6.21875" style="2965" customWidth="1"/>
    <col min="2817" max="2817" width="11.77734375" style="2965" customWidth="1"/>
    <col min="2818" max="2818" width="7.88671875" style="2965" customWidth="1"/>
    <col min="2819" max="2819" width="39.6640625" style="2965" customWidth="1"/>
    <col min="2820" max="2821" width="13.88671875" style="2965" customWidth="1"/>
    <col min="2822" max="2822" width="6.21875" style="2965" customWidth="1"/>
    <col min="2823" max="2824" width="9" style="2965" customWidth="1"/>
    <col min="2825" max="2825" width="80.88671875" style="2965" customWidth="1"/>
    <col min="2826" max="2827" width="10.6640625" style="2965" customWidth="1"/>
    <col min="2828" max="2828" width="14.33203125" style="2965" customWidth="1"/>
    <col min="2829" max="2829" width="6.21875" style="2965" customWidth="1"/>
    <col min="2830" max="2830" width="7.88671875" style="2965" customWidth="1"/>
    <col min="2831" max="3070" width="9" style="2965"/>
    <col min="3071" max="3071" width="72" style="2965" customWidth="1"/>
    <col min="3072" max="3072" width="6.21875" style="2965" customWidth="1"/>
    <col min="3073" max="3073" width="11.77734375" style="2965" customWidth="1"/>
    <col min="3074" max="3074" width="7.88671875" style="2965" customWidth="1"/>
    <col min="3075" max="3075" width="39.6640625" style="2965" customWidth="1"/>
    <col min="3076" max="3077" width="13.88671875" style="2965" customWidth="1"/>
    <col min="3078" max="3078" width="6.21875" style="2965" customWidth="1"/>
    <col min="3079" max="3080" width="9" style="2965" customWidth="1"/>
    <col min="3081" max="3081" width="80.88671875" style="2965" customWidth="1"/>
    <col min="3082" max="3083" width="10.6640625" style="2965" customWidth="1"/>
    <col min="3084" max="3084" width="14.33203125" style="2965" customWidth="1"/>
    <col min="3085" max="3085" width="6.21875" style="2965" customWidth="1"/>
    <col min="3086" max="3086" width="7.88671875" style="2965" customWidth="1"/>
    <col min="3087" max="3326" width="9" style="2965"/>
    <col min="3327" max="3327" width="72" style="2965" customWidth="1"/>
    <col min="3328" max="3328" width="6.21875" style="2965" customWidth="1"/>
    <col min="3329" max="3329" width="11.77734375" style="2965" customWidth="1"/>
    <col min="3330" max="3330" width="7.88671875" style="2965" customWidth="1"/>
    <col min="3331" max="3331" width="39.6640625" style="2965" customWidth="1"/>
    <col min="3332" max="3333" width="13.88671875" style="2965" customWidth="1"/>
    <col min="3334" max="3334" width="6.21875" style="2965" customWidth="1"/>
    <col min="3335" max="3336" width="9" style="2965" customWidth="1"/>
    <col min="3337" max="3337" width="80.88671875" style="2965" customWidth="1"/>
    <col min="3338" max="3339" width="10.6640625" style="2965" customWidth="1"/>
    <col min="3340" max="3340" width="14.33203125" style="2965" customWidth="1"/>
    <col min="3341" max="3341" width="6.21875" style="2965" customWidth="1"/>
    <col min="3342" max="3342" width="7.88671875" style="2965" customWidth="1"/>
    <col min="3343" max="3582" width="9" style="2965"/>
    <col min="3583" max="3583" width="72" style="2965" customWidth="1"/>
    <col min="3584" max="3584" width="6.21875" style="2965" customWidth="1"/>
    <col min="3585" max="3585" width="11.77734375" style="2965" customWidth="1"/>
    <col min="3586" max="3586" width="7.88671875" style="2965" customWidth="1"/>
    <col min="3587" max="3587" width="39.6640625" style="2965" customWidth="1"/>
    <col min="3588" max="3589" width="13.88671875" style="2965" customWidth="1"/>
    <col min="3590" max="3590" width="6.21875" style="2965" customWidth="1"/>
    <col min="3591" max="3592" width="9" style="2965" customWidth="1"/>
    <col min="3593" max="3593" width="80.88671875" style="2965" customWidth="1"/>
    <col min="3594" max="3595" width="10.6640625" style="2965" customWidth="1"/>
    <col min="3596" max="3596" width="14.33203125" style="2965" customWidth="1"/>
    <col min="3597" max="3597" width="6.21875" style="2965" customWidth="1"/>
    <col min="3598" max="3598" width="7.88671875" style="2965" customWidth="1"/>
    <col min="3599" max="3838" width="9" style="2965"/>
    <col min="3839" max="3839" width="72" style="2965" customWidth="1"/>
    <col min="3840" max="3840" width="6.21875" style="2965" customWidth="1"/>
    <col min="3841" max="3841" width="11.77734375" style="2965" customWidth="1"/>
    <col min="3842" max="3842" width="7.88671875" style="2965" customWidth="1"/>
    <col min="3843" max="3843" width="39.6640625" style="2965" customWidth="1"/>
    <col min="3844" max="3845" width="13.88671875" style="2965" customWidth="1"/>
    <col min="3846" max="3846" width="6.21875" style="2965" customWidth="1"/>
    <col min="3847" max="3848" width="9" style="2965" customWidth="1"/>
    <col min="3849" max="3849" width="80.88671875" style="2965" customWidth="1"/>
    <col min="3850" max="3851" width="10.6640625" style="2965" customWidth="1"/>
    <col min="3852" max="3852" width="14.33203125" style="2965" customWidth="1"/>
    <col min="3853" max="3853" width="6.21875" style="2965" customWidth="1"/>
    <col min="3854" max="3854" width="7.88671875" style="2965" customWidth="1"/>
    <col min="3855" max="4094" width="9" style="2965"/>
    <col min="4095" max="4095" width="72" style="2965" customWidth="1"/>
    <col min="4096" max="4096" width="6.21875" style="2965" customWidth="1"/>
    <col min="4097" max="4097" width="11.77734375" style="2965" customWidth="1"/>
    <col min="4098" max="4098" width="7.88671875" style="2965" customWidth="1"/>
    <col min="4099" max="4099" width="39.6640625" style="2965" customWidth="1"/>
    <col min="4100" max="4101" width="13.88671875" style="2965" customWidth="1"/>
    <col min="4102" max="4102" width="6.21875" style="2965" customWidth="1"/>
    <col min="4103" max="4104" width="9" style="2965" customWidth="1"/>
    <col min="4105" max="4105" width="80.88671875" style="2965" customWidth="1"/>
    <col min="4106" max="4107" width="10.6640625" style="2965" customWidth="1"/>
    <col min="4108" max="4108" width="14.33203125" style="2965" customWidth="1"/>
    <col min="4109" max="4109" width="6.21875" style="2965" customWidth="1"/>
    <col min="4110" max="4110" width="7.88671875" style="2965" customWidth="1"/>
    <col min="4111" max="4350" width="9" style="2965"/>
    <col min="4351" max="4351" width="72" style="2965" customWidth="1"/>
    <col min="4352" max="4352" width="6.21875" style="2965" customWidth="1"/>
    <col min="4353" max="4353" width="11.77734375" style="2965" customWidth="1"/>
    <col min="4354" max="4354" width="7.88671875" style="2965" customWidth="1"/>
    <col min="4355" max="4355" width="39.6640625" style="2965" customWidth="1"/>
    <col min="4356" max="4357" width="13.88671875" style="2965" customWidth="1"/>
    <col min="4358" max="4358" width="6.21875" style="2965" customWidth="1"/>
    <col min="4359" max="4360" width="9" style="2965" customWidth="1"/>
    <col min="4361" max="4361" width="80.88671875" style="2965" customWidth="1"/>
    <col min="4362" max="4363" width="10.6640625" style="2965" customWidth="1"/>
    <col min="4364" max="4364" width="14.33203125" style="2965" customWidth="1"/>
    <col min="4365" max="4365" width="6.21875" style="2965" customWidth="1"/>
    <col min="4366" max="4366" width="7.88671875" style="2965" customWidth="1"/>
    <col min="4367" max="4606" width="9" style="2965"/>
    <col min="4607" max="4607" width="72" style="2965" customWidth="1"/>
    <col min="4608" max="4608" width="6.21875" style="2965" customWidth="1"/>
    <col min="4609" max="4609" width="11.77734375" style="2965" customWidth="1"/>
    <col min="4610" max="4610" width="7.88671875" style="2965" customWidth="1"/>
    <col min="4611" max="4611" width="39.6640625" style="2965" customWidth="1"/>
    <col min="4612" max="4613" width="13.88671875" style="2965" customWidth="1"/>
    <col min="4614" max="4614" width="6.21875" style="2965" customWidth="1"/>
    <col min="4615" max="4616" width="9" style="2965" customWidth="1"/>
    <col min="4617" max="4617" width="80.88671875" style="2965" customWidth="1"/>
    <col min="4618" max="4619" width="10.6640625" style="2965" customWidth="1"/>
    <col min="4620" max="4620" width="14.33203125" style="2965" customWidth="1"/>
    <col min="4621" max="4621" width="6.21875" style="2965" customWidth="1"/>
    <col min="4622" max="4622" width="7.88671875" style="2965" customWidth="1"/>
    <col min="4623" max="4862" width="9" style="2965"/>
    <col min="4863" max="4863" width="72" style="2965" customWidth="1"/>
    <col min="4864" max="4864" width="6.21875" style="2965" customWidth="1"/>
    <col min="4865" max="4865" width="11.77734375" style="2965" customWidth="1"/>
    <col min="4866" max="4866" width="7.88671875" style="2965" customWidth="1"/>
    <col min="4867" max="4867" width="39.6640625" style="2965" customWidth="1"/>
    <col min="4868" max="4869" width="13.88671875" style="2965" customWidth="1"/>
    <col min="4870" max="4870" width="6.21875" style="2965" customWidth="1"/>
    <col min="4871" max="4872" width="9" style="2965" customWidth="1"/>
    <col min="4873" max="4873" width="80.88671875" style="2965" customWidth="1"/>
    <col min="4874" max="4875" width="10.6640625" style="2965" customWidth="1"/>
    <col min="4876" max="4876" width="14.33203125" style="2965" customWidth="1"/>
    <col min="4877" max="4877" width="6.21875" style="2965" customWidth="1"/>
    <col min="4878" max="4878" width="7.88671875" style="2965" customWidth="1"/>
    <col min="4879" max="5118" width="9" style="2965"/>
    <col min="5119" max="5119" width="72" style="2965" customWidth="1"/>
    <col min="5120" max="5120" width="6.21875" style="2965" customWidth="1"/>
    <col min="5121" max="5121" width="11.77734375" style="2965" customWidth="1"/>
    <col min="5122" max="5122" width="7.88671875" style="2965" customWidth="1"/>
    <col min="5123" max="5123" width="39.6640625" style="2965" customWidth="1"/>
    <col min="5124" max="5125" width="13.88671875" style="2965" customWidth="1"/>
    <col min="5126" max="5126" width="6.21875" style="2965" customWidth="1"/>
    <col min="5127" max="5128" width="9" style="2965" customWidth="1"/>
    <col min="5129" max="5129" width="80.88671875" style="2965" customWidth="1"/>
    <col min="5130" max="5131" width="10.6640625" style="2965" customWidth="1"/>
    <col min="5132" max="5132" width="14.33203125" style="2965" customWidth="1"/>
    <col min="5133" max="5133" width="6.21875" style="2965" customWidth="1"/>
    <col min="5134" max="5134" width="7.88671875" style="2965" customWidth="1"/>
    <col min="5135" max="5374" width="9" style="2965"/>
    <col min="5375" max="5375" width="72" style="2965" customWidth="1"/>
    <col min="5376" max="5376" width="6.21875" style="2965" customWidth="1"/>
    <col min="5377" max="5377" width="11.77734375" style="2965" customWidth="1"/>
    <col min="5378" max="5378" width="7.88671875" style="2965" customWidth="1"/>
    <col min="5379" max="5379" width="39.6640625" style="2965" customWidth="1"/>
    <col min="5380" max="5381" width="13.88671875" style="2965" customWidth="1"/>
    <col min="5382" max="5382" width="6.21875" style="2965" customWidth="1"/>
    <col min="5383" max="5384" width="9" style="2965" customWidth="1"/>
    <col min="5385" max="5385" width="80.88671875" style="2965" customWidth="1"/>
    <col min="5386" max="5387" width="10.6640625" style="2965" customWidth="1"/>
    <col min="5388" max="5388" width="14.33203125" style="2965" customWidth="1"/>
    <col min="5389" max="5389" width="6.21875" style="2965" customWidth="1"/>
    <col min="5390" max="5390" width="7.88671875" style="2965" customWidth="1"/>
    <col min="5391" max="5630" width="9" style="2965"/>
    <col min="5631" max="5631" width="72" style="2965" customWidth="1"/>
    <col min="5632" max="5632" width="6.21875" style="2965" customWidth="1"/>
    <col min="5633" max="5633" width="11.77734375" style="2965" customWidth="1"/>
    <col min="5634" max="5634" width="7.88671875" style="2965" customWidth="1"/>
    <col min="5635" max="5635" width="39.6640625" style="2965" customWidth="1"/>
    <col min="5636" max="5637" width="13.88671875" style="2965" customWidth="1"/>
    <col min="5638" max="5638" width="6.21875" style="2965" customWidth="1"/>
    <col min="5639" max="5640" width="9" style="2965" customWidth="1"/>
    <col min="5641" max="5641" width="80.88671875" style="2965" customWidth="1"/>
    <col min="5642" max="5643" width="10.6640625" style="2965" customWidth="1"/>
    <col min="5644" max="5644" width="14.33203125" style="2965" customWidth="1"/>
    <col min="5645" max="5645" width="6.21875" style="2965" customWidth="1"/>
    <col min="5646" max="5646" width="7.88671875" style="2965" customWidth="1"/>
    <col min="5647" max="5886" width="9" style="2965"/>
    <col min="5887" max="5887" width="72" style="2965" customWidth="1"/>
    <col min="5888" max="5888" width="6.21875" style="2965" customWidth="1"/>
    <col min="5889" max="5889" width="11.77734375" style="2965" customWidth="1"/>
    <col min="5890" max="5890" width="7.88671875" style="2965" customWidth="1"/>
    <col min="5891" max="5891" width="39.6640625" style="2965" customWidth="1"/>
    <col min="5892" max="5893" width="13.88671875" style="2965" customWidth="1"/>
    <col min="5894" max="5894" width="6.21875" style="2965" customWidth="1"/>
    <col min="5895" max="5896" width="9" style="2965" customWidth="1"/>
    <col min="5897" max="5897" width="80.88671875" style="2965" customWidth="1"/>
    <col min="5898" max="5899" width="10.6640625" style="2965" customWidth="1"/>
    <col min="5900" max="5900" width="14.33203125" style="2965" customWidth="1"/>
    <col min="5901" max="5901" width="6.21875" style="2965" customWidth="1"/>
    <col min="5902" max="5902" width="7.88671875" style="2965" customWidth="1"/>
    <col min="5903" max="6142" width="9" style="2965"/>
    <col min="6143" max="6143" width="72" style="2965" customWidth="1"/>
    <col min="6144" max="6144" width="6.21875" style="2965" customWidth="1"/>
    <col min="6145" max="6145" width="11.77734375" style="2965" customWidth="1"/>
    <col min="6146" max="6146" width="7.88671875" style="2965" customWidth="1"/>
    <col min="6147" max="6147" width="39.6640625" style="2965" customWidth="1"/>
    <col min="6148" max="6149" width="13.88671875" style="2965" customWidth="1"/>
    <col min="6150" max="6150" width="6.21875" style="2965" customWidth="1"/>
    <col min="6151" max="6152" width="9" style="2965" customWidth="1"/>
    <col min="6153" max="6153" width="80.88671875" style="2965" customWidth="1"/>
    <col min="6154" max="6155" width="10.6640625" style="2965" customWidth="1"/>
    <col min="6156" max="6156" width="14.33203125" style="2965" customWidth="1"/>
    <col min="6157" max="6157" width="6.21875" style="2965" customWidth="1"/>
    <col min="6158" max="6158" width="7.88671875" style="2965" customWidth="1"/>
    <col min="6159" max="6398" width="9" style="2965"/>
    <col min="6399" max="6399" width="72" style="2965" customWidth="1"/>
    <col min="6400" max="6400" width="6.21875" style="2965" customWidth="1"/>
    <col min="6401" max="6401" width="11.77734375" style="2965" customWidth="1"/>
    <col min="6402" max="6402" width="7.88671875" style="2965" customWidth="1"/>
    <col min="6403" max="6403" width="39.6640625" style="2965" customWidth="1"/>
    <col min="6404" max="6405" width="13.88671875" style="2965" customWidth="1"/>
    <col min="6406" max="6406" width="6.21875" style="2965" customWidth="1"/>
    <col min="6407" max="6408" width="9" style="2965" customWidth="1"/>
    <col min="6409" max="6409" width="80.88671875" style="2965" customWidth="1"/>
    <col min="6410" max="6411" width="10.6640625" style="2965" customWidth="1"/>
    <col min="6412" max="6412" width="14.33203125" style="2965" customWidth="1"/>
    <col min="6413" max="6413" width="6.21875" style="2965" customWidth="1"/>
    <col min="6414" max="6414" width="7.88671875" style="2965" customWidth="1"/>
    <col min="6415" max="6654" width="9" style="2965"/>
    <col min="6655" max="6655" width="72" style="2965" customWidth="1"/>
    <col min="6656" max="6656" width="6.21875" style="2965" customWidth="1"/>
    <col min="6657" max="6657" width="11.77734375" style="2965" customWidth="1"/>
    <col min="6658" max="6658" width="7.88671875" style="2965" customWidth="1"/>
    <col min="6659" max="6659" width="39.6640625" style="2965" customWidth="1"/>
    <col min="6660" max="6661" width="13.88671875" style="2965" customWidth="1"/>
    <col min="6662" max="6662" width="6.21875" style="2965" customWidth="1"/>
    <col min="6663" max="6664" width="9" style="2965" customWidth="1"/>
    <col min="6665" max="6665" width="80.88671875" style="2965" customWidth="1"/>
    <col min="6666" max="6667" width="10.6640625" style="2965" customWidth="1"/>
    <col min="6668" max="6668" width="14.33203125" style="2965" customWidth="1"/>
    <col min="6669" max="6669" width="6.21875" style="2965" customWidth="1"/>
    <col min="6670" max="6670" width="7.88671875" style="2965" customWidth="1"/>
    <col min="6671" max="6910" width="9" style="2965"/>
    <col min="6911" max="6911" width="72" style="2965" customWidth="1"/>
    <col min="6912" max="6912" width="6.21875" style="2965" customWidth="1"/>
    <col min="6913" max="6913" width="11.77734375" style="2965" customWidth="1"/>
    <col min="6914" max="6914" width="7.88671875" style="2965" customWidth="1"/>
    <col min="6915" max="6915" width="39.6640625" style="2965" customWidth="1"/>
    <col min="6916" max="6917" width="13.88671875" style="2965" customWidth="1"/>
    <col min="6918" max="6918" width="6.21875" style="2965" customWidth="1"/>
    <col min="6919" max="6920" width="9" style="2965" customWidth="1"/>
    <col min="6921" max="6921" width="80.88671875" style="2965" customWidth="1"/>
    <col min="6922" max="6923" width="10.6640625" style="2965" customWidth="1"/>
    <col min="6924" max="6924" width="14.33203125" style="2965" customWidth="1"/>
    <col min="6925" max="6925" width="6.21875" style="2965" customWidth="1"/>
    <col min="6926" max="6926" width="7.88671875" style="2965" customWidth="1"/>
    <col min="6927" max="7166" width="9" style="2965"/>
    <col min="7167" max="7167" width="72" style="2965" customWidth="1"/>
    <col min="7168" max="7168" width="6.21875" style="2965" customWidth="1"/>
    <col min="7169" max="7169" width="11.77734375" style="2965" customWidth="1"/>
    <col min="7170" max="7170" width="7.88671875" style="2965" customWidth="1"/>
    <col min="7171" max="7171" width="39.6640625" style="2965" customWidth="1"/>
    <col min="7172" max="7173" width="13.88671875" style="2965" customWidth="1"/>
    <col min="7174" max="7174" width="6.21875" style="2965" customWidth="1"/>
    <col min="7175" max="7176" width="9" style="2965" customWidth="1"/>
    <col min="7177" max="7177" width="80.88671875" style="2965" customWidth="1"/>
    <col min="7178" max="7179" width="10.6640625" style="2965" customWidth="1"/>
    <col min="7180" max="7180" width="14.33203125" style="2965" customWidth="1"/>
    <col min="7181" max="7181" width="6.21875" style="2965" customWidth="1"/>
    <col min="7182" max="7182" width="7.88671875" style="2965" customWidth="1"/>
    <col min="7183" max="7422" width="9" style="2965"/>
    <col min="7423" max="7423" width="72" style="2965" customWidth="1"/>
    <col min="7424" max="7424" width="6.21875" style="2965" customWidth="1"/>
    <col min="7425" max="7425" width="11.77734375" style="2965" customWidth="1"/>
    <col min="7426" max="7426" width="7.88671875" style="2965" customWidth="1"/>
    <col min="7427" max="7427" width="39.6640625" style="2965" customWidth="1"/>
    <col min="7428" max="7429" width="13.88671875" style="2965" customWidth="1"/>
    <col min="7430" max="7430" width="6.21875" style="2965" customWidth="1"/>
    <col min="7431" max="7432" width="9" style="2965" customWidth="1"/>
    <col min="7433" max="7433" width="80.88671875" style="2965" customWidth="1"/>
    <col min="7434" max="7435" width="10.6640625" style="2965" customWidth="1"/>
    <col min="7436" max="7436" width="14.33203125" style="2965" customWidth="1"/>
    <col min="7437" max="7437" width="6.21875" style="2965" customWidth="1"/>
    <col min="7438" max="7438" width="7.88671875" style="2965" customWidth="1"/>
    <col min="7439" max="7678" width="9" style="2965"/>
    <col min="7679" max="7679" width="72" style="2965" customWidth="1"/>
    <col min="7680" max="7680" width="6.21875" style="2965" customWidth="1"/>
    <col min="7681" max="7681" width="11.77734375" style="2965" customWidth="1"/>
    <col min="7682" max="7682" width="7.88671875" style="2965" customWidth="1"/>
    <col min="7683" max="7683" width="39.6640625" style="2965" customWidth="1"/>
    <col min="7684" max="7685" width="13.88671875" style="2965" customWidth="1"/>
    <col min="7686" max="7686" width="6.21875" style="2965" customWidth="1"/>
    <col min="7687" max="7688" width="9" style="2965" customWidth="1"/>
    <col min="7689" max="7689" width="80.88671875" style="2965" customWidth="1"/>
    <col min="7690" max="7691" width="10.6640625" style="2965" customWidth="1"/>
    <col min="7692" max="7692" width="14.33203125" style="2965" customWidth="1"/>
    <col min="7693" max="7693" width="6.21875" style="2965" customWidth="1"/>
    <col min="7694" max="7694" width="7.88671875" style="2965" customWidth="1"/>
    <col min="7695" max="7934" width="9" style="2965"/>
    <col min="7935" max="7935" width="72" style="2965" customWidth="1"/>
    <col min="7936" max="7936" width="6.21875" style="2965" customWidth="1"/>
    <col min="7937" max="7937" width="11.77734375" style="2965" customWidth="1"/>
    <col min="7938" max="7938" width="7.88671875" style="2965" customWidth="1"/>
    <col min="7939" max="7939" width="39.6640625" style="2965" customWidth="1"/>
    <col min="7940" max="7941" width="13.88671875" style="2965" customWidth="1"/>
    <col min="7942" max="7942" width="6.21875" style="2965" customWidth="1"/>
    <col min="7943" max="7944" width="9" style="2965" customWidth="1"/>
    <col min="7945" max="7945" width="80.88671875" style="2965" customWidth="1"/>
    <col min="7946" max="7947" width="10.6640625" style="2965" customWidth="1"/>
    <col min="7948" max="7948" width="14.33203125" style="2965" customWidth="1"/>
    <col min="7949" max="7949" width="6.21875" style="2965" customWidth="1"/>
    <col min="7950" max="7950" width="7.88671875" style="2965" customWidth="1"/>
    <col min="7951" max="8190" width="9" style="2965"/>
    <col min="8191" max="8191" width="72" style="2965" customWidth="1"/>
    <col min="8192" max="8192" width="6.21875" style="2965" customWidth="1"/>
    <col min="8193" max="8193" width="11.77734375" style="2965" customWidth="1"/>
    <col min="8194" max="8194" width="7.88671875" style="2965" customWidth="1"/>
    <col min="8195" max="8195" width="39.6640625" style="2965" customWidth="1"/>
    <col min="8196" max="8197" width="13.88671875" style="2965" customWidth="1"/>
    <col min="8198" max="8198" width="6.21875" style="2965" customWidth="1"/>
    <col min="8199" max="8200" width="9" style="2965" customWidth="1"/>
    <col min="8201" max="8201" width="80.88671875" style="2965" customWidth="1"/>
    <col min="8202" max="8203" width="10.6640625" style="2965" customWidth="1"/>
    <col min="8204" max="8204" width="14.33203125" style="2965" customWidth="1"/>
    <col min="8205" max="8205" width="6.21875" style="2965" customWidth="1"/>
    <col min="8206" max="8206" width="7.88671875" style="2965" customWidth="1"/>
    <col min="8207" max="8446" width="9" style="2965"/>
    <col min="8447" max="8447" width="72" style="2965" customWidth="1"/>
    <col min="8448" max="8448" width="6.21875" style="2965" customWidth="1"/>
    <col min="8449" max="8449" width="11.77734375" style="2965" customWidth="1"/>
    <col min="8450" max="8450" width="7.88671875" style="2965" customWidth="1"/>
    <col min="8451" max="8451" width="39.6640625" style="2965" customWidth="1"/>
    <col min="8452" max="8453" width="13.88671875" style="2965" customWidth="1"/>
    <col min="8454" max="8454" width="6.21875" style="2965" customWidth="1"/>
    <col min="8455" max="8456" width="9" style="2965" customWidth="1"/>
    <col min="8457" max="8457" width="80.88671875" style="2965" customWidth="1"/>
    <col min="8458" max="8459" width="10.6640625" style="2965" customWidth="1"/>
    <col min="8460" max="8460" width="14.33203125" style="2965" customWidth="1"/>
    <col min="8461" max="8461" width="6.21875" style="2965" customWidth="1"/>
    <col min="8462" max="8462" width="7.88671875" style="2965" customWidth="1"/>
    <col min="8463" max="8702" width="9" style="2965"/>
    <col min="8703" max="8703" width="72" style="2965" customWidth="1"/>
    <col min="8704" max="8704" width="6.21875" style="2965" customWidth="1"/>
    <col min="8705" max="8705" width="11.77734375" style="2965" customWidth="1"/>
    <col min="8706" max="8706" width="7.88671875" style="2965" customWidth="1"/>
    <col min="8707" max="8707" width="39.6640625" style="2965" customWidth="1"/>
    <col min="8708" max="8709" width="13.88671875" style="2965" customWidth="1"/>
    <col min="8710" max="8710" width="6.21875" style="2965" customWidth="1"/>
    <col min="8711" max="8712" width="9" style="2965" customWidth="1"/>
    <col min="8713" max="8713" width="80.88671875" style="2965" customWidth="1"/>
    <col min="8714" max="8715" width="10.6640625" style="2965" customWidth="1"/>
    <col min="8716" max="8716" width="14.33203125" style="2965" customWidth="1"/>
    <col min="8717" max="8717" width="6.21875" style="2965" customWidth="1"/>
    <col min="8718" max="8718" width="7.88671875" style="2965" customWidth="1"/>
    <col min="8719" max="8958" width="9" style="2965"/>
    <col min="8959" max="8959" width="72" style="2965" customWidth="1"/>
    <col min="8960" max="8960" width="6.21875" style="2965" customWidth="1"/>
    <col min="8961" max="8961" width="11.77734375" style="2965" customWidth="1"/>
    <col min="8962" max="8962" width="7.88671875" style="2965" customWidth="1"/>
    <col min="8963" max="8963" width="39.6640625" style="2965" customWidth="1"/>
    <col min="8964" max="8965" width="13.88671875" style="2965" customWidth="1"/>
    <col min="8966" max="8966" width="6.21875" style="2965" customWidth="1"/>
    <col min="8967" max="8968" width="9" style="2965" customWidth="1"/>
    <col min="8969" max="8969" width="80.88671875" style="2965" customWidth="1"/>
    <col min="8970" max="8971" width="10.6640625" style="2965" customWidth="1"/>
    <col min="8972" max="8972" width="14.33203125" style="2965" customWidth="1"/>
    <col min="8973" max="8973" width="6.21875" style="2965" customWidth="1"/>
    <col min="8974" max="8974" width="7.88671875" style="2965" customWidth="1"/>
    <col min="8975" max="9214" width="9" style="2965"/>
    <col min="9215" max="9215" width="72" style="2965" customWidth="1"/>
    <col min="9216" max="9216" width="6.21875" style="2965" customWidth="1"/>
    <col min="9217" max="9217" width="11.77734375" style="2965" customWidth="1"/>
    <col min="9218" max="9218" width="7.88671875" style="2965" customWidth="1"/>
    <col min="9219" max="9219" width="39.6640625" style="2965" customWidth="1"/>
    <col min="9220" max="9221" width="13.88671875" style="2965" customWidth="1"/>
    <col min="9222" max="9222" width="6.21875" style="2965" customWidth="1"/>
    <col min="9223" max="9224" width="9" style="2965" customWidth="1"/>
    <col min="9225" max="9225" width="80.88671875" style="2965" customWidth="1"/>
    <col min="9226" max="9227" width="10.6640625" style="2965" customWidth="1"/>
    <col min="9228" max="9228" width="14.33203125" style="2965" customWidth="1"/>
    <col min="9229" max="9229" width="6.21875" style="2965" customWidth="1"/>
    <col min="9230" max="9230" width="7.88671875" style="2965" customWidth="1"/>
    <col min="9231" max="9470" width="9" style="2965"/>
    <col min="9471" max="9471" width="72" style="2965" customWidth="1"/>
    <col min="9472" max="9472" width="6.21875" style="2965" customWidth="1"/>
    <col min="9473" max="9473" width="11.77734375" style="2965" customWidth="1"/>
    <col min="9474" max="9474" width="7.88671875" style="2965" customWidth="1"/>
    <col min="9475" max="9475" width="39.6640625" style="2965" customWidth="1"/>
    <col min="9476" max="9477" width="13.88671875" style="2965" customWidth="1"/>
    <col min="9478" max="9478" width="6.21875" style="2965" customWidth="1"/>
    <col min="9479" max="9480" width="9" style="2965" customWidth="1"/>
    <col min="9481" max="9481" width="80.88671875" style="2965" customWidth="1"/>
    <col min="9482" max="9483" width="10.6640625" style="2965" customWidth="1"/>
    <col min="9484" max="9484" width="14.33203125" style="2965" customWidth="1"/>
    <col min="9485" max="9485" width="6.21875" style="2965" customWidth="1"/>
    <col min="9486" max="9486" width="7.88671875" style="2965" customWidth="1"/>
    <col min="9487" max="9726" width="9" style="2965"/>
    <col min="9727" max="9727" width="72" style="2965" customWidth="1"/>
    <col min="9728" max="9728" width="6.21875" style="2965" customWidth="1"/>
    <col min="9729" max="9729" width="11.77734375" style="2965" customWidth="1"/>
    <col min="9730" max="9730" width="7.88671875" style="2965" customWidth="1"/>
    <col min="9731" max="9731" width="39.6640625" style="2965" customWidth="1"/>
    <col min="9732" max="9733" width="13.88671875" style="2965" customWidth="1"/>
    <col min="9734" max="9734" width="6.21875" style="2965" customWidth="1"/>
    <col min="9735" max="9736" width="9" style="2965" customWidth="1"/>
    <col min="9737" max="9737" width="80.88671875" style="2965" customWidth="1"/>
    <col min="9738" max="9739" width="10.6640625" style="2965" customWidth="1"/>
    <col min="9740" max="9740" width="14.33203125" style="2965" customWidth="1"/>
    <col min="9741" max="9741" width="6.21875" style="2965" customWidth="1"/>
    <col min="9742" max="9742" width="7.88671875" style="2965" customWidth="1"/>
    <col min="9743" max="9982" width="9" style="2965"/>
    <col min="9983" max="9983" width="72" style="2965" customWidth="1"/>
    <col min="9984" max="9984" width="6.21875" style="2965" customWidth="1"/>
    <col min="9985" max="9985" width="11.77734375" style="2965" customWidth="1"/>
    <col min="9986" max="9986" width="7.88671875" style="2965" customWidth="1"/>
    <col min="9987" max="9987" width="39.6640625" style="2965" customWidth="1"/>
    <col min="9988" max="9989" width="13.88671875" style="2965" customWidth="1"/>
    <col min="9990" max="9990" width="6.21875" style="2965" customWidth="1"/>
    <col min="9991" max="9992" width="9" style="2965" customWidth="1"/>
    <col min="9993" max="9993" width="80.88671875" style="2965" customWidth="1"/>
    <col min="9994" max="9995" width="10.6640625" style="2965" customWidth="1"/>
    <col min="9996" max="9996" width="14.33203125" style="2965" customWidth="1"/>
    <col min="9997" max="9997" width="6.21875" style="2965" customWidth="1"/>
    <col min="9998" max="9998" width="7.88671875" style="2965" customWidth="1"/>
    <col min="9999" max="10238" width="9" style="2965"/>
    <col min="10239" max="10239" width="72" style="2965" customWidth="1"/>
    <col min="10240" max="10240" width="6.21875" style="2965" customWidth="1"/>
    <col min="10241" max="10241" width="11.77734375" style="2965" customWidth="1"/>
    <col min="10242" max="10242" width="7.88671875" style="2965" customWidth="1"/>
    <col min="10243" max="10243" width="39.6640625" style="2965" customWidth="1"/>
    <col min="10244" max="10245" width="13.88671875" style="2965" customWidth="1"/>
    <col min="10246" max="10246" width="6.21875" style="2965" customWidth="1"/>
    <col min="10247" max="10248" width="9" style="2965" customWidth="1"/>
    <col min="10249" max="10249" width="80.88671875" style="2965" customWidth="1"/>
    <col min="10250" max="10251" width="10.6640625" style="2965" customWidth="1"/>
    <col min="10252" max="10252" width="14.33203125" style="2965" customWidth="1"/>
    <col min="10253" max="10253" width="6.21875" style="2965" customWidth="1"/>
    <col min="10254" max="10254" width="7.88671875" style="2965" customWidth="1"/>
    <col min="10255" max="10494" width="9" style="2965"/>
    <col min="10495" max="10495" width="72" style="2965" customWidth="1"/>
    <col min="10496" max="10496" width="6.21875" style="2965" customWidth="1"/>
    <col min="10497" max="10497" width="11.77734375" style="2965" customWidth="1"/>
    <col min="10498" max="10498" width="7.88671875" style="2965" customWidth="1"/>
    <col min="10499" max="10499" width="39.6640625" style="2965" customWidth="1"/>
    <col min="10500" max="10501" width="13.88671875" style="2965" customWidth="1"/>
    <col min="10502" max="10502" width="6.21875" style="2965" customWidth="1"/>
    <col min="10503" max="10504" width="9" style="2965" customWidth="1"/>
    <col min="10505" max="10505" width="80.88671875" style="2965" customWidth="1"/>
    <col min="10506" max="10507" width="10.6640625" style="2965" customWidth="1"/>
    <col min="10508" max="10508" width="14.33203125" style="2965" customWidth="1"/>
    <col min="10509" max="10509" width="6.21875" style="2965" customWidth="1"/>
    <col min="10510" max="10510" width="7.88671875" style="2965" customWidth="1"/>
    <col min="10511" max="10750" width="9" style="2965"/>
    <col min="10751" max="10751" width="72" style="2965" customWidth="1"/>
    <col min="10752" max="10752" width="6.21875" style="2965" customWidth="1"/>
    <col min="10753" max="10753" width="11.77734375" style="2965" customWidth="1"/>
    <col min="10754" max="10754" width="7.88671875" style="2965" customWidth="1"/>
    <col min="10755" max="10755" width="39.6640625" style="2965" customWidth="1"/>
    <col min="10756" max="10757" width="13.88671875" style="2965" customWidth="1"/>
    <col min="10758" max="10758" width="6.21875" style="2965" customWidth="1"/>
    <col min="10759" max="10760" width="9" style="2965" customWidth="1"/>
    <col min="10761" max="10761" width="80.88671875" style="2965" customWidth="1"/>
    <col min="10762" max="10763" width="10.6640625" style="2965" customWidth="1"/>
    <col min="10764" max="10764" width="14.33203125" style="2965" customWidth="1"/>
    <col min="10765" max="10765" width="6.21875" style="2965" customWidth="1"/>
    <col min="10766" max="10766" width="7.88671875" style="2965" customWidth="1"/>
    <col min="10767" max="11006" width="9" style="2965"/>
    <col min="11007" max="11007" width="72" style="2965" customWidth="1"/>
    <col min="11008" max="11008" width="6.21875" style="2965" customWidth="1"/>
    <col min="11009" max="11009" width="11.77734375" style="2965" customWidth="1"/>
    <col min="11010" max="11010" width="7.88671875" style="2965" customWidth="1"/>
    <col min="11011" max="11011" width="39.6640625" style="2965" customWidth="1"/>
    <col min="11012" max="11013" width="13.88671875" style="2965" customWidth="1"/>
    <col min="11014" max="11014" width="6.21875" style="2965" customWidth="1"/>
    <col min="11015" max="11016" width="9" style="2965" customWidth="1"/>
    <col min="11017" max="11017" width="80.88671875" style="2965" customWidth="1"/>
    <col min="11018" max="11019" width="10.6640625" style="2965" customWidth="1"/>
    <col min="11020" max="11020" width="14.33203125" style="2965" customWidth="1"/>
    <col min="11021" max="11021" width="6.21875" style="2965" customWidth="1"/>
    <col min="11022" max="11022" width="7.88671875" style="2965" customWidth="1"/>
    <col min="11023" max="11262" width="9" style="2965"/>
    <col min="11263" max="11263" width="72" style="2965" customWidth="1"/>
    <col min="11264" max="11264" width="6.21875" style="2965" customWidth="1"/>
    <col min="11265" max="11265" width="11.77734375" style="2965" customWidth="1"/>
    <col min="11266" max="11266" width="7.88671875" style="2965" customWidth="1"/>
    <col min="11267" max="11267" width="39.6640625" style="2965" customWidth="1"/>
    <col min="11268" max="11269" width="13.88671875" style="2965" customWidth="1"/>
    <col min="11270" max="11270" width="6.21875" style="2965" customWidth="1"/>
    <col min="11271" max="11272" width="9" style="2965" customWidth="1"/>
    <col min="11273" max="11273" width="80.88671875" style="2965" customWidth="1"/>
    <col min="11274" max="11275" width="10.6640625" style="2965" customWidth="1"/>
    <col min="11276" max="11276" width="14.33203125" style="2965" customWidth="1"/>
    <col min="11277" max="11277" width="6.21875" style="2965" customWidth="1"/>
    <col min="11278" max="11278" width="7.88671875" style="2965" customWidth="1"/>
    <col min="11279" max="11518" width="9" style="2965"/>
    <col min="11519" max="11519" width="72" style="2965" customWidth="1"/>
    <col min="11520" max="11520" width="6.21875" style="2965" customWidth="1"/>
    <col min="11521" max="11521" width="11.77734375" style="2965" customWidth="1"/>
    <col min="11522" max="11522" width="7.88671875" style="2965" customWidth="1"/>
    <col min="11523" max="11523" width="39.6640625" style="2965" customWidth="1"/>
    <col min="11524" max="11525" width="13.88671875" style="2965" customWidth="1"/>
    <col min="11526" max="11526" width="6.21875" style="2965" customWidth="1"/>
    <col min="11527" max="11528" width="9" style="2965" customWidth="1"/>
    <col min="11529" max="11529" width="80.88671875" style="2965" customWidth="1"/>
    <col min="11530" max="11531" width="10.6640625" style="2965" customWidth="1"/>
    <col min="11532" max="11532" width="14.33203125" style="2965" customWidth="1"/>
    <col min="11533" max="11533" width="6.21875" style="2965" customWidth="1"/>
    <col min="11534" max="11534" width="7.88671875" style="2965" customWidth="1"/>
    <col min="11535" max="11774" width="9" style="2965"/>
    <col min="11775" max="11775" width="72" style="2965" customWidth="1"/>
    <col min="11776" max="11776" width="6.21875" style="2965" customWidth="1"/>
    <col min="11777" max="11777" width="11.77734375" style="2965" customWidth="1"/>
    <col min="11778" max="11778" width="7.88671875" style="2965" customWidth="1"/>
    <col min="11779" max="11779" width="39.6640625" style="2965" customWidth="1"/>
    <col min="11780" max="11781" width="13.88671875" style="2965" customWidth="1"/>
    <col min="11782" max="11782" width="6.21875" style="2965" customWidth="1"/>
    <col min="11783" max="11784" width="9" style="2965" customWidth="1"/>
    <col min="11785" max="11785" width="80.88671875" style="2965" customWidth="1"/>
    <col min="11786" max="11787" width="10.6640625" style="2965" customWidth="1"/>
    <col min="11788" max="11788" width="14.33203125" style="2965" customWidth="1"/>
    <col min="11789" max="11789" width="6.21875" style="2965" customWidth="1"/>
    <col min="11790" max="11790" width="7.88671875" style="2965" customWidth="1"/>
    <col min="11791" max="12030" width="9" style="2965"/>
    <col min="12031" max="12031" width="72" style="2965" customWidth="1"/>
    <col min="12032" max="12032" width="6.21875" style="2965" customWidth="1"/>
    <col min="12033" max="12033" width="11.77734375" style="2965" customWidth="1"/>
    <col min="12034" max="12034" width="7.88671875" style="2965" customWidth="1"/>
    <col min="12035" max="12035" width="39.6640625" style="2965" customWidth="1"/>
    <col min="12036" max="12037" width="13.88671875" style="2965" customWidth="1"/>
    <col min="12038" max="12038" width="6.21875" style="2965" customWidth="1"/>
    <col min="12039" max="12040" width="9" style="2965" customWidth="1"/>
    <col min="12041" max="12041" width="80.88671875" style="2965" customWidth="1"/>
    <col min="12042" max="12043" width="10.6640625" style="2965" customWidth="1"/>
    <col min="12044" max="12044" width="14.33203125" style="2965" customWidth="1"/>
    <col min="12045" max="12045" width="6.21875" style="2965" customWidth="1"/>
    <col min="12046" max="12046" width="7.88671875" style="2965" customWidth="1"/>
    <col min="12047" max="12286" width="9" style="2965"/>
    <col min="12287" max="12287" width="72" style="2965" customWidth="1"/>
    <col min="12288" max="12288" width="6.21875" style="2965" customWidth="1"/>
    <col min="12289" max="12289" width="11.77734375" style="2965" customWidth="1"/>
    <col min="12290" max="12290" width="7.88671875" style="2965" customWidth="1"/>
    <col min="12291" max="12291" width="39.6640625" style="2965" customWidth="1"/>
    <col min="12292" max="12293" width="13.88671875" style="2965" customWidth="1"/>
    <col min="12294" max="12294" width="6.21875" style="2965" customWidth="1"/>
    <col min="12295" max="12296" width="9" style="2965" customWidth="1"/>
    <col min="12297" max="12297" width="80.88671875" style="2965" customWidth="1"/>
    <col min="12298" max="12299" width="10.6640625" style="2965" customWidth="1"/>
    <col min="12300" max="12300" width="14.33203125" style="2965" customWidth="1"/>
    <col min="12301" max="12301" width="6.21875" style="2965" customWidth="1"/>
    <col min="12302" max="12302" width="7.88671875" style="2965" customWidth="1"/>
    <col min="12303" max="12542" width="9" style="2965"/>
    <col min="12543" max="12543" width="72" style="2965" customWidth="1"/>
    <col min="12544" max="12544" width="6.21875" style="2965" customWidth="1"/>
    <col min="12545" max="12545" width="11.77734375" style="2965" customWidth="1"/>
    <col min="12546" max="12546" width="7.88671875" style="2965" customWidth="1"/>
    <col min="12547" max="12547" width="39.6640625" style="2965" customWidth="1"/>
    <col min="12548" max="12549" width="13.88671875" style="2965" customWidth="1"/>
    <col min="12550" max="12550" width="6.21875" style="2965" customWidth="1"/>
    <col min="12551" max="12552" width="9" style="2965" customWidth="1"/>
    <col min="12553" max="12553" width="80.88671875" style="2965" customWidth="1"/>
    <col min="12554" max="12555" width="10.6640625" style="2965" customWidth="1"/>
    <col min="12556" max="12556" width="14.33203125" style="2965" customWidth="1"/>
    <col min="12557" max="12557" width="6.21875" style="2965" customWidth="1"/>
    <col min="12558" max="12558" width="7.88671875" style="2965" customWidth="1"/>
    <col min="12559" max="12798" width="9" style="2965"/>
    <col min="12799" max="12799" width="72" style="2965" customWidth="1"/>
    <col min="12800" max="12800" width="6.21875" style="2965" customWidth="1"/>
    <col min="12801" max="12801" width="11.77734375" style="2965" customWidth="1"/>
    <col min="12802" max="12802" width="7.88671875" style="2965" customWidth="1"/>
    <col min="12803" max="12803" width="39.6640625" style="2965" customWidth="1"/>
    <col min="12804" max="12805" width="13.88671875" style="2965" customWidth="1"/>
    <col min="12806" max="12806" width="6.21875" style="2965" customWidth="1"/>
    <col min="12807" max="12808" width="9" style="2965" customWidth="1"/>
    <col min="12809" max="12809" width="80.88671875" style="2965" customWidth="1"/>
    <col min="12810" max="12811" width="10.6640625" style="2965" customWidth="1"/>
    <col min="12812" max="12812" width="14.33203125" style="2965" customWidth="1"/>
    <col min="12813" max="12813" width="6.21875" style="2965" customWidth="1"/>
    <col min="12814" max="12814" width="7.88671875" style="2965" customWidth="1"/>
    <col min="12815" max="13054" width="9" style="2965"/>
    <col min="13055" max="13055" width="72" style="2965" customWidth="1"/>
    <col min="13056" max="13056" width="6.21875" style="2965" customWidth="1"/>
    <col min="13057" max="13057" width="11.77734375" style="2965" customWidth="1"/>
    <col min="13058" max="13058" width="7.88671875" style="2965" customWidth="1"/>
    <col min="13059" max="13059" width="39.6640625" style="2965" customWidth="1"/>
    <col min="13060" max="13061" width="13.88671875" style="2965" customWidth="1"/>
    <col min="13062" max="13062" width="6.21875" style="2965" customWidth="1"/>
    <col min="13063" max="13064" width="9" style="2965" customWidth="1"/>
    <col min="13065" max="13065" width="80.88671875" style="2965" customWidth="1"/>
    <col min="13066" max="13067" width="10.6640625" style="2965" customWidth="1"/>
    <col min="13068" max="13068" width="14.33203125" style="2965" customWidth="1"/>
    <col min="13069" max="13069" width="6.21875" style="2965" customWidth="1"/>
    <col min="13070" max="13070" width="7.88671875" style="2965" customWidth="1"/>
    <col min="13071" max="13310" width="9" style="2965"/>
    <col min="13311" max="13311" width="72" style="2965" customWidth="1"/>
    <col min="13312" max="13312" width="6.21875" style="2965" customWidth="1"/>
    <col min="13313" max="13313" width="11.77734375" style="2965" customWidth="1"/>
    <col min="13314" max="13314" width="7.88671875" style="2965" customWidth="1"/>
    <col min="13315" max="13315" width="39.6640625" style="2965" customWidth="1"/>
    <col min="13316" max="13317" width="13.88671875" style="2965" customWidth="1"/>
    <col min="13318" max="13318" width="6.21875" style="2965" customWidth="1"/>
    <col min="13319" max="13320" width="9" style="2965" customWidth="1"/>
    <col min="13321" max="13321" width="80.88671875" style="2965" customWidth="1"/>
    <col min="13322" max="13323" width="10.6640625" style="2965" customWidth="1"/>
    <col min="13324" max="13324" width="14.33203125" style="2965" customWidth="1"/>
    <col min="13325" max="13325" width="6.21875" style="2965" customWidth="1"/>
    <col min="13326" max="13326" width="7.88671875" style="2965" customWidth="1"/>
    <col min="13327" max="13566" width="9" style="2965"/>
    <col min="13567" max="13567" width="72" style="2965" customWidth="1"/>
    <col min="13568" max="13568" width="6.21875" style="2965" customWidth="1"/>
    <col min="13569" max="13569" width="11.77734375" style="2965" customWidth="1"/>
    <col min="13570" max="13570" width="7.88671875" style="2965" customWidth="1"/>
    <col min="13571" max="13571" width="39.6640625" style="2965" customWidth="1"/>
    <col min="13572" max="13573" width="13.88671875" style="2965" customWidth="1"/>
    <col min="13574" max="13574" width="6.21875" style="2965" customWidth="1"/>
    <col min="13575" max="13576" width="9" style="2965" customWidth="1"/>
    <col min="13577" max="13577" width="80.88671875" style="2965" customWidth="1"/>
    <col min="13578" max="13579" width="10.6640625" style="2965" customWidth="1"/>
    <col min="13580" max="13580" width="14.33203125" style="2965" customWidth="1"/>
    <col min="13581" max="13581" width="6.21875" style="2965" customWidth="1"/>
    <col min="13582" max="13582" width="7.88671875" style="2965" customWidth="1"/>
    <col min="13583" max="13822" width="9" style="2965"/>
    <col min="13823" max="13823" width="72" style="2965" customWidth="1"/>
    <col min="13824" max="13824" width="6.21875" style="2965" customWidth="1"/>
    <col min="13825" max="13825" width="11.77734375" style="2965" customWidth="1"/>
    <col min="13826" max="13826" width="7.88671875" style="2965" customWidth="1"/>
    <col min="13827" max="13827" width="39.6640625" style="2965" customWidth="1"/>
    <col min="13828" max="13829" width="13.88671875" style="2965" customWidth="1"/>
    <col min="13830" max="13830" width="6.21875" style="2965" customWidth="1"/>
    <col min="13831" max="13832" width="9" style="2965" customWidth="1"/>
    <col min="13833" max="13833" width="80.88671875" style="2965" customWidth="1"/>
    <col min="13834" max="13835" width="10.6640625" style="2965" customWidth="1"/>
    <col min="13836" max="13836" width="14.33203125" style="2965" customWidth="1"/>
    <col min="13837" max="13837" width="6.21875" style="2965" customWidth="1"/>
    <col min="13838" max="13838" width="7.88671875" style="2965" customWidth="1"/>
    <col min="13839" max="14078" width="9" style="2965"/>
    <col min="14079" max="14079" width="72" style="2965" customWidth="1"/>
    <col min="14080" max="14080" width="6.21875" style="2965" customWidth="1"/>
    <col min="14081" max="14081" width="11.77734375" style="2965" customWidth="1"/>
    <col min="14082" max="14082" width="7.88671875" style="2965" customWidth="1"/>
    <col min="14083" max="14083" width="39.6640625" style="2965" customWidth="1"/>
    <col min="14084" max="14085" width="13.88671875" style="2965" customWidth="1"/>
    <col min="14086" max="14086" width="6.21875" style="2965" customWidth="1"/>
    <col min="14087" max="14088" width="9" style="2965" customWidth="1"/>
    <col min="14089" max="14089" width="80.88671875" style="2965" customWidth="1"/>
    <col min="14090" max="14091" width="10.6640625" style="2965" customWidth="1"/>
    <col min="14092" max="14092" width="14.33203125" style="2965" customWidth="1"/>
    <col min="14093" max="14093" width="6.21875" style="2965" customWidth="1"/>
    <col min="14094" max="14094" width="7.88671875" style="2965" customWidth="1"/>
    <col min="14095" max="14334" width="9" style="2965"/>
    <col min="14335" max="14335" width="72" style="2965" customWidth="1"/>
    <col min="14336" max="14336" width="6.21875" style="2965" customWidth="1"/>
    <col min="14337" max="14337" width="11.77734375" style="2965" customWidth="1"/>
    <col min="14338" max="14338" width="7.88671875" style="2965" customWidth="1"/>
    <col min="14339" max="14339" width="39.6640625" style="2965" customWidth="1"/>
    <col min="14340" max="14341" width="13.88671875" style="2965" customWidth="1"/>
    <col min="14342" max="14342" width="6.21875" style="2965" customWidth="1"/>
    <col min="14343" max="14344" width="9" style="2965" customWidth="1"/>
    <col min="14345" max="14345" width="80.88671875" style="2965" customWidth="1"/>
    <col min="14346" max="14347" width="10.6640625" style="2965" customWidth="1"/>
    <col min="14348" max="14348" width="14.33203125" style="2965" customWidth="1"/>
    <col min="14349" max="14349" width="6.21875" style="2965" customWidth="1"/>
    <col min="14350" max="14350" width="7.88671875" style="2965" customWidth="1"/>
    <col min="14351" max="14590" width="9" style="2965"/>
    <col min="14591" max="14591" width="72" style="2965" customWidth="1"/>
    <col min="14592" max="14592" width="6.21875" style="2965" customWidth="1"/>
    <col min="14593" max="14593" width="11.77734375" style="2965" customWidth="1"/>
    <col min="14594" max="14594" width="7.88671875" style="2965" customWidth="1"/>
    <col min="14595" max="14595" width="39.6640625" style="2965" customWidth="1"/>
    <col min="14596" max="14597" width="13.88671875" style="2965" customWidth="1"/>
    <col min="14598" max="14598" width="6.21875" style="2965" customWidth="1"/>
    <col min="14599" max="14600" width="9" style="2965" customWidth="1"/>
    <col min="14601" max="14601" width="80.88671875" style="2965" customWidth="1"/>
    <col min="14602" max="14603" width="10.6640625" style="2965" customWidth="1"/>
    <col min="14604" max="14604" width="14.33203125" style="2965" customWidth="1"/>
    <col min="14605" max="14605" width="6.21875" style="2965" customWidth="1"/>
    <col min="14606" max="14606" width="7.88671875" style="2965" customWidth="1"/>
    <col min="14607" max="14846" width="9" style="2965"/>
    <col min="14847" max="14847" width="72" style="2965" customWidth="1"/>
    <col min="14848" max="14848" width="6.21875" style="2965" customWidth="1"/>
    <col min="14849" max="14849" width="11.77734375" style="2965" customWidth="1"/>
    <col min="14850" max="14850" width="7.88671875" style="2965" customWidth="1"/>
    <col min="14851" max="14851" width="39.6640625" style="2965" customWidth="1"/>
    <col min="14852" max="14853" width="13.88671875" style="2965" customWidth="1"/>
    <col min="14854" max="14854" width="6.21875" style="2965" customWidth="1"/>
    <col min="14855" max="14856" width="9" style="2965" customWidth="1"/>
    <col min="14857" max="14857" width="80.88671875" style="2965" customWidth="1"/>
    <col min="14858" max="14859" width="10.6640625" style="2965" customWidth="1"/>
    <col min="14860" max="14860" width="14.33203125" style="2965" customWidth="1"/>
    <col min="14861" max="14861" width="6.21875" style="2965" customWidth="1"/>
    <col min="14862" max="14862" width="7.88671875" style="2965" customWidth="1"/>
    <col min="14863" max="15102" width="9" style="2965"/>
    <col min="15103" max="15103" width="72" style="2965" customWidth="1"/>
    <col min="15104" max="15104" width="6.21875" style="2965" customWidth="1"/>
    <col min="15105" max="15105" width="11.77734375" style="2965" customWidth="1"/>
    <col min="15106" max="15106" width="7.88671875" style="2965" customWidth="1"/>
    <col min="15107" max="15107" width="39.6640625" style="2965" customWidth="1"/>
    <col min="15108" max="15109" width="13.88671875" style="2965" customWidth="1"/>
    <col min="15110" max="15110" width="6.21875" style="2965" customWidth="1"/>
    <col min="15111" max="15112" width="9" style="2965" customWidth="1"/>
    <col min="15113" max="15113" width="80.88671875" style="2965" customWidth="1"/>
    <col min="15114" max="15115" width="10.6640625" style="2965" customWidth="1"/>
    <col min="15116" max="15116" width="14.33203125" style="2965" customWidth="1"/>
    <col min="15117" max="15117" width="6.21875" style="2965" customWidth="1"/>
    <col min="15118" max="15118" width="7.88671875" style="2965" customWidth="1"/>
    <col min="15119" max="15358" width="9" style="2965"/>
    <col min="15359" max="15359" width="72" style="2965" customWidth="1"/>
    <col min="15360" max="15360" width="6.21875" style="2965" customWidth="1"/>
    <col min="15361" max="15361" width="11.77734375" style="2965" customWidth="1"/>
    <col min="15362" max="15362" width="7.88671875" style="2965" customWidth="1"/>
    <col min="15363" max="15363" width="39.6640625" style="2965" customWidth="1"/>
    <col min="15364" max="15365" width="13.88671875" style="2965" customWidth="1"/>
    <col min="15366" max="15366" width="6.21875" style="2965" customWidth="1"/>
    <col min="15367" max="15368" width="9" style="2965" customWidth="1"/>
    <col min="15369" max="15369" width="80.88671875" style="2965" customWidth="1"/>
    <col min="15370" max="15371" width="10.6640625" style="2965" customWidth="1"/>
    <col min="15372" max="15372" width="14.33203125" style="2965" customWidth="1"/>
    <col min="15373" max="15373" width="6.21875" style="2965" customWidth="1"/>
    <col min="15374" max="15374" width="7.88671875" style="2965" customWidth="1"/>
    <col min="15375" max="15614" width="9" style="2965"/>
    <col min="15615" max="15615" width="72" style="2965" customWidth="1"/>
    <col min="15616" max="15616" width="6.21875" style="2965" customWidth="1"/>
    <col min="15617" max="15617" width="11.77734375" style="2965" customWidth="1"/>
    <col min="15618" max="15618" width="7.88671875" style="2965" customWidth="1"/>
    <col min="15619" max="15619" width="39.6640625" style="2965" customWidth="1"/>
    <col min="15620" max="15621" width="13.88671875" style="2965" customWidth="1"/>
    <col min="15622" max="15622" width="6.21875" style="2965" customWidth="1"/>
    <col min="15623" max="15624" width="9" style="2965" customWidth="1"/>
    <col min="15625" max="15625" width="80.88671875" style="2965" customWidth="1"/>
    <col min="15626" max="15627" width="10.6640625" style="2965" customWidth="1"/>
    <col min="15628" max="15628" width="14.33203125" style="2965" customWidth="1"/>
    <col min="15629" max="15629" width="6.21875" style="2965" customWidth="1"/>
    <col min="15630" max="15630" width="7.88671875" style="2965" customWidth="1"/>
    <col min="15631" max="15870" width="9" style="2965"/>
    <col min="15871" max="15871" width="72" style="2965" customWidth="1"/>
    <col min="15872" max="15872" width="6.21875" style="2965" customWidth="1"/>
    <col min="15873" max="15873" width="11.77734375" style="2965" customWidth="1"/>
    <col min="15874" max="15874" width="7.88671875" style="2965" customWidth="1"/>
    <col min="15875" max="15875" width="39.6640625" style="2965" customWidth="1"/>
    <col min="15876" max="15877" width="13.88671875" style="2965" customWidth="1"/>
    <col min="15878" max="15878" width="6.21875" style="2965" customWidth="1"/>
    <col min="15879" max="15880" width="9" style="2965" customWidth="1"/>
    <col min="15881" max="15881" width="80.88671875" style="2965" customWidth="1"/>
    <col min="15882" max="15883" width="10.6640625" style="2965" customWidth="1"/>
    <col min="15884" max="15884" width="14.33203125" style="2965" customWidth="1"/>
    <col min="15885" max="15885" width="6.21875" style="2965" customWidth="1"/>
    <col min="15886" max="15886" width="7.88671875" style="2965" customWidth="1"/>
    <col min="15887" max="16126" width="9" style="2965"/>
    <col min="16127" max="16127" width="72" style="2965" customWidth="1"/>
    <col min="16128" max="16128" width="6.21875" style="2965" customWidth="1"/>
    <col min="16129" max="16129" width="11.77734375" style="2965" customWidth="1"/>
    <col min="16130" max="16130" width="7.88671875" style="2965" customWidth="1"/>
    <col min="16131" max="16131" width="39.6640625" style="2965" customWidth="1"/>
    <col min="16132" max="16133" width="13.88671875" style="2965" customWidth="1"/>
    <col min="16134" max="16134" width="6.21875" style="2965" customWidth="1"/>
    <col min="16135" max="16136" width="9" style="2965" customWidth="1"/>
    <col min="16137" max="16137" width="80.88671875" style="2965" customWidth="1"/>
    <col min="16138" max="16139" width="10.6640625" style="2965" customWidth="1"/>
    <col min="16140" max="16140" width="14.33203125" style="2965" customWidth="1"/>
    <col min="16141" max="16141" width="6.21875" style="2965" customWidth="1"/>
    <col min="16142" max="16142" width="7.88671875" style="2965" customWidth="1"/>
    <col min="16143" max="16384" width="9" style="2965"/>
  </cols>
  <sheetData>
    <row r="1" spans="1:15" ht="26.4">
      <c r="A1" s="2965" t="s">
        <v>3087</v>
      </c>
      <c r="B1" s="2965" t="s">
        <v>3088</v>
      </c>
      <c r="C1" s="2965" t="s">
        <v>3089</v>
      </c>
      <c r="D1" s="2965" t="s">
        <v>3090</v>
      </c>
      <c r="E1" s="2965" t="s">
        <v>3091</v>
      </c>
      <c r="F1" s="2965" t="s">
        <v>3092</v>
      </c>
      <c r="G1" s="2965" t="s">
        <v>3093</v>
      </c>
      <c r="H1" s="2965" t="s">
        <v>3094</v>
      </c>
      <c r="I1" s="2965" t="s">
        <v>3095</v>
      </c>
      <c r="J1" s="2965" t="s">
        <v>3096</v>
      </c>
      <c r="K1" s="2965" t="s">
        <v>3098</v>
      </c>
      <c r="L1" s="2965" t="s">
        <v>3099</v>
      </c>
      <c r="M1" s="2965" t="s">
        <v>3100</v>
      </c>
      <c r="N1" s="2965" t="s">
        <v>3101</v>
      </c>
      <c r="O1" s="2965" t="s">
        <v>3097</v>
      </c>
    </row>
    <row r="2" spans="1:15" ht="39.6">
      <c r="A2" s="2965" t="s">
        <v>3102</v>
      </c>
      <c r="B2" s="2965" t="s">
        <v>3103</v>
      </c>
      <c r="C2" s="2965" t="s">
        <v>3104</v>
      </c>
      <c r="D2" s="2965" t="s">
        <v>3105</v>
      </c>
      <c r="E2" s="2965" t="s">
        <v>3106</v>
      </c>
      <c r="F2" s="2965">
        <v>7289.19</v>
      </c>
      <c r="G2" s="2965">
        <v>21867.57</v>
      </c>
      <c r="H2" s="2965" t="s">
        <v>3107</v>
      </c>
      <c r="I2" s="2965" t="s">
        <v>3108</v>
      </c>
      <c r="J2" s="2965" t="s">
        <v>3108</v>
      </c>
      <c r="K2" s="2965">
        <v>35200</v>
      </c>
      <c r="L2" s="2965">
        <v>35200</v>
      </c>
      <c r="M2" s="2965">
        <v>16096.89</v>
      </c>
      <c r="N2" s="2965">
        <v>0</v>
      </c>
      <c r="O2" s="2965" t="s">
        <v>3109</v>
      </c>
    </row>
    <row r="3" spans="1:15" ht="26.4">
      <c r="A3" s="2965" t="s">
        <v>3110</v>
      </c>
      <c r="B3" s="2965" t="s">
        <v>3103</v>
      </c>
      <c r="C3" s="2965" t="s">
        <v>3104</v>
      </c>
      <c r="D3" s="2965" t="s">
        <v>3105</v>
      </c>
      <c r="E3" s="2965" t="s">
        <v>3111</v>
      </c>
      <c r="F3" s="2965">
        <v>28003.32</v>
      </c>
      <c r="G3" s="2965">
        <v>70008</v>
      </c>
      <c r="H3" s="2965" t="s">
        <v>3112</v>
      </c>
      <c r="I3" s="2965" t="s">
        <v>3113</v>
      </c>
      <c r="J3" s="2965" t="s">
        <v>3113</v>
      </c>
      <c r="K3" s="2965">
        <v>96800</v>
      </c>
      <c r="L3" s="2965">
        <v>97800</v>
      </c>
      <c r="M3" s="2965">
        <v>13969.82</v>
      </c>
      <c r="N3" s="2965">
        <v>1.03</v>
      </c>
      <c r="O3" s="2965" t="s">
        <v>3114</v>
      </c>
    </row>
    <row r="4" spans="1:15" ht="52.8">
      <c r="A4" s="2965" t="s">
        <v>3115</v>
      </c>
      <c r="B4" s="2965" t="s">
        <v>3103</v>
      </c>
      <c r="C4" s="2965" t="s">
        <v>3104</v>
      </c>
      <c r="D4" s="2965" t="s">
        <v>3105</v>
      </c>
      <c r="E4" s="2965" t="s">
        <v>3116</v>
      </c>
      <c r="F4" s="2965">
        <v>138746.29999999999</v>
      </c>
      <c r="G4" s="2965">
        <v>486596</v>
      </c>
      <c r="H4" s="2965">
        <v>3.51</v>
      </c>
      <c r="I4" s="2965" t="s">
        <v>3117</v>
      </c>
      <c r="J4" s="2965" t="s">
        <v>3117</v>
      </c>
      <c r="K4" s="2965">
        <v>866300</v>
      </c>
      <c r="L4" s="2965">
        <v>866300</v>
      </c>
      <c r="M4" s="2965">
        <v>17803.27</v>
      </c>
      <c r="N4" s="2965">
        <v>0</v>
      </c>
      <c r="O4" s="2965" t="s">
        <v>3118</v>
      </c>
    </row>
    <row r="5" spans="1:15" ht="26.4">
      <c r="A5" s="2965" t="s">
        <v>3119</v>
      </c>
      <c r="B5" s="2965" t="s">
        <v>3103</v>
      </c>
      <c r="C5" s="2965" t="s">
        <v>3104</v>
      </c>
      <c r="D5" s="2965" t="s">
        <v>3105</v>
      </c>
      <c r="E5" s="2965" t="s">
        <v>3111</v>
      </c>
      <c r="F5" s="2965">
        <v>35230.230000000003</v>
      </c>
      <c r="G5" s="2965">
        <v>88076</v>
      </c>
      <c r="H5" s="2965">
        <v>2.5</v>
      </c>
      <c r="I5" s="2965" t="s">
        <v>3120</v>
      </c>
      <c r="J5" s="2965" t="s">
        <v>3120</v>
      </c>
      <c r="K5" s="2965">
        <v>62000</v>
      </c>
      <c r="L5" s="2965">
        <v>62000</v>
      </c>
      <c r="M5" s="2965">
        <v>7039.38</v>
      </c>
      <c r="N5" s="2965">
        <v>0</v>
      </c>
      <c r="O5" s="2965" t="s">
        <v>3121</v>
      </c>
    </row>
    <row r="6" spans="1:15" s="2966" customFormat="1" ht="26.4">
      <c r="A6" s="2966" t="s">
        <v>3122</v>
      </c>
      <c r="B6" s="2966" t="s">
        <v>3103</v>
      </c>
      <c r="C6" s="2966" t="s">
        <v>3104</v>
      </c>
      <c r="D6" s="2966" t="s">
        <v>3105</v>
      </c>
      <c r="E6" s="2966" t="s">
        <v>3123</v>
      </c>
      <c r="F6" s="2966">
        <v>39744.120000000003</v>
      </c>
      <c r="G6" s="2966">
        <v>119232</v>
      </c>
      <c r="H6" s="2966">
        <v>3</v>
      </c>
      <c r="I6" s="2966" t="s">
        <v>3124</v>
      </c>
      <c r="J6" s="2966" t="s">
        <v>3124</v>
      </c>
      <c r="K6" s="2966">
        <v>227000</v>
      </c>
      <c r="L6" s="2966">
        <v>292000</v>
      </c>
      <c r="M6" s="2966">
        <v>24490.06</v>
      </c>
      <c r="N6" s="2966">
        <v>28.63</v>
      </c>
      <c r="O6" s="2966" t="s">
        <v>3125</v>
      </c>
    </row>
    <row r="7" spans="1:15" ht="26.4">
      <c r="A7" s="2965" t="s">
        <v>3126</v>
      </c>
      <c r="B7" s="2965" t="s">
        <v>3103</v>
      </c>
      <c r="C7" s="2965" t="s">
        <v>3104</v>
      </c>
      <c r="D7" s="2965" t="s">
        <v>3127</v>
      </c>
      <c r="E7" s="2965" t="s">
        <v>3128</v>
      </c>
      <c r="F7" s="2965">
        <v>92055.95</v>
      </c>
      <c r="G7" s="2965">
        <v>92056</v>
      </c>
      <c r="H7" s="2965">
        <v>1</v>
      </c>
      <c r="I7" s="2965" t="s">
        <v>3129</v>
      </c>
      <c r="J7" s="2965" t="s">
        <v>3129</v>
      </c>
      <c r="K7" s="2965" t="s">
        <v>1326</v>
      </c>
      <c r="L7" s="2965">
        <v>285373.59000000003</v>
      </c>
      <c r="M7" s="2965">
        <v>31000</v>
      </c>
      <c r="N7" s="2965" t="s">
        <v>1326</v>
      </c>
      <c r="O7" s="2965" t="s">
        <v>3130</v>
      </c>
    </row>
    <row r="8" spans="1:15" s="2966" customFormat="1" ht="26.4">
      <c r="A8" s="2966" t="s">
        <v>3131</v>
      </c>
      <c r="B8" s="2966" t="s">
        <v>3103</v>
      </c>
      <c r="C8" s="2966" t="s">
        <v>3104</v>
      </c>
      <c r="D8" s="2966" t="s">
        <v>3105</v>
      </c>
      <c r="E8" s="2966" t="s">
        <v>3111</v>
      </c>
      <c r="F8" s="2966">
        <v>46165.91</v>
      </c>
      <c r="G8" s="2966">
        <v>92332</v>
      </c>
      <c r="H8" s="2966">
        <v>2</v>
      </c>
      <c r="I8" s="2966" t="s">
        <v>3132</v>
      </c>
      <c r="J8" s="2966" t="s">
        <v>3132</v>
      </c>
      <c r="K8" s="2966">
        <v>176000</v>
      </c>
      <c r="L8" s="2966">
        <v>225000</v>
      </c>
      <c r="M8" s="2966">
        <v>24368.58</v>
      </c>
      <c r="N8" s="2966">
        <v>27.84</v>
      </c>
      <c r="O8" s="2966" t="s">
        <v>3133</v>
      </c>
    </row>
    <row r="9" spans="1:15" s="2966" customFormat="1" ht="26.4">
      <c r="A9" s="2966" t="s">
        <v>3134</v>
      </c>
      <c r="B9" s="2966" t="s">
        <v>3103</v>
      </c>
      <c r="C9" s="2966" t="s">
        <v>3104</v>
      </c>
      <c r="D9" s="2966" t="s">
        <v>3105</v>
      </c>
      <c r="E9" s="2966" t="s">
        <v>3111</v>
      </c>
      <c r="F9" s="2966">
        <v>38100</v>
      </c>
      <c r="G9" s="2966">
        <v>76200</v>
      </c>
      <c r="H9" s="2966">
        <v>2</v>
      </c>
      <c r="I9" s="2966" t="s">
        <v>3132</v>
      </c>
      <c r="J9" s="2966" t="s">
        <v>3132</v>
      </c>
      <c r="K9" s="2966">
        <v>145000</v>
      </c>
      <c r="L9" s="2966">
        <v>204000</v>
      </c>
      <c r="M9" s="2966">
        <v>26771.65</v>
      </c>
      <c r="N9" s="2966">
        <v>40.69</v>
      </c>
      <c r="O9" s="2966" t="s">
        <v>3135</v>
      </c>
    </row>
  </sheetData>
  <phoneticPr fontId="145"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2316</v>
      </c>
      <c r="B1" s="1922"/>
      <c r="C1" s="242"/>
      <c r="D1" s="242"/>
      <c r="E1" s="242"/>
      <c r="F1" s="242"/>
      <c r="G1" s="1374">
        <f>MATCH(B1,'数据-取费表'!A6:A16,0)+5</f>
        <v>10</v>
      </c>
    </row>
    <row r="2" spans="1:9" s="244" customFormat="1" ht="18" customHeight="1">
      <c r="A2" s="245" t="s">
        <v>2317</v>
      </c>
      <c r="B2" s="246">
        <f ca="1">IF(D2="——",C52,C52-E2)</f>
        <v>57826</v>
      </c>
      <c r="C2" s="243" t="s">
        <v>2318</v>
      </c>
      <c r="D2" s="2535" t="s">
        <v>70</v>
      </c>
      <c r="E2" s="1435" t="e">
        <f ca="1">SUMIF(INDIRECT("'"&amp;G2&amp;"'"&amp;"!A:A"),"承租人权益价值",INDIRECT("'"&amp;G2&amp;"'"&amp;"!c:c"))</f>
        <v>#REF!</v>
      </c>
      <c r="F2" s="2536" t="s">
        <v>2318</v>
      </c>
      <c r="G2" s="2537"/>
    </row>
    <row r="3" spans="1:9" s="244" customFormat="1" ht="18" customHeight="1" thickBot="1">
      <c r="A3" s="247" t="s">
        <v>2319</v>
      </c>
      <c r="B3" s="248">
        <f ca="1">ROUND(B2*10000/(IF(B1="",'数据-汇总表'!E3,INDIRECT("'数据-取费表'!k"&amp;$G$1))),0)</f>
        <v>21512</v>
      </c>
      <c r="C3" s="243" t="s">
        <v>2320</v>
      </c>
      <c r="D3" s="243"/>
      <c r="E3" s="243"/>
      <c r="F3" s="243"/>
      <c r="G3" s="243"/>
    </row>
    <row r="4" spans="1:9" s="252" customFormat="1" ht="16.2">
      <c r="A4" s="249" t="s">
        <v>2321</v>
      </c>
      <c r="B4" s="250"/>
      <c r="C4" s="250"/>
      <c r="D4" s="250"/>
      <c r="E4" s="250"/>
      <c r="F4" s="250"/>
      <c r="G4" s="251"/>
    </row>
    <row r="5" spans="1:9" s="258" customFormat="1" ht="13.5" customHeight="1">
      <c r="A5" s="299" t="s">
        <v>2322</v>
      </c>
      <c r="B5" s="254" t="s">
        <v>2323</v>
      </c>
      <c r="C5" s="255">
        <f ca="1">C6+C7+C8</f>
        <v>28812</v>
      </c>
      <c r="D5" s="255" t="s">
        <v>2324</v>
      </c>
      <c r="E5" s="256" t="s">
        <v>2325</v>
      </c>
      <c r="F5" s="256" t="s">
        <v>2326</v>
      </c>
      <c r="G5" s="257"/>
    </row>
    <row r="6" spans="1:9" s="258" customFormat="1" ht="13.5" customHeight="1">
      <c r="A6" s="944" t="s">
        <v>2327</v>
      </c>
      <c r="B6" s="259" t="s">
        <v>2328</v>
      </c>
      <c r="C6" s="2979">
        <f ca="1">基准地价修正!B2</f>
        <v>27959</v>
      </c>
      <c r="D6" s="261"/>
      <c r="E6" s="262"/>
      <c r="F6" s="262"/>
      <c r="G6" s="263"/>
    </row>
    <row r="7" spans="1:9" s="258" customFormat="1" ht="13.5" customHeight="1">
      <c r="A7" s="944" t="s">
        <v>2329</v>
      </c>
      <c r="B7" s="259" t="s">
        <v>2330</v>
      </c>
      <c r="C7" s="264">
        <f ca="1">ROUND(C6*F7,0)</f>
        <v>853</v>
      </c>
      <c r="D7" s="264"/>
      <c r="E7" s="262"/>
      <c r="F7" s="265">
        <f>IF(项目基本情况!B8="出让",0,'数据-取费表'!B48+'数据-取费表'!B49)</f>
        <v>3.0499999999999999E-2</v>
      </c>
      <c r="G7" s="263"/>
    </row>
    <row r="8" spans="1:9" s="267" customFormat="1">
      <c r="A8" s="944" t="s">
        <v>2331</v>
      </c>
      <c r="B8" s="259" t="s">
        <v>2332</v>
      </c>
      <c r="C8" s="264" t="str">
        <f>IF(G8="已包含在土地购买价格中","0",IF(B1="",'数据-取费表'!B29,IF(G9="全部缴纳",C9+C10,H9)))</f>
        <v>0</v>
      </c>
      <c r="D8" s="266"/>
      <c r="E8" s="264"/>
      <c r="F8" s="265"/>
      <c r="G8" s="2538" t="s">
        <v>1144</v>
      </c>
    </row>
    <row r="9" spans="1:9" s="258" customFormat="1" ht="13.5" customHeight="1">
      <c r="A9" s="945" t="s">
        <v>800</v>
      </c>
      <c r="B9" s="268" t="s">
        <v>2333</v>
      </c>
      <c r="C9" s="269">
        <f ca="1">ROUND(D9*E9/10000,0)</f>
        <v>0</v>
      </c>
      <c r="D9" s="1027">
        <f ca="1">IF(B1="",'数据-汇总表'!E5,IF(INDIRECT("'数据-取费表'!c"&amp;$G$1)="住宅",INDIRECT("'数据-取费表'!k"&amp;$G$1),0))</f>
        <v>0</v>
      </c>
      <c r="E9" s="269">
        <f>'数据-取费表'!B27</f>
        <v>160</v>
      </c>
      <c r="F9" s="265"/>
      <c r="G9" s="2539" t="s">
        <v>3150</v>
      </c>
      <c r="H9" s="1385"/>
      <c r="I9" s="2540" t="s">
        <v>2334</v>
      </c>
    </row>
    <row r="10" spans="1:9" s="258" customFormat="1" ht="13.5" customHeight="1">
      <c r="A10" s="945" t="s">
        <v>801</v>
      </c>
      <c r="B10" s="268" t="s">
        <v>2335</v>
      </c>
      <c r="C10" s="269">
        <f ca="1">ROUND(D10*E10/10000,0)</f>
        <v>538</v>
      </c>
      <c r="D10" s="1027">
        <f ca="1">IF(B1="",'数据-汇总表'!E6,IF(INDIRECT("'数据-取费表'!c"&amp;$G$1)="住宅",INDIRECT("'数据-取费表'!s"&amp;$G$1),INDIRECT("'数据-取费表'!k"&amp;$G$1)+INDIRECT("'数据-取费表'!s"&amp;$G$1)))</f>
        <v>26881.280000000002</v>
      </c>
      <c r="E10" s="269">
        <f>'数据-取费表'!B28</f>
        <v>200</v>
      </c>
      <c r="F10" s="265"/>
      <c r="G10" s="270"/>
    </row>
    <row r="11" spans="1:9" s="258" customFormat="1" ht="13.5" hidden="1" customHeight="1">
      <c r="A11" s="271" t="s">
        <v>7</v>
      </c>
      <c r="B11" s="259" t="s">
        <v>2336</v>
      </c>
      <c r="C11" s="255"/>
      <c r="D11" s="1029"/>
      <c r="E11" s="262"/>
      <c r="F11" s="262"/>
      <c r="G11" s="263"/>
    </row>
    <row r="12" spans="1:9" s="258" customFormat="1" ht="13.5" hidden="1" customHeight="1">
      <c r="A12" s="271" t="s">
        <v>8</v>
      </c>
      <c r="B12" s="259" t="s">
        <v>2337</v>
      </c>
      <c r="C12" s="255">
        <v>0</v>
      </c>
      <c r="D12" s="1029"/>
      <c r="E12" s="272"/>
      <c r="F12" s="265">
        <v>3.0499999999999999E-2</v>
      </c>
      <c r="G12" s="263"/>
    </row>
    <row r="13" spans="1:9" s="258" customFormat="1" ht="13.5" hidden="1" customHeight="1">
      <c r="A13" s="271" t="s">
        <v>9</v>
      </c>
      <c r="B13" s="259" t="s">
        <v>2338</v>
      </c>
      <c r="C13" s="255"/>
      <c r="D13" s="1029"/>
      <c r="E13" s="262"/>
      <c r="F13" s="262"/>
      <c r="G13" s="263"/>
    </row>
    <row r="14" spans="1:9" s="258" customFormat="1" ht="13.5" hidden="1" customHeight="1">
      <c r="A14" s="271" t="s">
        <v>10</v>
      </c>
      <c r="B14" s="259" t="s">
        <v>2339</v>
      </c>
      <c r="C14" s="255"/>
      <c r="D14" s="1029"/>
      <c r="E14" s="262"/>
      <c r="F14" s="262"/>
      <c r="G14" s="263" t="s">
        <v>2340</v>
      </c>
    </row>
    <row r="15" spans="1:9" s="258" customFormat="1" ht="13.5" hidden="1" customHeight="1">
      <c r="A15" s="271" t="s">
        <v>11</v>
      </c>
      <c r="B15" s="259" t="s">
        <v>2341</v>
      </c>
      <c r="C15" s="264"/>
      <c r="D15" s="1029"/>
      <c r="E15" s="262"/>
      <c r="F15" s="262"/>
      <c r="G15" s="263" t="s">
        <v>2342</v>
      </c>
    </row>
    <row r="16" spans="1:9" s="258" customFormat="1" ht="13.5" hidden="1" customHeight="1">
      <c r="A16" s="271" t="s">
        <v>12</v>
      </c>
      <c r="B16" s="259" t="s">
        <v>2339</v>
      </c>
      <c r="C16" s="264"/>
      <c r="D16" s="1029"/>
      <c r="E16" s="262"/>
      <c r="F16" s="262"/>
      <c r="G16" s="263"/>
    </row>
    <row r="17" spans="1:7" s="258" customFormat="1" ht="13.5" hidden="1" customHeight="1">
      <c r="A17" s="271" t="s">
        <v>13</v>
      </c>
      <c r="B17" s="259" t="s">
        <v>2343</v>
      </c>
      <c r="C17" s="273"/>
      <c r="D17" s="1030"/>
      <c r="E17" s="273"/>
      <c r="F17" s="273"/>
      <c r="G17" s="263" t="s">
        <v>2342</v>
      </c>
    </row>
    <row r="18" spans="1:7" s="258" customFormat="1" ht="13.5" hidden="1" customHeight="1">
      <c r="A18" s="271" t="s">
        <v>14</v>
      </c>
      <c r="B18" s="259" t="s">
        <v>2344</v>
      </c>
      <c r="C18" s="264">
        <v>0</v>
      </c>
      <c r="D18" s="1029"/>
      <c r="E18" s="262"/>
      <c r="F18" s="265">
        <v>3.0499999999999999E-2</v>
      </c>
      <c r="G18" s="263" t="s">
        <v>2345</v>
      </c>
    </row>
    <row r="19" spans="1:7" s="267" customFormat="1" ht="13.5" customHeight="1">
      <c r="A19" s="299" t="s">
        <v>2346</v>
      </c>
      <c r="B19" s="254" t="s">
        <v>2347</v>
      </c>
      <c r="C19" s="255">
        <f ca="1">IF(G19="已包含在土地取得成本中","0",ROUND(D19*E19/10000,0))</f>
        <v>538</v>
      </c>
      <c r="D19" s="1031">
        <f ca="1">D9+D10</f>
        <v>26881.280000000002</v>
      </c>
      <c r="E19" s="255">
        <f>'数据-取费表'!B31</f>
        <v>200</v>
      </c>
      <c r="F19" s="275"/>
      <c r="G19" s="2538" t="s">
        <v>1070</v>
      </c>
    </row>
    <row r="20" spans="1:7" s="258" customFormat="1" ht="13.5" customHeight="1">
      <c r="A20" s="299" t="s">
        <v>2348</v>
      </c>
      <c r="B20" s="254" t="s">
        <v>2349</v>
      </c>
      <c r="C20" s="276">
        <f ca="1">ROUND((C5+C19)*F20,0)</f>
        <v>734</v>
      </c>
      <c r="D20" s="276"/>
      <c r="E20" s="276"/>
      <c r="F20" s="277">
        <f>'数据-取费表'!B37</f>
        <v>2.5000000000000001E-2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49">
        <f ca="1">ROUND(SUM(C23:C25),0)</f>
        <v>2889</v>
      </c>
      <c r="D22" s="279">
        <f ca="1">C26</f>
        <v>1E-3</v>
      </c>
      <c r="E22" s="280" t="s">
        <v>2353</v>
      </c>
      <c r="F22" s="281">
        <f ca="1">'数据-取费表'!B40</f>
        <v>4.7500000000000001E-2</v>
      </c>
      <c r="G22" s="278" t="str">
        <f>IF('数据-取费表'!B22&lt;=1,"单利计息","复利计息")</f>
        <v>复利计息</v>
      </c>
    </row>
    <row r="23" spans="1:7" s="258" customFormat="1" ht="13.5" customHeight="1">
      <c r="A23" s="946" t="s">
        <v>2357</v>
      </c>
      <c r="B23" s="259" t="s">
        <v>2358</v>
      </c>
      <c r="C23" s="1350">
        <f ca="1">ROUND(IF('数据-取费表'!B22&lt;=1,C5*F22*'数据-取费表'!B23,C5*(POWER((1+F22),'数据-取费表'!B23)-1)),0)</f>
        <v>2802</v>
      </c>
      <c r="D23" s="282"/>
      <c r="E23" s="282"/>
      <c r="F23" s="283"/>
      <c r="G23" s="284" t="s">
        <v>2359</v>
      </c>
    </row>
    <row r="24" spans="1:7" s="258" customFormat="1" ht="13.5" customHeight="1">
      <c r="A24" s="946" t="s">
        <v>2360</v>
      </c>
      <c r="B24" s="259" t="s">
        <v>2361</v>
      </c>
      <c r="C24" s="1350">
        <f ca="1">ROUND(IF('数据-取费表'!B22&lt;=1,C19*F22*('数据-取费表'!B19/2+'数据-取费表'!B21),C19*(POWER((1+F22),('数据-取费表'!B19/2+'数据-取费表'!B21))-1)),0)</f>
        <v>52</v>
      </c>
      <c r="D24" s="282"/>
      <c r="E24" s="282"/>
      <c r="F24" s="283"/>
      <c r="G24" s="284" t="s">
        <v>2362</v>
      </c>
    </row>
    <row r="25" spans="1:7" s="258" customFormat="1" ht="24">
      <c r="A25" s="946" t="s">
        <v>2363</v>
      </c>
      <c r="B25" s="259" t="s">
        <v>2364</v>
      </c>
      <c r="C25" s="1350">
        <f ca="1">ROUND(IF('数据-取费表'!B22&lt;=1,C20*F22*'数据-取费表'!B23/2,C20*(POWER((1+F22),'数据-取费表'!B23/2)-1)),0)</f>
        <v>35</v>
      </c>
      <c r="D25" s="282"/>
      <c r="E25" s="285"/>
      <c r="F25" s="283"/>
      <c r="G25" s="286" t="s">
        <v>2365</v>
      </c>
    </row>
    <row r="26" spans="1:7" s="258" customFormat="1">
      <c r="A26" s="946" t="s">
        <v>795</v>
      </c>
      <c r="B26" s="259" t="s">
        <v>2366</v>
      </c>
      <c r="C26" s="282">
        <f ca="1">ROUND(IF('数据-取费表'!B22&lt;=1,F21*F22*'数据-取费表'!B23/2,F21*(POWER((1+F22),'数据-取费表'!B23/2)-1)),4)</f>
        <v>1E-3</v>
      </c>
      <c r="D26" s="282"/>
      <c r="E26" s="285"/>
      <c r="F26" s="283"/>
      <c r="G26" s="287"/>
    </row>
    <row r="27" spans="1:7" s="258" customFormat="1" ht="26.4">
      <c r="A27" s="299" t="s">
        <v>2367</v>
      </c>
      <c r="B27" s="288" t="s">
        <v>2368</v>
      </c>
      <c r="C27" s="289">
        <f ca="1">C28</f>
        <v>3911</v>
      </c>
      <c r="D27" s="279">
        <f ca="1">C29</f>
        <v>2.5999999999999999E-3</v>
      </c>
      <c r="E27" s="280" t="s">
        <v>2369</v>
      </c>
      <c r="F27" s="290">
        <f ca="1">IF(B1="",'数据-取费表'!Q16,INDIRECT("'数据-取费表'!q"&amp;$G$1))</f>
        <v>0.13</v>
      </c>
      <c r="G27" s="291" t="s">
        <v>2370</v>
      </c>
    </row>
    <row r="28" spans="1:7" s="258" customFormat="1" ht="13.5" customHeight="1">
      <c r="A28" s="946" t="s">
        <v>791</v>
      </c>
      <c r="B28" s="292" t="s">
        <v>2371</v>
      </c>
      <c r="C28" s="293">
        <f ca="1">ROUND((C5+C19+C20)*F27*'数据-取费表'!B21/'数据-取费表'!B20,0)</f>
        <v>3911</v>
      </c>
      <c r="D28" s="279"/>
      <c r="E28" s="280"/>
      <c r="F28" s="290"/>
      <c r="G28" s="291"/>
    </row>
    <row r="29" spans="1:7" s="258" customFormat="1" ht="13.5" customHeight="1">
      <c r="A29" s="946" t="s">
        <v>792</v>
      </c>
      <c r="B29" s="292" t="s">
        <v>2372</v>
      </c>
      <c r="C29" s="282">
        <f ca="1">ROUND(C21*F27*'数据-取费表'!B21/'数据-取费表'!B20,4)</f>
        <v>2.5999999999999999E-3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39957</v>
      </c>
      <c r="D31" s="274"/>
      <c r="E31" s="255"/>
      <c r="F31" s="294"/>
      <c r="G31" s="278" t="s">
        <v>2377</v>
      </c>
    </row>
    <row r="32" spans="1:7" s="252" customFormat="1" ht="16.2">
      <c r="A32" s="296" t="s">
        <v>2378</v>
      </c>
      <c r="B32" s="297"/>
      <c r="C32" s="297"/>
      <c r="D32" s="297"/>
      <c r="E32" s="297"/>
      <c r="F32" s="297"/>
      <c r="G32" s="298"/>
    </row>
    <row r="33" spans="1:7" s="258" customFormat="1" ht="13.5" customHeight="1">
      <c r="A33" s="299" t="s">
        <v>782</v>
      </c>
      <c r="B33" s="254" t="s">
        <v>2379</v>
      </c>
      <c r="C33" s="300">
        <f ca="1">SUM(C34:C38)</f>
        <v>14090</v>
      </c>
      <c r="D33" s="276"/>
      <c r="E33" s="256"/>
      <c r="F33" s="285"/>
      <c r="G33" s="278"/>
    </row>
    <row r="34" spans="1:7" s="302" customFormat="1" ht="13.5" customHeight="1">
      <c r="A34" s="946" t="s">
        <v>791</v>
      </c>
      <c r="B34" s="259" t="s">
        <v>2380</v>
      </c>
      <c r="C34" s="264">
        <f ca="1">IF(B1="",IF(F34=100%,'数据-取费表'!M16,'数据-取费表'!O16),IF(F34=100%,INDIRECT("'数据-取费表'!m"&amp;$G$1)+INDIRECT("'数据-取费表'!t"&amp;$G$1),INDIRECT("'数据-取费表'!o"&amp;$G$1)+INDIRECT("'数据-取费表'!aq"&amp;$G$1)))</f>
        <v>12725</v>
      </c>
      <c r="D34" s="261"/>
      <c r="E34" s="264"/>
      <c r="F34" s="301">
        <f ca="1">IF('数据-取费表'!B24=0,1,IF(B1="",'数据-取费表'!N16,INDIRECT("'数据-取费表'!n"&amp;$G$1)))</f>
        <v>1</v>
      </c>
      <c r="G34" s="263" t="s">
        <v>2381</v>
      </c>
    </row>
    <row r="35" spans="1:7" ht="13.5" customHeight="1">
      <c r="A35" s="946" t="s">
        <v>796</v>
      </c>
      <c r="B35" s="259" t="s">
        <v>2382</v>
      </c>
      <c r="C35" s="264">
        <f ca="1">ROUND(C34*F35,0)</f>
        <v>636</v>
      </c>
      <c r="D35" s="264"/>
      <c r="E35" s="264"/>
      <c r="F35" s="303">
        <f>'数据-取费表'!B33</f>
        <v>0.05</v>
      </c>
      <c r="G35" s="263" t="s">
        <v>2383</v>
      </c>
    </row>
    <row r="36" spans="1:7" ht="24">
      <c r="A36" s="946"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46" t="s">
        <v>798</v>
      </c>
      <c r="B37" s="259" t="s">
        <v>2386</v>
      </c>
      <c r="C37" s="293">
        <f ca="1">ROUND(E37*D37*F34/10000,0)</f>
        <v>538</v>
      </c>
      <c r="D37" s="261">
        <f ca="1">D19</f>
        <v>26881.280000000002</v>
      </c>
      <c r="E37" s="293">
        <f>'数据-取费表'!B35</f>
        <v>200</v>
      </c>
      <c r="F37" s="303"/>
      <c r="G37" s="305" t="s">
        <v>2387</v>
      </c>
    </row>
    <row r="38" spans="1:7" ht="13.5" customHeight="1">
      <c r="A38" s="946" t="s">
        <v>799</v>
      </c>
      <c r="B38" s="259" t="s">
        <v>2388</v>
      </c>
      <c r="C38" s="264">
        <f ca="1">ROUND(C34*F38,0)</f>
        <v>191</v>
      </c>
      <c r="D38" s="264"/>
      <c r="E38" s="264"/>
      <c r="F38" s="303">
        <f>'数据-取费表'!B36</f>
        <v>1.4999999999999999E-2</v>
      </c>
      <c r="G38" s="263" t="s">
        <v>2383</v>
      </c>
    </row>
    <row r="39" spans="1:7" s="258" customFormat="1" ht="13.5" customHeight="1">
      <c r="A39" s="299" t="s">
        <v>2389</v>
      </c>
      <c r="B39" s="254" t="s">
        <v>2390</v>
      </c>
      <c r="C39" s="276">
        <f ca="1">ROUND(C33*F20,0)</f>
        <v>352</v>
      </c>
      <c r="D39" s="276"/>
      <c r="E39" s="276"/>
      <c r="F39" s="277"/>
      <c r="G39" s="278" t="s">
        <v>2391</v>
      </c>
    </row>
    <row r="40" spans="1:7" s="258" customFormat="1" ht="13.5" customHeight="1">
      <c r="A40" s="299" t="s">
        <v>2392</v>
      </c>
      <c r="B40" s="254" t="s">
        <v>2393</v>
      </c>
      <c r="C40" s="1722">
        <f>F21</f>
        <v>0.02</v>
      </c>
      <c r="D40" s="280" t="s">
        <v>2394</v>
      </c>
      <c r="E40" s="276"/>
      <c r="F40" s="277"/>
      <c r="G40" s="278" t="s">
        <v>2395</v>
      </c>
    </row>
    <row r="41" spans="1:7" s="258" customFormat="1" ht="13.5" customHeight="1">
      <c r="A41" s="299" t="s">
        <v>2396</v>
      </c>
      <c r="B41" s="254" t="s">
        <v>2397</v>
      </c>
      <c r="C41" s="276">
        <f ca="1">ROUND(SUM(C42:C43),0)</f>
        <v>686</v>
      </c>
      <c r="D41" s="279">
        <f ca="1">C44</f>
        <v>1E-3</v>
      </c>
      <c r="E41" s="280" t="s">
        <v>2394</v>
      </c>
      <c r="F41" s="281"/>
      <c r="G41" s="278" t="str">
        <f>IF('数据-取费表'!B22&lt;=1,"单利计息","复利计息")</f>
        <v>复利计息</v>
      </c>
    </row>
    <row r="42" spans="1:7" ht="13.5" customHeight="1">
      <c r="A42" s="946" t="s">
        <v>791</v>
      </c>
      <c r="B42" s="259" t="s">
        <v>2398</v>
      </c>
      <c r="C42" s="282">
        <f ca="1">ROUND(IF('数据-取费表'!B22&lt;=1,C33*F22*'数据-取费表'!B21/2,C33*(POWER((1+F22),'数据-取费表'!B21/2)-1)),0)</f>
        <v>669</v>
      </c>
      <c r="D42" s="282"/>
      <c r="E42" s="282"/>
      <c r="F42" s="283"/>
      <c r="G42" s="3175" t="s">
        <v>2399</v>
      </c>
    </row>
    <row r="43" spans="1:7" ht="13.5" customHeight="1">
      <c r="A43" s="946" t="s">
        <v>792</v>
      </c>
      <c r="B43" s="259" t="s">
        <v>2400</v>
      </c>
      <c r="C43" s="282">
        <f ca="1">ROUND(IF('数据-取费表'!B22&lt;=1,C39*F22*'数据-取费表'!B21/2,C39*(POWER((1+F22),'数据-取费表'!B21/2)-1)),0)</f>
        <v>17</v>
      </c>
      <c r="D43" s="282"/>
      <c r="E43" s="282"/>
      <c r="F43" s="283"/>
      <c r="G43" s="3176"/>
    </row>
    <row r="44" spans="1:7" ht="13.5" customHeight="1">
      <c r="A44" s="946" t="s">
        <v>793</v>
      </c>
      <c r="B44" s="259" t="s">
        <v>2401</v>
      </c>
      <c r="C44" s="282">
        <f ca="1">ROUND(IF('数据-取费表'!B22&lt;=1,C40*F22*'数据-取费表'!B21/2,C40*(POWER((1+F22),'数据-取费表'!B21/2)-1)),4)</f>
        <v>1E-3</v>
      </c>
      <c r="D44" s="282"/>
      <c r="E44" s="282"/>
      <c r="F44" s="283"/>
      <c r="G44" s="3177"/>
    </row>
    <row r="45" spans="1:7" s="258" customFormat="1" ht="13.5" customHeight="1">
      <c r="A45" s="299" t="s">
        <v>2402</v>
      </c>
      <c r="B45" s="288" t="s">
        <v>2368</v>
      </c>
      <c r="C45" s="289">
        <f ca="1">C46</f>
        <v>1877</v>
      </c>
      <c r="D45" s="279">
        <f ca="1">C47</f>
        <v>2.5999999999999999E-3</v>
      </c>
      <c r="E45" s="280" t="s">
        <v>2394</v>
      </c>
      <c r="F45" s="290"/>
      <c r="G45" s="291" t="s">
        <v>2403</v>
      </c>
    </row>
    <row r="46" spans="1:7" s="258" customFormat="1" ht="13.5" customHeight="1">
      <c r="A46" s="946" t="s">
        <v>791</v>
      </c>
      <c r="B46" s="292" t="s">
        <v>2404</v>
      </c>
      <c r="C46" s="293">
        <f ca="1">ROUND((C33+C39)*F27,0)</f>
        <v>1877</v>
      </c>
      <c r="D46" s="307"/>
      <c r="E46" s="280"/>
      <c r="F46" s="290"/>
      <c r="G46" s="291"/>
    </row>
    <row r="47" spans="1:7" s="258" customFormat="1" ht="13.5" customHeight="1">
      <c r="A47" s="946" t="s">
        <v>792</v>
      </c>
      <c r="B47" s="292" t="s">
        <v>2405</v>
      </c>
      <c r="C47" s="282">
        <f ca="1">ROUND(C40*F27,4)</f>
        <v>2.5999999999999999E-3</v>
      </c>
      <c r="D47" s="307"/>
      <c r="E47" s="280"/>
      <c r="F47" s="290"/>
      <c r="G47" s="291"/>
    </row>
    <row r="48" spans="1:7" s="258" customFormat="1" ht="13.5" customHeight="1">
      <c r="A48" s="299" t="s">
        <v>2367</v>
      </c>
      <c r="B48" s="254" t="s">
        <v>2406</v>
      </c>
      <c r="C48" s="1722">
        <f>ROUND(F30/(1+'数据-取费表'!C42),4)</f>
        <v>5.33E-2</v>
      </c>
      <c r="D48" s="280" t="s">
        <v>2394</v>
      </c>
      <c r="E48" s="276"/>
      <c r="F48" s="281"/>
      <c r="G48" s="278" t="s">
        <v>2407</v>
      </c>
    </row>
    <row r="49" spans="1:7" ht="16.5" customHeight="1">
      <c r="A49" s="299" t="s">
        <v>2373</v>
      </c>
      <c r="B49" s="254" t="s">
        <v>2408</v>
      </c>
      <c r="C49" s="276">
        <f ca="1">ROUND((C33+C39+C41+C45)/(1-C40-D41-D45-C48),0)</f>
        <v>18422</v>
      </c>
      <c r="D49" s="276"/>
      <c r="E49" s="276"/>
      <c r="F49" s="308"/>
      <c r="G49" s="278" t="s">
        <v>2409</v>
      </c>
    </row>
    <row r="50" spans="1:7" s="302" customFormat="1" ht="24">
      <c r="A50" s="299" t="s">
        <v>2410</v>
      </c>
      <c r="B50" s="254" t="s">
        <v>2411</v>
      </c>
      <c r="C50" s="276"/>
      <c r="D50" s="276"/>
      <c r="E50" s="276"/>
      <c r="F50" s="308">
        <f>IF('数据-取费表'!B24=0,'数据-取费表'!N16,1)</f>
        <v>0.97</v>
      </c>
      <c r="G50" s="291" t="s">
        <v>2412</v>
      </c>
    </row>
    <row r="51" spans="1:7" ht="16.5" customHeight="1">
      <c r="A51" s="299" t="s">
        <v>2413</v>
      </c>
      <c r="B51" s="254" t="s">
        <v>2414</v>
      </c>
      <c r="C51" s="276">
        <f ca="1">ROUND(C49*F50,0)</f>
        <v>17869</v>
      </c>
      <c r="D51" s="276"/>
      <c r="E51" s="276"/>
      <c r="F51" s="308"/>
      <c r="G51" s="278" t="s">
        <v>2415</v>
      </c>
    </row>
    <row r="52" spans="1:7" s="252" customFormat="1" ht="16.8" thickBot="1">
      <c r="A52" s="309" t="s">
        <v>2416</v>
      </c>
      <c r="B52" s="310"/>
      <c r="C52" s="311">
        <f ca="1">C31+C51</f>
        <v>57826</v>
      </c>
      <c r="D52" s="310"/>
      <c r="E52" s="310"/>
      <c r="F52" s="310"/>
      <c r="G52" s="312"/>
    </row>
    <row r="55" spans="1:7" ht="15">
      <c r="B55" s="314" t="s">
        <v>2417</v>
      </c>
      <c r="C55" s="315"/>
    </row>
    <row r="56" spans="1:7">
      <c r="B56" s="317" t="s">
        <v>1507</v>
      </c>
      <c r="C56" s="319">
        <f ca="1">1-C57</f>
        <v>0.69100000000000006</v>
      </c>
    </row>
    <row r="57" spans="1:7">
      <c r="B57" s="317" t="s">
        <v>1508</v>
      </c>
      <c r="C57" s="318">
        <f ca="1">ROUND(C51/C52,3)</f>
        <v>0.309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2316</v>
      </c>
      <c r="B1" s="1922"/>
      <c r="C1" s="2541" t="s">
        <v>2418</v>
      </c>
      <c r="D1" s="242"/>
      <c r="E1" s="242"/>
      <c r="F1" s="242"/>
      <c r="G1" s="1374">
        <f>MATCH(B1,'数据-取费表'!A6:A16,0)+5</f>
        <v>10</v>
      </c>
      <c r="H1" s="1277" t="str">
        <f>IF(ISERROR(FIND("住宅",B1)),"非住宅","住宅")</f>
        <v>非住宅</v>
      </c>
    </row>
    <row r="2" spans="1:8" s="244" customFormat="1" ht="18" customHeight="1">
      <c r="A2" s="245" t="s">
        <v>2317</v>
      </c>
      <c r="B2" s="246">
        <f ca="1">ROUND(IF(D2="——",C52/10000,C52/10000-E2),0)</f>
        <v>19333</v>
      </c>
      <c r="C2" s="243" t="s">
        <v>2318</v>
      </c>
      <c r="D2" s="2535" t="s">
        <v>70</v>
      </c>
      <c r="E2" s="1435" t="e">
        <f ca="1">SUMIF(INDIRECT("'"&amp;G2&amp;"'"&amp;"!A:A"),"承租人权益价值",INDIRECT("'"&amp;G2&amp;"'"&amp;"!c:c"))</f>
        <v>#REF!</v>
      </c>
      <c r="F2" s="2536" t="s">
        <v>2318</v>
      </c>
      <c r="G2" s="2537"/>
    </row>
    <row r="3" spans="1:8" s="244" customFormat="1" ht="18" customHeight="1" thickBot="1">
      <c r="A3" s="247" t="s">
        <v>2319</v>
      </c>
      <c r="B3" s="248">
        <f ca="1">ROUND(B2*10000/(IF(B1="",'数据-汇总表'!E3,INDIRECT("'数据-取费表'!k"&amp;$G$1))),0)</f>
        <v>7192</v>
      </c>
      <c r="C3" s="243" t="s">
        <v>2320</v>
      </c>
      <c r="D3" s="243"/>
      <c r="E3" s="243"/>
      <c r="F3" s="243"/>
      <c r="G3" s="243"/>
    </row>
    <row r="4" spans="1:8" s="252" customFormat="1" ht="16.2">
      <c r="A4" s="249" t="s">
        <v>2321</v>
      </c>
      <c r="B4" s="250"/>
      <c r="C4" s="250"/>
      <c r="D4" s="250"/>
      <c r="E4" s="250"/>
      <c r="F4" s="250"/>
      <c r="G4" s="251"/>
    </row>
    <row r="5" spans="1:8" s="258" customFormat="1" ht="13.5" customHeight="1">
      <c r="A5" s="299" t="s">
        <v>2322</v>
      </c>
      <c r="B5" s="254" t="s">
        <v>2323</v>
      </c>
      <c r="C5" s="255">
        <f ca="1">C6+C7+C8</f>
        <v>5376256</v>
      </c>
      <c r="D5" s="255" t="s">
        <v>2324</v>
      </c>
      <c r="E5" s="256" t="s">
        <v>2325</v>
      </c>
      <c r="F5" s="256" t="s">
        <v>2326</v>
      </c>
      <c r="G5" s="257"/>
    </row>
    <row r="6" spans="1:8" s="258" customFormat="1" ht="13.5" customHeight="1">
      <c r="A6" s="944" t="s">
        <v>2327</v>
      </c>
      <c r="B6" s="259" t="s">
        <v>2328</v>
      </c>
      <c r="C6" s="260"/>
      <c r="D6" s="261"/>
      <c r="E6" s="262"/>
      <c r="F6" s="262"/>
      <c r="G6" s="263"/>
    </row>
    <row r="7" spans="1:8" s="258" customFormat="1" ht="13.5" customHeight="1">
      <c r="A7" s="944" t="s">
        <v>2329</v>
      </c>
      <c r="B7" s="259" t="s">
        <v>2330</v>
      </c>
      <c r="C7" s="264">
        <f>ROUND(C6*F7,0)</f>
        <v>0</v>
      </c>
      <c r="D7" s="264"/>
      <c r="E7" s="262"/>
      <c r="F7" s="265">
        <f>IF(项目基本情况!B8="出让",0,'数据-取费表'!B48+'数据-取费表'!B49)</f>
        <v>3.0499999999999999E-2</v>
      </c>
      <c r="G7" s="263"/>
    </row>
    <row r="8" spans="1:8" s="267" customFormat="1">
      <c r="A8" s="944" t="s">
        <v>2331</v>
      </c>
      <c r="B8" s="259" t="s">
        <v>2332</v>
      </c>
      <c r="C8" s="264">
        <f ca="1">IF(G8="已包含在土地购买价格中",0,C9+C10)</f>
        <v>5376256</v>
      </c>
      <c r="D8" s="266"/>
      <c r="E8" s="264"/>
      <c r="F8" s="265"/>
      <c r="G8" s="2538"/>
    </row>
    <row r="9" spans="1:8" s="258" customFormat="1" ht="13.5" customHeight="1">
      <c r="A9" s="945" t="s">
        <v>800</v>
      </c>
      <c r="B9" s="268" t="s">
        <v>2333</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2335</v>
      </c>
      <c r="C10" s="269">
        <f ca="1">ROUND(D10*E10,0)</f>
        <v>5376256</v>
      </c>
      <c r="D10" s="1027">
        <f ca="1">IF(B1="",'数据-汇总表'!E6,IF(INDIRECT("'数据-取费表'!c"&amp;$G$1)="住宅",INDIRECT("'数据-取费表'!s"&amp;$G$1),INDIRECT("'数据-取费表'!k"&amp;$G$1)+INDIRECT("'数据-取费表'!s"&amp;$G$1)))</f>
        <v>26881.280000000002</v>
      </c>
      <c r="E10" s="269">
        <f>'数据-取费表'!B28</f>
        <v>200</v>
      </c>
      <c r="F10" s="265"/>
      <c r="G10" s="270"/>
    </row>
    <row r="11" spans="1:8" s="258" customFormat="1" ht="13.5" hidden="1" customHeight="1">
      <c r="A11" s="271" t="s">
        <v>7</v>
      </c>
      <c r="B11" s="259" t="s">
        <v>2336</v>
      </c>
      <c r="C11" s="255"/>
      <c r="D11" s="1029"/>
      <c r="E11" s="262"/>
      <c r="F11" s="262"/>
      <c r="G11" s="263"/>
    </row>
    <row r="12" spans="1:8" s="258" customFormat="1" ht="13.5" hidden="1" customHeight="1">
      <c r="A12" s="271" t="s">
        <v>8</v>
      </c>
      <c r="B12" s="259" t="s">
        <v>2419</v>
      </c>
      <c r="C12" s="255">
        <v>0</v>
      </c>
      <c r="D12" s="1029"/>
      <c r="E12" s="272"/>
      <c r="F12" s="265">
        <v>3.0499999999999999E-2</v>
      </c>
      <c r="G12" s="263"/>
    </row>
    <row r="13" spans="1:8" s="258" customFormat="1" ht="13.5" hidden="1" customHeight="1">
      <c r="A13" s="271" t="s">
        <v>9</v>
      </c>
      <c r="B13" s="259" t="s">
        <v>2420</v>
      </c>
      <c r="C13" s="255"/>
      <c r="D13" s="1029"/>
      <c r="E13" s="262"/>
      <c r="F13" s="262"/>
      <c r="G13" s="263"/>
    </row>
    <row r="14" spans="1:8" s="258" customFormat="1" ht="13.5" hidden="1" customHeight="1">
      <c r="A14" s="271" t="s">
        <v>10</v>
      </c>
      <c r="B14" s="259" t="s">
        <v>2332</v>
      </c>
      <c r="C14" s="255"/>
      <c r="D14" s="1029"/>
      <c r="E14" s="262"/>
      <c r="F14" s="262"/>
      <c r="G14" s="263" t="s">
        <v>2421</v>
      </c>
    </row>
    <row r="15" spans="1:8" s="258" customFormat="1" ht="13.5" hidden="1" customHeight="1">
      <c r="A15" s="271" t="s">
        <v>11</v>
      </c>
      <c r="B15" s="259" t="s">
        <v>2422</v>
      </c>
      <c r="C15" s="264"/>
      <c r="D15" s="1029"/>
      <c r="E15" s="262"/>
      <c r="F15" s="262"/>
      <c r="G15" s="263" t="s">
        <v>2423</v>
      </c>
    </row>
    <row r="16" spans="1:8" s="258" customFormat="1" ht="13.5" hidden="1" customHeight="1">
      <c r="A16" s="271" t="s">
        <v>12</v>
      </c>
      <c r="B16" s="259" t="s">
        <v>2332</v>
      </c>
      <c r="C16" s="264"/>
      <c r="D16" s="1029"/>
      <c r="E16" s="262"/>
      <c r="F16" s="262"/>
      <c r="G16" s="263"/>
    </row>
    <row r="17" spans="1:7" s="258" customFormat="1" ht="13.5" hidden="1" customHeight="1">
      <c r="A17" s="271" t="s">
        <v>13</v>
      </c>
      <c r="B17" s="259" t="s">
        <v>2424</v>
      </c>
      <c r="C17" s="273"/>
      <c r="D17" s="1030"/>
      <c r="E17" s="273"/>
      <c r="F17" s="273"/>
      <c r="G17" s="263" t="s">
        <v>2423</v>
      </c>
    </row>
    <row r="18" spans="1:7" s="258" customFormat="1" ht="13.5" hidden="1" customHeight="1">
      <c r="A18" s="271" t="s">
        <v>14</v>
      </c>
      <c r="B18" s="259" t="s">
        <v>2425</v>
      </c>
      <c r="C18" s="264">
        <v>0</v>
      </c>
      <c r="D18" s="1029"/>
      <c r="E18" s="262"/>
      <c r="F18" s="265">
        <v>3.0499999999999999E-2</v>
      </c>
      <c r="G18" s="263" t="s">
        <v>2426</v>
      </c>
    </row>
    <row r="19" spans="1:7" s="267" customFormat="1" ht="13.5" customHeight="1">
      <c r="A19" s="299" t="s">
        <v>2427</v>
      </c>
      <c r="B19" s="254" t="s">
        <v>2428</v>
      </c>
      <c r="C19" s="255">
        <f ca="1">IF(G19="已包含在土地取得成本中","0",ROUND(D19*E19,0))</f>
        <v>5376256</v>
      </c>
      <c r="D19" s="1031">
        <f ca="1">D9+D10</f>
        <v>26881.280000000002</v>
      </c>
      <c r="E19" s="255">
        <f>'数据-取费表'!B31</f>
        <v>200</v>
      </c>
      <c r="F19" s="275"/>
      <c r="G19" s="2538"/>
    </row>
    <row r="20" spans="1:7" s="258" customFormat="1" ht="13.5" customHeight="1">
      <c r="A20" s="299" t="s">
        <v>2429</v>
      </c>
      <c r="B20" s="254" t="s">
        <v>2430</v>
      </c>
      <c r="C20" s="276">
        <f ca="1">ROUND((C5+C19)*F20,0)</f>
        <v>268813</v>
      </c>
      <c r="D20" s="276"/>
      <c r="E20" s="276"/>
      <c r="F20" s="277">
        <f>'数据-取费表'!B37</f>
        <v>2.5000000000000001E-2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5">
        <f ca="1">ROUND(SUM(C23:C25),0)</f>
        <v>1058517</v>
      </c>
      <c r="D22" s="279">
        <f ca="1">C26</f>
        <v>1E-3</v>
      </c>
      <c r="E22" s="280" t="s">
        <v>2434</v>
      </c>
      <c r="F22" s="281">
        <f ca="1">'数据-取费表'!B40</f>
        <v>4.7500000000000001E-2</v>
      </c>
      <c r="G22" s="278" t="str">
        <f>IF('数据-取费表'!B22&lt;=1,"单利计息","复利计息")</f>
        <v>复利计息</v>
      </c>
    </row>
    <row r="23" spans="1:7" s="258" customFormat="1" ht="13.5" customHeight="1">
      <c r="A23" s="946" t="s">
        <v>2327</v>
      </c>
      <c r="B23" s="259" t="s">
        <v>2438</v>
      </c>
      <c r="C23" s="1376">
        <f ca="1">ROUND(IF('数据-取费表'!B22&lt;=1,C5*F22*'数据-取费表'!B22,C5*(POWER((1+F22),'数据-取费表'!B22)-1)),0)</f>
        <v>522874</v>
      </c>
      <c r="D23" s="282"/>
      <c r="E23" s="282"/>
      <c r="F23" s="283"/>
      <c r="G23" s="284" t="s">
        <v>2439</v>
      </c>
    </row>
    <row r="24" spans="1:7" s="258" customFormat="1" ht="13.5" customHeight="1">
      <c r="A24" s="946" t="s">
        <v>2329</v>
      </c>
      <c r="B24" s="259" t="s">
        <v>2440</v>
      </c>
      <c r="C24" s="1376">
        <f ca="1">ROUND(IF('数据-取费表'!B22&lt;=1,C19*F22*('数据-取费表'!B19/2+'数据-取费表'!B20),C19*(POWER((1+F22),('数据-取费表'!B19/2+'数据-取费表'!B20))-1)),0)</f>
        <v>522874</v>
      </c>
      <c r="D24" s="282"/>
      <c r="E24" s="282"/>
      <c r="F24" s="283"/>
      <c r="G24" s="284" t="s">
        <v>2441</v>
      </c>
    </row>
    <row r="25" spans="1:7" s="258" customFormat="1" ht="24">
      <c r="A25" s="946" t="s">
        <v>2331</v>
      </c>
      <c r="B25" s="259" t="s">
        <v>2442</v>
      </c>
      <c r="C25" s="1376">
        <f ca="1">ROUND(IF('数据-取费表'!B22&lt;=1,C20*F22*'数据-取费表'!B22/2,C20*(POWER((1+F22),'数据-取费表'!B22/2)-1)),0)</f>
        <v>12769</v>
      </c>
      <c r="D25" s="282"/>
      <c r="E25" s="285"/>
      <c r="F25" s="283"/>
      <c r="G25" s="286" t="s">
        <v>2443</v>
      </c>
    </row>
    <row r="26" spans="1:7" s="258" customFormat="1">
      <c r="A26" s="946" t="s">
        <v>795</v>
      </c>
      <c r="B26" s="259" t="s">
        <v>2366</v>
      </c>
      <c r="C26" s="282">
        <f ca="1">ROUND(IF('数据-取费表'!B22&lt;=1,F21*F22*'数据-取费表'!B22/2,F21*(POWER((1+F22),'数据-取费表'!B22/2)-1)),4)</f>
        <v>1E-3</v>
      </c>
      <c r="D26" s="282"/>
      <c r="E26" s="285"/>
      <c r="F26" s="283"/>
      <c r="G26" s="287"/>
    </row>
    <row r="27" spans="1:7" s="258" customFormat="1" ht="26.4">
      <c r="A27" s="299" t="s">
        <v>2367</v>
      </c>
      <c r="B27" s="288" t="s">
        <v>2368</v>
      </c>
      <c r="C27" s="289">
        <f ca="1">C28</f>
        <v>1432772</v>
      </c>
      <c r="D27" s="279">
        <f ca="1">C29</f>
        <v>2.5999999999999999E-3</v>
      </c>
      <c r="E27" s="280" t="s">
        <v>2369</v>
      </c>
      <c r="F27" s="290">
        <f ca="1">IF(B1="",'数据-取费表'!Q16,INDIRECT("'数据-取费表'!q"&amp;$G$1))</f>
        <v>0.13</v>
      </c>
      <c r="G27" s="291" t="s">
        <v>2370</v>
      </c>
    </row>
    <row r="28" spans="1:7" s="258" customFormat="1" ht="13.5" customHeight="1">
      <c r="A28" s="946" t="s">
        <v>791</v>
      </c>
      <c r="B28" s="292" t="s">
        <v>2371</v>
      </c>
      <c r="C28" s="293">
        <f ca="1">ROUND((C5+C19+C20)*F27,0)</f>
        <v>1432772</v>
      </c>
      <c r="D28" s="279"/>
      <c r="E28" s="280"/>
      <c r="F28" s="290"/>
      <c r="G28" s="291"/>
    </row>
    <row r="29" spans="1:7" s="258" customFormat="1" ht="13.5" customHeight="1">
      <c r="A29" s="946" t="s">
        <v>792</v>
      </c>
      <c r="B29" s="292" t="s">
        <v>2372</v>
      </c>
      <c r="C29" s="282">
        <f ca="1">ROUND(C21*F27,4)</f>
        <v>2.5999999999999999E-3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14638299</v>
      </c>
      <c r="D31" s="274"/>
      <c r="E31" s="255"/>
      <c r="F31" s="294"/>
      <c r="G31" s="278" t="s">
        <v>2377</v>
      </c>
    </row>
    <row r="32" spans="1:7" s="252" customFormat="1" ht="16.2">
      <c r="A32" s="296" t="s">
        <v>2444</v>
      </c>
      <c r="B32" s="297"/>
      <c r="C32" s="297"/>
      <c r="D32" s="297"/>
      <c r="E32" s="297"/>
      <c r="F32" s="297"/>
      <c r="G32" s="298"/>
    </row>
    <row r="33" spans="1:7" s="258" customFormat="1" ht="13.5" customHeight="1">
      <c r="A33" s="299" t="s">
        <v>782</v>
      </c>
      <c r="B33" s="254" t="s">
        <v>2445</v>
      </c>
      <c r="C33" s="300">
        <f ca="1">SUM(C34:C38)</f>
        <v>140894876</v>
      </c>
      <c r="D33" s="276"/>
      <c r="E33" s="256"/>
      <c r="F33" s="285"/>
      <c r="G33" s="278"/>
    </row>
    <row r="34" spans="1:7" s="302" customFormat="1" ht="13.5" customHeight="1">
      <c r="A34" s="946" t="s">
        <v>791</v>
      </c>
      <c r="B34" s="259" t="s">
        <v>2380</v>
      </c>
      <c r="C34" s="264">
        <f ca="1">ROUND(IF(B1="",SUMPRODUCT('数据-取费表'!K6:K14,'数据-取费表'!L6:L14),INDIRECT("'数据-取费表'!l"&amp;$G$1)*INDIRECT("'数据-取费表'!k"&amp;$G$1)+'数据-取费表'!L14*INDIRECT("'数据-取费表'!S"&amp;$G$1)),0)</f>
        <v>127247530</v>
      </c>
      <c r="D34" s="261"/>
      <c r="E34" s="264"/>
      <c r="F34" s="301"/>
      <c r="G34" s="263"/>
    </row>
    <row r="35" spans="1:7" ht="13.5" customHeight="1">
      <c r="A35" s="946" t="s">
        <v>796</v>
      </c>
      <c r="B35" s="259" t="s">
        <v>2382</v>
      </c>
      <c r="C35" s="264">
        <f ca="1">ROUND(C34*F35,0)</f>
        <v>6362377</v>
      </c>
      <c r="D35" s="264"/>
      <c r="E35" s="264"/>
      <c r="F35" s="303">
        <f>'数据-取费表'!B33</f>
        <v>0.05</v>
      </c>
      <c r="G35" s="263" t="s">
        <v>2383</v>
      </c>
    </row>
    <row r="36" spans="1:7" ht="24">
      <c r="A36" s="946"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46" t="s">
        <v>798</v>
      </c>
      <c r="B37" s="259" t="s">
        <v>2386</v>
      </c>
      <c r="C37" s="293">
        <f ca="1">ROUND(E37*D37,0)</f>
        <v>5376256</v>
      </c>
      <c r="D37" s="261">
        <f ca="1">D19</f>
        <v>26881.280000000002</v>
      </c>
      <c r="E37" s="293">
        <f>'数据-取费表'!B35</f>
        <v>200</v>
      </c>
      <c r="F37" s="303"/>
      <c r="G37" s="305"/>
    </row>
    <row r="38" spans="1:7" ht="13.5" customHeight="1">
      <c r="A38" s="946" t="s">
        <v>799</v>
      </c>
      <c r="B38" s="259" t="s">
        <v>2388</v>
      </c>
      <c r="C38" s="264">
        <f ca="1">ROUND(C34*F38,0)</f>
        <v>1908713</v>
      </c>
      <c r="D38" s="264"/>
      <c r="E38" s="264"/>
      <c r="F38" s="303">
        <f>'数据-取费表'!B36</f>
        <v>1.4999999999999999E-2</v>
      </c>
      <c r="G38" s="263" t="s">
        <v>2383</v>
      </c>
    </row>
    <row r="39" spans="1:7" s="258" customFormat="1" ht="13.5" customHeight="1">
      <c r="A39" s="299" t="s">
        <v>2389</v>
      </c>
      <c r="B39" s="254" t="s">
        <v>2390</v>
      </c>
      <c r="C39" s="276">
        <f ca="1">ROUND(C33*F20,0)</f>
        <v>3522372</v>
      </c>
      <c r="D39" s="276"/>
      <c r="E39" s="276"/>
      <c r="F39" s="277"/>
      <c r="G39" s="278" t="s">
        <v>2391</v>
      </c>
    </row>
    <row r="40" spans="1:7" s="258" customFormat="1" ht="13.5" customHeight="1">
      <c r="A40" s="299" t="s">
        <v>2392</v>
      </c>
      <c r="B40" s="254" t="s">
        <v>2393</v>
      </c>
      <c r="C40" s="1722">
        <f>F21</f>
        <v>0.02</v>
      </c>
      <c r="D40" s="280" t="s">
        <v>2394</v>
      </c>
      <c r="E40" s="276"/>
      <c r="F40" s="277"/>
      <c r="G40" s="278" t="s">
        <v>2395</v>
      </c>
    </row>
    <row r="41" spans="1:7" s="258" customFormat="1" ht="13.5" customHeight="1">
      <c r="A41" s="299" t="s">
        <v>2396</v>
      </c>
      <c r="B41" s="254" t="s">
        <v>2397</v>
      </c>
      <c r="C41" s="276">
        <f ca="1">ROUND(SUM(C42:C43),0)</f>
        <v>6859820</v>
      </c>
      <c r="D41" s="279">
        <f ca="1">C44</f>
        <v>1E-3</v>
      </c>
      <c r="E41" s="280" t="s">
        <v>2394</v>
      </c>
      <c r="F41" s="281"/>
      <c r="G41" s="278" t="str">
        <f>IF('数据-取费表'!B22&lt;=1,"单利计息","复利计息")</f>
        <v>复利计息</v>
      </c>
    </row>
    <row r="42" spans="1:7" ht="13.5" customHeight="1">
      <c r="A42" s="946" t="s">
        <v>791</v>
      </c>
      <c r="B42" s="259" t="s">
        <v>2398</v>
      </c>
      <c r="C42" s="282">
        <f ca="1">ROUND(IF('数据-取费表'!B22&lt;=1,C33*F22*'数据-取费表'!B20/2,C33*(POWER((1+F22),'数据-取费表'!B20/2)-1)),0)</f>
        <v>6692507</v>
      </c>
      <c r="D42" s="282"/>
      <c r="E42" s="282"/>
      <c r="F42" s="283"/>
      <c r="G42" s="3175" t="s">
        <v>2446</v>
      </c>
    </row>
    <row r="43" spans="1:7" ht="13.5" customHeight="1">
      <c r="A43" s="946" t="s">
        <v>792</v>
      </c>
      <c r="B43" s="259" t="s">
        <v>2400</v>
      </c>
      <c r="C43" s="282">
        <f ca="1">ROUND(IF('数据-取费表'!B22&lt;=1,C39*F22*'数据-取费表'!B20/2,C39*(POWER((1+F22),'数据-取费表'!B20/2)-1)),0)</f>
        <v>167313</v>
      </c>
      <c r="D43" s="282"/>
      <c r="E43" s="282"/>
      <c r="F43" s="283"/>
      <c r="G43" s="3176"/>
    </row>
    <row r="44" spans="1:7" ht="13.5" customHeight="1">
      <c r="A44" s="946" t="s">
        <v>793</v>
      </c>
      <c r="B44" s="259" t="s">
        <v>2401</v>
      </c>
      <c r="C44" s="282">
        <f ca="1">ROUND(IF('数据-取费表'!B22&lt;=1,C40*F22*'数据-取费表'!B20/2,C40*(POWER((1+F22),'数据-取费表'!B20/2)-1)),4)</f>
        <v>1E-3</v>
      </c>
      <c r="D44" s="282"/>
      <c r="E44" s="282"/>
      <c r="F44" s="283"/>
      <c r="G44" s="3177"/>
    </row>
    <row r="45" spans="1:7" s="258" customFormat="1" ht="13.5" customHeight="1">
      <c r="A45" s="299" t="s">
        <v>2402</v>
      </c>
      <c r="B45" s="288" t="s">
        <v>2368</v>
      </c>
      <c r="C45" s="289">
        <f ca="1">C46</f>
        <v>18774242</v>
      </c>
      <c r="D45" s="279">
        <f ca="1">C47</f>
        <v>2.5999999999999999E-3</v>
      </c>
      <c r="E45" s="280" t="s">
        <v>2394</v>
      </c>
      <c r="F45" s="290"/>
      <c r="G45" s="291" t="s">
        <v>2403</v>
      </c>
    </row>
    <row r="46" spans="1:7" s="258" customFormat="1" ht="13.5" customHeight="1">
      <c r="A46" s="946" t="s">
        <v>791</v>
      </c>
      <c r="B46" s="292" t="s">
        <v>2404</v>
      </c>
      <c r="C46" s="293">
        <f ca="1">ROUND((C33+C39)*F27,0)</f>
        <v>18774242</v>
      </c>
      <c r="D46" s="307"/>
      <c r="E46" s="280"/>
      <c r="F46" s="290"/>
      <c r="G46" s="291"/>
    </row>
    <row r="47" spans="1:7" s="258" customFormat="1" ht="13.5" customHeight="1">
      <c r="A47" s="946" t="s">
        <v>792</v>
      </c>
      <c r="B47" s="292" t="s">
        <v>2405</v>
      </c>
      <c r="C47" s="282">
        <f ca="1">ROUND(C40*F27,4)</f>
        <v>2.5999999999999999E-3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184217647</v>
      </c>
      <c r="D49" s="276"/>
      <c r="E49" s="276"/>
      <c r="F49" s="308"/>
      <c r="G49" s="278" t="s">
        <v>2409</v>
      </c>
    </row>
    <row r="50" spans="1:7" s="302" customFormat="1">
      <c r="A50" s="299" t="s">
        <v>2410</v>
      </c>
      <c r="B50" s="254" t="s">
        <v>2411</v>
      </c>
      <c r="C50" s="276"/>
      <c r="D50" s="276"/>
      <c r="E50" s="276"/>
      <c r="F50" s="308">
        <f>IF('数据-取费表'!B24=0,'数据-取费表'!N16,1)</f>
        <v>0.97</v>
      </c>
      <c r="G50" s="291"/>
    </row>
    <row r="51" spans="1:7" ht="16.5" customHeight="1">
      <c r="A51" s="299" t="s">
        <v>2413</v>
      </c>
      <c r="B51" s="254" t="s">
        <v>2448</v>
      </c>
      <c r="C51" s="276">
        <f ca="1">ROUND(C49*F50,0)</f>
        <v>178691118</v>
      </c>
      <c r="D51" s="276"/>
      <c r="E51" s="276"/>
      <c r="F51" s="308"/>
      <c r="G51" s="278" t="s">
        <v>2415</v>
      </c>
    </row>
    <row r="52" spans="1:7" s="252" customFormat="1" ht="16.8" thickBot="1">
      <c r="A52" s="309" t="s">
        <v>2416</v>
      </c>
      <c r="B52" s="310"/>
      <c r="C52" s="311">
        <f ca="1">C31+C51</f>
        <v>193329417</v>
      </c>
      <c r="D52" s="310"/>
      <c r="E52" s="310"/>
      <c r="F52" s="310"/>
      <c r="G52" s="312"/>
    </row>
    <row r="55" spans="1:7" ht="15">
      <c r="B55" s="314" t="s">
        <v>2417</v>
      </c>
      <c r="C55" s="315"/>
    </row>
    <row r="56" spans="1:7">
      <c r="B56" s="317" t="s">
        <v>1507</v>
      </c>
      <c r="C56" s="319">
        <f ca="1">1-C57</f>
        <v>7.5999999999999956E-2</v>
      </c>
    </row>
    <row r="57" spans="1:7">
      <c r="B57" s="317" t="s">
        <v>1508</v>
      </c>
      <c r="C57" s="318">
        <f ca="1">ROUND(C51/C52,3)</f>
        <v>0.92400000000000004</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47" customWidth="1"/>
    <col min="3" max="3" width="10.33203125" style="990" customWidth="1"/>
    <col min="4" max="4" width="9.88671875" style="947" customWidth="1"/>
    <col min="5" max="5" width="9.44140625" style="798" customWidth="1"/>
    <col min="6" max="6" width="10.109375" style="947" customWidth="1"/>
    <col min="7" max="7" width="10.77734375" style="947" customWidth="1"/>
    <col min="8" max="8" width="10" style="947" customWidth="1"/>
    <col min="9" max="11" width="9.44140625" style="947" customWidth="1"/>
    <col min="12" max="12" width="9" style="947" customWidth="1"/>
    <col min="13" max="13" width="10.44140625" style="947" bestFit="1" customWidth="1"/>
    <col min="14" max="254" width="9" style="947" customWidth="1"/>
    <col min="255" max="16384" width="6.6640625" style="947"/>
  </cols>
  <sheetData>
    <row r="1" spans="1:33" ht="21">
      <c r="A1" s="240" t="s">
        <v>2449</v>
      </c>
      <c r="B1" s="1575"/>
      <c r="C1" s="1576"/>
      <c r="D1" s="1574"/>
      <c r="E1" s="320"/>
      <c r="F1" s="320"/>
      <c r="G1" s="1575"/>
      <c r="H1" s="320"/>
      <c r="I1" s="320"/>
      <c r="J1" s="320"/>
      <c r="K1" s="320">
        <f>MATCH(C1,'数据-取费表'!A6:A16,0)+5</f>
        <v>10</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1" customFormat="1" ht="16.5" customHeight="1">
      <c r="A4" s="948" t="s">
        <v>2452</v>
      </c>
      <c r="B4" s="949"/>
      <c r="C4" s="991">
        <f>SUM(C8:K8)</f>
        <v>0</v>
      </c>
      <c r="D4" s="949"/>
      <c r="E4" s="949"/>
      <c r="F4" s="949"/>
      <c r="G4" s="949"/>
      <c r="H4" s="949"/>
      <c r="I4" s="949"/>
      <c r="J4" s="949"/>
      <c r="K4" s="950"/>
    </row>
    <row r="5" spans="1:33" s="955" customFormat="1" ht="25.2">
      <c r="A5" s="952" t="s">
        <v>2453</v>
      </c>
      <c r="B5" s="953" t="s">
        <v>2454</v>
      </c>
      <c r="C5" s="2542" t="s">
        <v>2455</v>
      </c>
      <c r="D5" s="2542" t="s">
        <v>2456</v>
      </c>
      <c r="E5" s="2542" t="s">
        <v>2457</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2458</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2461</v>
      </c>
      <c r="B8" s="177" t="s">
        <v>2462</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2463</v>
      </c>
      <c r="B9" s="949"/>
      <c r="C9" s="949"/>
      <c r="D9" s="949"/>
      <c r="E9" s="949"/>
      <c r="F9" s="949"/>
      <c r="G9" s="949"/>
      <c r="H9" s="949"/>
      <c r="I9" s="949"/>
      <c r="J9" s="949"/>
      <c r="K9" s="950"/>
    </row>
    <row r="10" spans="1:33" s="965" customFormat="1" ht="13.5" customHeight="1">
      <c r="A10" s="952" t="s">
        <v>2464</v>
      </c>
      <c r="B10" s="8" t="s">
        <v>2465</v>
      </c>
      <c r="C10" s="961" t="s">
        <v>2466</v>
      </c>
      <c r="D10" s="962" t="s">
        <v>2467</v>
      </c>
      <c r="E10" s="962" t="s">
        <v>2468</v>
      </c>
      <c r="F10" s="962" t="s">
        <v>2469</v>
      </c>
      <c r="G10" s="8"/>
      <c r="H10" s="963"/>
      <c r="I10" s="963"/>
      <c r="J10" s="963"/>
      <c r="K10" s="964"/>
    </row>
    <row r="11" spans="1:33" s="970" customFormat="1" ht="13.5" customHeight="1">
      <c r="A11" s="966" t="s">
        <v>1329</v>
      </c>
      <c r="B11" s="967" t="s">
        <v>2470</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2471</v>
      </c>
      <c r="C12" s="24">
        <f ca="1">ROUND(C11*F12,0)</f>
        <v>0</v>
      </c>
      <c r="D12" s="968"/>
      <c r="E12" s="375"/>
      <c r="F12" s="971">
        <f>'数据-取费表'!B33</f>
        <v>0.05</v>
      </c>
      <c r="G12" s="8" t="s">
        <v>2472</v>
      </c>
      <c r="H12" s="963"/>
      <c r="I12" s="963"/>
      <c r="J12" s="963"/>
      <c r="K12" s="964"/>
    </row>
    <row r="13" spans="1:33" s="970" customFormat="1" ht="13.5" customHeight="1">
      <c r="A13" s="966" t="s">
        <v>1331</v>
      </c>
      <c r="B13" s="967" t="s">
        <v>2473</v>
      </c>
      <c r="C13" s="24">
        <f ca="1">ROUND(IF(C1="",SUMIF('数据-取费表'!C:C,"住宅",'数据-取费表'!P:P)*F13,IF(INDIRECT("'数据-取费表'!c"&amp;$K$1)="住宅",INDIRECT("'数据-取费表'!P"&amp;$K$1)*F13,0)),0)</f>
        <v>0</v>
      </c>
      <c r="D13" s="1028"/>
      <c r="E13" s="375"/>
      <c r="F13" s="971">
        <f>'数据-取费表'!B34</f>
        <v>0</v>
      </c>
      <c r="G13" s="8" t="s">
        <v>2474</v>
      </c>
      <c r="H13" s="963"/>
      <c r="I13" s="963"/>
      <c r="J13" s="963"/>
      <c r="K13" s="964"/>
    </row>
    <row r="14" spans="1:33" s="972" customFormat="1" ht="13.5" customHeight="1">
      <c r="A14" s="966" t="s">
        <v>1332</v>
      </c>
      <c r="B14" s="967" t="s">
        <v>2475</v>
      </c>
      <c r="C14" s="24">
        <f ca="1">ROUND(D14*E14*F11/10000,0)</f>
        <v>0</v>
      </c>
      <c r="D14" s="1028">
        <f ca="1">IF(C1="",'数据-汇总表'!E3,INDIRECT("'数据-取费表'!K"&amp;$K$1)+INDIRECT("'数据-取费表'!S"&amp;$K$1))</f>
        <v>26881.280000000002</v>
      </c>
      <c r="E14" s="24">
        <f>'数据-取费表'!B35</f>
        <v>200</v>
      </c>
      <c r="F14" s="971"/>
      <c r="G14" s="8" t="s">
        <v>2476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2477</v>
      </c>
      <c r="C15" s="978">
        <f ca="1">ROUND(C11*F15,0)</f>
        <v>0</v>
      </c>
      <c r="D15" s="973"/>
      <c r="E15" s="978"/>
      <c r="F15" s="979">
        <f>'数据-取费表'!B36</f>
        <v>1.4999999999999999E-2</v>
      </c>
      <c r="G15" s="140" t="s">
        <v>2478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2479</v>
      </c>
      <c r="C16" s="978">
        <f ca="1">SUM(C11:C15)</f>
        <v>0</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2480</v>
      </c>
      <c r="C17" s="24">
        <f ca="1">ROUND(D17*E17/10000,0)</f>
        <v>0</v>
      </c>
      <c r="D17" s="1028">
        <f ca="1">D14</f>
        <v>26881.280000000002</v>
      </c>
      <c r="E17" s="24">
        <f>'数据-取费表'!B32</f>
        <v>0</v>
      </c>
      <c r="F17" s="973"/>
      <c r="G17" s="140" t="s">
        <v>2481</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2482</v>
      </c>
      <c r="C18" s="24">
        <f ca="1">C19+C20-IF(C1="",'数据-取费表'!B29,IF(G18="已全部缴纳",C19+C20,H18))</f>
        <v>0</v>
      </c>
      <c r="D18" s="1028"/>
      <c r="E18" s="24"/>
      <c r="F18" s="971"/>
      <c r="G18" s="2544"/>
      <c r="H18" s="1571"/>
      <c r="I18" s="2545" t="s">
        <v>2483</v>
      </c>
      <c r="J18" s="974"/>
      <c r="K18" s="975"/>
    </row>
    <row r="19" spans="1:33" s="970" customFormat="1" ht="13.5" customHeight="1">
      <c r="A19" s="966" t="s">
        <v>805</v>
      </c>
      <c r="B19" s="967" t="s">
        <v>2484</v>
      </c>
      <c r="C19" s="24">
        <f ca="1">ROUND(D19*E19/10000,0)</f>
        <v>0</v>
      </c>
      <c r="D19" s="1028">
        <f ca="1">IF(C1="",'数据-汇总表'!E5,IF(INDIRECT("'数据-取费表'!c"&amp;$K$1)="住宅",INDIRECT("'数据-取费表'!k"&amp;$K$1),0))</f>
        <v>0</v>
      </c>
      <c r="E19" s="24">
        <f>'数据-取费表'!B27</f>
        <v>160</v>
      </c>
      <c r="F19" s="971"/>
      <c r="G19" s="15"/>
      <c r="H19" s="1573"/>
      <c r="I19" s="976"/>
      <c r="J19" s="976"/>
      <c r="K19" s="977"/>
    </row>
    <row r="20" spans="1:33" s="970" customFormat="1" ht="13.5" customHeight="1">
      <c r="A20" s="966" t="s">
        <v>806</v>
      </c>
      <c r="B20" s="967" t="s">
        <v>2485</v>
      </c>
      <c r="C20" s="24">
        <f ca="1">ROUND(D20*E20/10000,0)</f>
        <v>538</v>
      </c>
      <c r="D20" s="1028">
        <f ca="1">IF(C1="",'数据-汇总表'!E6,IF(INDIRECT("'数据-取费表'!c"&amp;$K$1)="住宅",INDIRECT("'数据-取费表'!s"&amp;$K$1),INDIRECT("'数据-取费表'!k"&amp;$K$1)+INDIRECT("'数据-取费表'!s"&amp;$K$1)))</f>
        <v>26881.280000000002</v>
      </c>
      <c r="E20" s="24">
        <f>'数据-取费表'!B28</f>
        <v>200</v>
      </c>
      <c r="F20" s="971"/>
      <c r="G20" s="15"/>
      <c r="H20" s="976"/>
      <c r="I20" s="976"/>
      <c r="J20" s="976"/>
      <c r="K20" s="977"/>
    </row>
    <row r="21" spans="1:33" s="970" customFormat="1" ht="13.5" customHeight="1">
      <c r="A21" s="956" t="s">
        <v>802</v>
      </c>
      <c r="B21" s="980" t="s">
        <v>2486</v>
      </c>
      <c r="C21" s="981">
        <f ca="1">C16+C17+C18</f>
        <v>0</v>
      </c>
      <c r="D21" s="982"/>
      <c r="E21" s="325"/>
      <c r="F21" s="325"/>
      <c r="G21" s="140" t="s">
        <v>2487</v>
      </c>
      <c r="H21" s="974"/>
      <c r="I21" s="974"/>
      <c r="J21" s="974"/>
      <c r="K21" s="975"/>
    </row>
    <row r="22" spans="1:33" s="970" customFormat="1" ht="13.5" customHeight="1">
      <c r="A22" s="956" t="s">
        <v>2459</v>
      </c>
      <c r="B22" s="980" t="s">
        <v>2488</v>
      </c>
      <c r="C22" s="981">
        <f ca="1">ROUND(C21*F22,0)</f>
        <v>0</v>
      </c>
      <c r="D22" s="325"/>
      <c r="E22" s="325"/>
      <c r="F22" s="983">
        <f>'数据-取费表'!B37</f>
        <v>2.5000000000000001E-2</v>
      </c>
      <c r="G22" s="8" t="s">
        <v>2489</v>
      </c>
      <c r="H22" s="963"/>
      <c r="I22" s="963"/>
      <c r="J22" s="963"/>
      <c r="K22" s="964"/>
    </row>
    <row r="23" spans="1:33" s="970" customFormat="1" ht="13.5" customHeight="1">
      <c r="A23" s="956" t="s">
        <v>2461</v>
      </c>
      <c r="B23" s="980" t="s">
        <v>2490</v>
      </c>
      <c r="C23" s="981">
        <f ca="1">ROUND(C4*F23*F11,0)</f>
        <v>0</v>
      </c>
      <c r="D23" s="325"/>
      <c r="E23" s="325"/>
      <c r="F23" s="983">
        <f>'数据-取费表'!B38</f>
        <v>0.02</v>
      </c>
      <c r="G23" s="8" t="s">
        <v>2491</v>
      </c>
      <c r="H23" s="963"/>
      <c r="I23" s="963"/>
      <c r="J23" s="963"/>
      <c r="K23" s="964"/>
    </row>
    <row r="24" spans="1:33" s="970" customFormat="1" ht="13.5" customHeight="1">
      <c r="A24" s="956" t="s">
        <v>2492</v>
      </c>
      <c r="B24" s="980" t="s">
        <v>2493</v>
      </c>
      <c r="C24" s="324">
        <f>ROUND(F24/(1+'数据-取费表'!C42),4)</f>
        <v>2.9000000000000001E-2</v>
      </c>
      <c r="D24" s="325" t="s">
        <v>15</v>
      </c>
      <c r="E24" s="325"/>
      <c r="F24" s="983">
        <f>IF(项目基本情况!B8="出让",0,'数据-取费表'!B48+'数据-取费表'!B49)</f>
        <v>3.0499999999999999E-2</v>
      </c>
      <c r="G24" s="8" t="s">
        <v>2494</v>
      </c>
      <c r="H24" s="985"/>
      <c r="I24" s="985"/>
      <c r="J24" s="985"/>
      <c r="K24" s="986"/>
    </row>
    <row r="25" spans="1:33" s="970" customFormat="1" ht="13.5" customHeight="1">
      <c r="A25" s="956" t="s">
        <v>2495</v>
      </c>
      <c r="B25" s="982" t="s">
        <v>2496</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2497</v>
      </c>
      <c r="C26" s="1352">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2498</v>
      </c>
      <c r="C27" s="1353">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4"/>
      <c r="I27" s="974"/>
      <c r="J27" s="974"/>
      <c r="K27" s="975"/>
    </row>
    <row r="28" spans="1:33" s="333" customFormat="1" ht="13.5" customHeight="1">
      <c r="A28" s="956" t="s">
        <v>2499</v>
      </c>
      <c r="B28" s="2547" t="s">
        <v>2500</v>
      </c>
      <c r="C28" s="331">
        <f ca="1">C30</f>
        <v>0</v>
      </c>
      <c r="D28" s="324">
        <f ca="1">C29</f>
        <v>0</v>
      </c>
      <c r="E28" s="326" t="s">
        <v>15</v>
      </c>
      <c r="F28" s="332">
        <f ca="1">IF(C1="",'数据-取费表'!Q16,INDIRECT("'数据-取费表'!q"&amp;$K$1))</f>
        <v>0.13</v>
      </c>
      <c r="G28" s="984"/>
      <c r="H28" s="985"/>
      <c r="I28" s="985"/>
      <c r="J28" s="985"/>
      <c r="K28" s="986"/>
    </row>
    <row r="29" spans="1:33" s="335" customFormat="1" ht="13.5" customHeight="1">
      <c r="A29" s="966" t="s">
        <v>803</v>
      </c>
      <c r="B29" s="989" t="s">
        <v>2501</v>
      </c>
      <c r="C29" s="328">
        <f ca="1">ROUND((1+C24)*F28*'数据-取费表'!B24/'数据-取费表'!B20,4)</f>
        <v>0</v>
      </c>
      <c r="D29" s="328"/>
      <c r="E29" s="329"/>
      <c r="F29" s="334"/>
      <c r="G29" s="140" t="s">
        <v>2502</v>
      </c>
      <c r="H29" s="974"/>
      <c r="I29" s="974"/>
      <c r="J29" s="974"/>
      <c r="K29" s="975"/>
    </row>
    <row r="30" spans="1:33" s="335" customFormat="1" ht="13.5" customHeight="1">
      <c r="A30" s="966" t="s">
        <v>804</v>
      </c>
      <c r="B30" s="989" t="s">
        <v>2503</v>
      </c>
      <c r="C30" s="336">
        <f ca="1">ROUND((C21+C22+C23)*F28,0)</f>
        <v>0</v>
      </c>
      <c r="D30" s="328"/>
      <c r="E30" s="329"/>
      <c r="F30" s="334"/>
      <c r="G30" s="140"/>
      <c r="H30" s="974"/>
      <c r="I30" s="974"/>
      <c r="J30" s="974"/>
      <c r="K30" s="975"/>
    </row>
    <row r="31" spans="1:33" s="970" customFormat="1" ht="13.5" customHeight="1" thickBot="1">
      <c r="A31" s="2548" t="s">
        <v>2504</v>
      </c>
      <c r="B31" s="1000" t="s">
        <v>2505</v>
      </c>
      <c r="C31" s="1001">
        <f>ROUND(C4*F31/(1+'数据-取费表'!C42),0)</f>
        <v>0</v>
      </c>
      <c r="D31" s="1002"/>
      <c r="E31" s="1003"/>
      <c r="F31" s="1004">
        <f>'数据-取费表'!B41</f>
        <v>5.6000000000000001E-2</v>
      </c>
      <c r="G31" s="1005" t="s">
        <v>2506</v>
      </c>
      <c r="H31" s="1006"/>
      <c r="I31" s="1006"/>
      <c r="J31" s="1006"/>
      <c r="K31" s="1007"/>
    </row>
    <row r="32" spans="1:33" s="965" customFormat="1" ht="13.5" customHeight="1" thickBot="1">
      <c r="A32" s="995" t="s">
        <v>2507</v>
      </c>
      <c r="B32" s="996"/>
      <c r="C32" s="997">
        <f ca="1">ROUND((C4-C21-C22-C23-C25-C28-C31)/(1+C24+D25+D28),0)</f>
        <v>0</v>
      </c>
      <c r="D32" s="996"/>
      <c r="E32" s="996"/>
      <c r="F32" s="996"/>
      <c r="G32" s="998" t="s">
        <v>2508</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C48" sqref="C4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17955</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6679</v>
      </c>
      <c r="C3" s="247" t="s">
        <v>2736</v>
      </c>
      <c r="D3" s="1577"/>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179" t="s">
        <v>2638</v>
      </c>
      <c r="AC4" s="3178" t="s">
        <v>2639</v>
      </c>
    </row>
    <row r="5" spans="1:30">
      <c r="A5" s="404"/>
      <c r="B5" s="405"/>
      <c r="C5" s="3189" t="s">
        <v>2532</v>
      </c>
      <c r="D5" s="3190"/>
      <c r="E5" s="3187" t="str">
        <f>Sheet0!A6</f>
        <v>朝阳区金盏乡楼梓庄村1113-602地块</v>
      </c>
      <c r="F5" s="3188"/>
      <c r="G5" s="3189" t="str">
        <f>Sheet0!A8</f>
        <v>朝阳区金盏乡楼梓庄村1113-603地块</v>
      </c>
      <c r="H5" s="3190"/>
      <c r="I5" s="3189" t="str">
        <f>Sheet0!A9</f>
        <v>朝阳区金盏乡楼梓庄村1113-604地块</v>
      </c>
      <c r="J5" s="3190"/>
      <c r="K5" s="610"/>
      <c r="L5" s="1125"/>
      <c r="M5" s="1126"/>
      <c r="N5" s="1126"/>
      <c r="O5" s="1126"/>
      <c r="P5" s="3202"/>
      <c r="Q5" s="3203"/>
      <c r="R5" s="3185"/>
      <c r="S5" s="3186"/>
      <c r="T5" s="3185"/>
      <c r="U5" s="3186"/>
      <c r="V5" s="3208"/>
      <c r="W5" s="3208"/>
      <c r="X5" s="1799"/>
      <c r="Y5" s="3185"/>
      <c r="Z5" s="3186"/>
      <c r="AA5" s="3179"/>
      <c r="AB5" s="3179"/>
      <c r="AC5" s="3179"/>
    </row>
    <row r="6" spans="1:30" ht="15" thickBot="1">
      <c r="A6" s="406"/>
      <c r="B6" s="407"/>
      <c r="C6" s="3191" t="s">
        <v>2536</v>
      </c>
      <c r="D6" s="3192"/>
      <c r="E6" s="3193" t="s">
        <v>2536</v>
      </c>
      <c r="F6" s="3194"/>
      <c r="G6" s="3191" t="s">
        <v>2536</v>
      </c>
      <c r="H6" s="3192"/>
      <c r="I6" s="3191" t="s">
        <v>2536</v>
      </c>
      <c r="J6" s="3192"/>
      <c r="K6" s="610" t="s">
        <v>2537</v>
      </c>
      <c r="L6" s="1125"/>
      <c r="M6" s="1126"/>
      <c r="N6" s="1126"/>
      <c r="O6" s="1126"/>
      <c r="P6" s="3204"/>
      <c r="Q6" s="3205"/>
      <c r="R6" s="3185"/>
      <c r="S6" s="3186"/>
      <c r="T6" s="3206"/>
      <c r="U6" s="3207"/>
      <c r="V6" s="3208"/>
      <c r="W6" s="3208"/>
      <c r="X6" s="1799"/>
      <c r="Y6" s="3206"/>
      <c r="Z6" s="3207"/>
      <c r="AA6" s="3180"/>
      <c r="AB6" s="3180"/>
      <c r="AC6" s="3180"/>
    </row>
    <row r="7" spans="1:30" s="117" customFormat="1" ht="15" thickBot="1">
      <c r="A7" s="408" t="s">
        <v>2538</v>
      </c>
      <c r="B7" s="409"/>
      <c r="C7" s="410">
        <f>'数据-取费表'!B2</f>
        <v>44020</v>
      </c>
      <c r="D7" s="411">
        <v>100</v>
      </c>
      <c r="E7" s="412" t="str">
        <f>Sheet0!J6</f>
        <v>2017-04-14</v>
      </c>
      <c r="F7" s="413">
        <f>SUMIF(70:70,YEAR(E7)&amp;"-"&amp;INT((MONTH(E7)+2)/3),71:71)</f>
        <v>93.5</v>
      </c>
      <c r="G7" s="2684" t="str">
        <f>Sheet0!J8</f>
        <v>2017-03-30</v>
      </c>
      <c r="H7" s="411">
        <f>SUMIF(70:70,YEAR(G7)&amp;"-"&amp;INT((MONTH(G7)+2)/3),71:71)</f>
        <v>93</v>
      </c>
      <c r="I7" s="2684" t="str">
        <f>Sheet0!J9</f>
        <v>2017-03-30</v>
      </c>
      <c r="J7" s="411">
        <f>SUMIF(70:70,YEAR(I7)&amp;"-"&amp;INT((MONTH(I7)+2)/3),71:71)</f>
        <v>93</v>
      </c>
      <c r="K7" s="611"/>
      <c r="L7" s="1127"/>
      <c r="M7" s="1128"/>
      <c r="N7" s="1128"/>
      <c r="O7" s="1128"/>
      <c r="P7" s="3181" t="s">
        <v>2539</v>
      </c>
      <c r="Q7" s="3209"/>
      <c r="R7" s="770" t="s">
        <v>17</v>
      </c>
      <c r="S7" s="771">
        <f t="shared" ref="S7:S15" si="0">F7</f>
        <v>93.5</v>
      </c>
      <c r="T7" s="770" t="s">
        <v>17</v>
      </c>
      <c r="U7" s="771">
        <f t="shared" ref="U7:U15" si="1">H7</f>
        <v>93</v>
      </c>
      <c r="V7" s="770" t="s">
        <v>17</v>
      </c>
      <c r="W7" s="771">
        <f t="shared" ref="W7:W15" si="2">J7</f>
        <v>93</v>
      </c>
      <c r="X7" s="772"/>
      <c r="Y7" s="3181" t="s">
        <v>2539</v>
      </c>
      <c r="Z7" s="3182"/>
      <c r="AA7" s="773">
        <f>D7/F7</f>
        <v>1.0695187165775402</v>
      </c>
      <c r="AB7" s="773">
        <f>D7/H7</f>
        <v>1.075268817204301</v>
      </c>
      <c r="AC7" s="773">
        <f>D7/J7</f>
        <v>1.075268817204301</v>
      </c>
    </row>
    <row r="8" spans="1:30" s="117" customFormat="1" ht="15" thickBot="1">
      <c r="A8" s="408" t="s">
        <v>2540</v>
      </c>
      <c r="B8" s="409"/>
      <c r="C8" s="414" t="s">
        <v>2541</v>
      </c>
      <c r="D8" s="411">
        <v>100</v>
      </c>
      <c r="E8" s="414" t="s">
        <v>3136</v>
      </c>
      <c r="F8" s="413">
        <f>SUMIF(73:73,E8,74:74)-SUMIF(73:73,C8,74:74)+100</f>
        <v>100</v>
      </c>
      <c r="G8" s="414" t="s">
        <v>3136</v>
      </c>
      <c r="H8" s="411">
        <f>SUMIF(73:73,G8,74:74)-SUMIF(73:73,C8,74:74)+100</f>
        <v>100</v>
      </c>
      <c r="I8" s="414" t="s">
        <v>3136</v>
      </c>
      <c r="J8" s="411">
        <f>SUMIF(73:73,I8,74:74)-SUMIF(73:73,C8,74:74)+100</f>
        <v>100</v>
      </c>
      <c r="K8" s="611"/>
      <c r="L8" s="1127"/>
      <c r="M8" s="1128"/>
      <c r="N8" s="1128"/>
      <c r="O8" s="1128"/>
      <c r="P8" s="3181" t="s">
        <v>2542</v>
      </c>
      <c r="Q8" s="3182"/>
      <c r="R8" s="770" t="s">
        <v>17</v>
      </c>
      <c r="S8" s="771">
        <f t="shared" si="0"/>
        <v>100</v>
      </c>
      <c r="T8" s="770" t="s">
        <v>17</v>
      </c>
      <c r="U8" s="771">
        <f t="shared" si="1"/>
        <v>100</v>
      </c>
      <c r="V8" s="770" t="s">
        <v>17</v>
      </c>
      <c r="W8" s="771">
        <f t="shared" si="2"/>
        <v>100</v>
      </c>
      <c r="X8" s="772"/>
      <c r="Y8" s="3181" t="s">
        <v>2542</v>
      </c>
      <c r="Z8" s="3182"/>
      <c r="AA8" s="773">
        <f t="shared" ref="AA8:AA45" si="3">D8/F8</f>
        <v>1</v>
      </c>
      <c r="AB8" s="773">
        <f t="shared" ref="AB8:AB45" si="4">D8/H8</f>
        <v>1</v>
      </c>
      <c r="AC8" s="773">
        <f t="shared" ref="AC8:AC45" si="5">D8/J8</f>
        <v>1</v>
      </c>
    </row>
    <row r="9" spans="1:30" s="117" customFormat="1" ht="14.4">
      <c r="A9" s="415" t="s">
        <v>2543</v>
      </c>
      <c r="B9" s="71" t="s">
        <v>2544</v>
      </c>
      <c r="C9" s="2687" t="s">
        <v>1372</v>
      </c>
      <c r="D9" s="135">
        <v>100</v>
      </c>
      <c r="E9" s="2687" t="s">
        <v>1372</v>
      </c>
      <c r="F9" s="135">
        <f>SUMIF(75:75,E9,76:76)-SUMIF(75:75,C9,76:76)+100</f>
        <v>100</v>
      </c>
      <c r="G9" s="2687" t="s">
        <v>1372</v>
      </c>
      <c r="H9" s="135">
        <f>SUMIF(75:75,G9,76:76)-SUMIF(75:75,C9,76:76)+100</f>
        <v>100</v>
      </c>
      <c r="I9" s="2687" t="s">
        <v>1372</v>
      </c>
      <c r="J9" s="135">
        <f>SUMIF(75:75,I9,76:76)-SUMIF(75:75,C9,76:76)+100</f>
        <v>100</v>
      </c>
      <c r="K9" s="611"/>
      <c r="L9" s="1127"/>
      <c r="M9" s="1128"/>
      <c r="N9" s="1128"/>
      <c r="O9" s="1129"/>
      <c r="P9" s="3195"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773">
        <f t="shared" si="5"/>
        <v>1</v>
      </c>
    </row>
    <row r="10" spans="1:30" s="427" customFormat="1" ht="28.8">
      <c r="A10" s="421"/>
      <c r="B10" s="422" t="s">
        <v>2547</v>
      </c>
      <c r="C10" s="432"/>
      <c r="D10" s="136">
        <v>100</v>
      </c>
      <c r="E10" s="465"/>
      <c r="F10" s="136">
        <f>ROUND(100/'数据-取费表'!G16,0)</f>
        <v>130</v>
      </c>
      <c r="G10" s="463"/>
      <c r="H10" s="136">
        <f>ROUND(100/'数据-取费表'!G16,0)</f>
        <v>130</v>
      </c>
      <c r="I10" s="463"/>
      <c r="J10" s="136">
        <f>ROUND(100/'数据-取费表'!G16,0)</f>
        <v>130</v>
      </c>
      <c r="K10" s="672"/>
      <c r="L10" s="1130"/>
      <c r="M10" s="1131"/>
      <c r="N10" s="1131"/>
      <c r="O10" s="1132"/>
      <c r="P10" s="3195"/>
      <c r="Q10" s="1781" t="str">
        <f t="shared" si="6"/>
        <v>土地使用年限（年）</v>
      </c>
      <c r="R10" s="770" t="s">
        <v>17</v>
      </c>
      <c r="S10" s="771">
        <f t="shared" si="0"/>
        <v>130</v>
      </c>
      <c r="T10" s="770" t="s">
        <v>17</v>
      </c>
      <c r="U10" s="771">
        <f t="shared" si="1"/>
        <v>130</v>
      </c>
      <c r="V10" s="770" t="s">
        <v>17</v>
      </c>
      <c r="W10" s="771">
        <f t="shared" si="2"/>
        <v>130</v>
      </c>
      <c r="X10" s="772"/>
      <c r="Y10" s="3053"/>
      <c r="Z10" s="55" t="str">
        <f t="shared" si="7"/>
        <v>土地使用年限（年）</v>
      </c>
      <c r="AA10" s="773">
        <f t="shared" si="3"/>
        <v>0.76923076923076927</v>
      </c>
      <c r="AB10" s="773">
        <f t="shared" si="4"/>
        <v>0.76923076923076927</v>
      </c>
      <c r="AC10" s="773">
        <f t="shared" si="5"/>
        <v>0.76923076923076927</v>
      </c>
    </row>
    <row r="11" spans="1:30" ht="15">
      <c r="A11" s="428"/>
      <c r="B11" s="422" t="s">
        <v>2548</v>
      </c>
      <c r="C11" s="2985">
        <f>'数据-汇总表'!I4</f>
        <v>1.35</v>
      </c>
      <c r="D11" s="136">
        <v>100</v>
      </c>
      <c r="E11" s="429">
        <v>3</v>
      </c>
      <c r="F11" s="136">
        <f>LOOKUP(E11,80:80,81:81)-LOOKUP(C11,80:80,81:81)+100</f>
        <v>94</v>
      </c>
      <c r="G11" s="430">
        <v>2</v>
      </c>
      <c r="H11" s="136">
        <f>LOOKUP(G11,80:80,81:81)-LOOKUP(C11,80:80,81:81)+100</f>
        <v>97</v>
      </c>
      <c r="I11" s="429">
        <v>2</v>
      </c>
      <c r="J11" s="136">
        <f>LOOKUP(I11,80:80,81:81)-LOOKUP(C11,80:80,81:81)+100</f>
        <v>97</v>
      </c>
      <c r="K11" s="673">
        <v>3</v>
      </c>
      <c r="L11" s="1133"/>
      <c r="M11" s="1126"/>
      <c r="N11" s="1126"/>
      <c r="O11" s="1134"/>
      <c r="P11" s="3195"/>
      <c r="Q11" s="1781" t="str">
        <f t="shared" si="6"/>
        <v>容积率</v>
      </c>
      <c r="R11" s="770" t="s">
        <v>17</v>
      </c>
      <c r="S11" s="771">
        <f t="shared" si="0"/>
        <v>94</v>
      </c>
      <c r="T11" s="770" t="s">
        <v>17</v>
      </c>
      <c r="U11" s="771">
        <f t="shared" si="1"/>
        <v>97</v>
      </c>
      <c r="V11" s="770" t="s">
        <v>17</v>
      </c>
      <c r="W11" s="771">
        <f t="shared" si="2"/>
        <v>97</v>
      </c>
      <c r="X11" s="772"/>
      <c r="Y11" s="3053"/>
      <c r="Z11" s="55" t="str">
        <f t="shared" si="7"/>
        <v>容积率</v>
      </c>
      <c r="AA11" s="773">
        <f t="shared" si="3"/>
        <v>1.0638297872340425</v>
      </c>
      <c r="AB11" s="773">
        <f t="shared" si="4"/>
        <v>1.0309278350515463</v>
      </c>
      <c r="AC11" s="773">
        <f t="shared" si="5"/>
        <v>1.0309278350515463</v>
      </c>
    </row>
    <row r="12" spans="1:30" s="117" customFormat="1" ht="15">
      <c r="A12" s="431"/>
      <c r="B12" s="2588" t="s">
        <v>2737</v>
      </c>
      <c r="C12" s="2970" t="s">
        <v>3146</v>
      </c>
      <c r="D12" s="433">
        <v>100</v>
      </c>
      <c r="E12" s="2971" t="s">
        <v>3147</v>
      </c>
      <c r="F12" s="136">
        <f>SUMIF(82:82,E12,83:83)-SUMIF(82:82,C12,83:83)+100</f>
        <v>100</v>
      </c>
      <c r="G12" s="2972" t="s">
        <v>3147</v>
      </c>
      <c r="H12" s="136">
        <f>SUMIF(82:82,G12,83:83)-SUMIF(82:82,C12,83:83)+100</f>
        <v>100</v>
      </c>
      <c r="I12" s="2971" t="s">
        <v>3147</v>
      </c>
      <c r="J12" s="136">
        <f>SUMIF(82:82,I12,83:83)-SUMIF(82:82,C12,83:83)+100</f>
        <v>100</v>
      </c>
      <c r="K12" s="672"/>
      <c r="L12" s="1127"/>
      <c r="M12" s="1128"/>
      <c r="N12" s="1128"/>
      <c r="O12" s="1129"/>
      <c r="P12" s="3195"/>
      <c r="Q12" s="1781"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hidden="1">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95"/>
      <c r="Q13" s="1781">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6" hidden="1"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95"/>
      <c r="Q14" s="1781">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15" hidden="1">
      <c r="A15" s="440" t="s">
        <v>2549</v>
      </c>
      <c r="B15" s="69" t="s">
        <v>2083</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10" t="s">
        <v>2550</v>
      </c>
      <c r="Q15" s="1796" t="str">
        <f t="shared" si="6"/>
        <v>居住社区成熟度</v>
      </c>
      <c r="R15" s="774" t="s">
        <v>17</v>
      </c>
      <c r="S15" s="775">
        <f t="shared" si="0"/>
        <v>100</v>
      </c>
      <c r="T15" s="774" t="s">
        <v>17</v>
      </c>
      <c r="U15" s="775">
        <f t="shared" si="1"/>
        <v>100</v>
      </c>
      <c r="V15" s="774" t="s">
        <v>17</v>
      </c>
      <c r="W15" s="775">
        <f t="shared" si="2"/>
        <v>100</v>
      </c>
      <c r="X15" s="1799"/>
      <c r="Y15" s="3210" t="s">
        <v>2550</v>
      </c>
      <c r="Z15" s="1800" t="str">
        <f t="shared" si="7"/>
        <v>居住社区成熟度</v>
      </c>
      <c r="AA15" s="1797">
        <f t="shared" si="3"/>
        <v>1</v>
      </c>
      <c r="AB15" s="1797">
        <f t="shared" si="4"/>
        <v>1</v>
      </c>
      <c r="AC15" s="1797">
        <f t="shared" si="5"/>
        <v>1</v>
      </c>
    </row>
    <row r="16" spans="1:30" ht="15" hidden="1">
      <c r="A16" s="428"/>
      <c r="B16" s="446"/>
      <c r="C16" s="447"/>
      <c r="D16" s="448"/>
      <c r="E16" s="2593"/>
      <c r="F16" s="448"/>
      <c r="G16" s="2593"/>
      <c r="H16" s="450"/>
      <c r="I16" s="2592"/>
      <c r="J16" s="448"/>
      <c r="K16" s="672"/>
      <c r="L16" s="1135"/>
      <c r="M16" s="1126"/>
      <c r="N16" s="1126"/>
      <c r="O16" s="1134"/>
      <c r="P16" s="3211"/>
      <c r="Q16" s="1796"/>
      <c r="R16" s="774"/>
      <c r="S16" s="775"/>
      <c r="T16" s="774"/>
      <c r="U16" s="775"/>
      <c r="V16" s="774"/>
      <c r="W16" s="775"/>
      <c r="X16" s="1799"/>
      <c r="Y16" s="3211"/>
      <c r="Z16" s="1800"/>
      <c r="AA16" s="1797">
        <v>1</v>
      </c>
      <c r="AB16" s="1797">
        <v>1</v>
      </c>
      <c r="AC16" s="1797">
        <v>1</v>
      </c>
    </row>
    <row r="17" spans="1:29" ht="15">
      <c r="A17" s="428"/>
      <c r="B17" s="451" t="s">
        <v>2643</v>
      </c>
      <c r="C17" s="2652">
        <f>估价对象房地状况!C16</f>
        <v>0</v>
      </c>
      <c r="D17" s="450">
        <v>100</v>
      </c>
      <c r="E17" s="452"/>
      <c r="F17" s="450">
        <f>SUMIF(90:90,E18,91:91)-SUMIF(90:90,C18,91:91)+100</f>
        <v>90</v>
      </c>
      <c r="G17" s="452"/>
      <c r="H17" s="455">
        <f>SUMIF(90:90,G18,91:91)-SUMIF(90:90,C18,91:91)+100</f>
        <v>90</v>
      </c>
      <c r="I17" s="454"/>
      <c r="J17" s="455">
        <f>SUMIF(90:90,I18,91:91)-SUMIF(90:90,C18,91:91)+100</f>
        <v>90</v>
      </c>
      <c r="K17" s="673">
        <v>5</v>
      </c>
      <c r="L17" s="1135"/>
      <c r="M17" s="1126"/>
      <c r="N17" s="1126"/>
      <c r="O17" s="1134"/>
      <c r="P17" s="3211"/>
      <c r="Q17" s="1796" t="str">
        <f>B17</f>
        <v>商业繁华度</v>
      </c>
      <c r="R17" s="774" t="s">
        <v>17</v>
      </c>
      <c r="S17" s="775">
        <f>F17</f>
        <v>90</v>
      </c>
      <c r="T17" s="774" t="s">
        <v>17</v>
      </c>
      <c r="U17" s="775">
        <f>H17</f>
        <v>90</v>
      </c>
      <c r="V17" s="774" t="s">
        <v>17</v>
      </c>
      <c r="W17" s="775">
        <f>J17</f>
        <v>90</v>
      </c>
      <c r="X17" s="1799"/>
      <c r="Y17" s="3211"/>
      <c r="Z17" s="1800" t="str">
        <f>Q17</f>
        <v>商业繁华度</v>
      </c>
      <c r="AA17" s="1797">
        <f t="shared" si="3"/>
        <v>1.1111111111111112</v>
      </c>
      <c r="AB17" s="1797">
        <f t="shared" si="4"/>
        <v>1.1111111111111112</v>
      </c>
      <c r="AC17" s="1797">
        <f t="shared" si="5"/>
        <v>1.1111111111111112</v>
      </c>
    </row>
    <row r="18" spans="1:29" ht="15">
      <c r="A18" s="428"/>
      <c r="B18" s="456"/>
      <c r="C18" s="2596" t="s">
        <v>3144</v>
      </c>
      <c r="D18" s="450"/>
      <c r="E18" s="2986" t="s">
        <v>4220</v>
      </c>
      <c r="F18" s="450"/>
      <c r="G18" s="2986" t="s">
        <v>4220</v>
      </c>
      <c r="H18" s="448"/>
      <c r="I18" s="2986" t="s">
        <v>4220</v>
      </c>
      <c r="J18" s="448"/>
      <c r="K18" s="672"/>
      <c r="L18" s="1135"/>
      <c r="M18" s="1126"/>
      <c r="N18" s="1126"/>
      <c r="O18" s="1134"/>
      <c r="P18" s="3211"/>
      <c r="Q18" s="1796"/>
      <c r="R18" s="774"/>
      <c r="S18" s="775"/>
      <c r="T18" s="774"/>
      <c r="U18" s="775"/>
      <c r="V18" s="774"/>
      <c r="W18" s="775"/>
      <c r="X18" s="1799"/>
      <c r="Y18" s="3211"/>
      <c r="Z18" s="1800"/>
      <c r="AA18" s="1797">
        <v>1</v>
      </c>
      <c r="AB18" s="1797">
        <v>1</v>
      </c>
      <c r="AC18" s="1797">
        <v>1</v>
      </c>
    </row>
    <row r="19" spans="1:29" ht="15">
      <c r="A19" s="428"/>
      <c r="B19" s="451" t="s">
        <v>2677</v>
      </c>
      <c r="C19" s="265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35"/>
      <c r="M19" s="1126"/>
      <c r="N19" s="1126"/>
      <c r="O19" s="1134"/>
      <c r="P19" s="3211"/>
      <c r="Q19" s="1796" t="str">
        <f>B19</f>
        <v>办公集聚程度</v>
      </c>
      <c r="R19" s="774" t="s">
        <v>17</v>
      </c>
      <c r="S19" s="775">
        <f>F19</f>
        <v>100</v>
      </c>
      <c r="T19" s="774" t="s">
        <v>17</v>
      </c>
      <c r="U19" s="775">
        <f>H19</f>
        <v>100</v>
      </c>
      <c r="V19" s="774" t="s">
        <v>17</v>
      </c>
      <c r="W19" s="775">
        <f>J19</f>
        <v>100</v>
      </c>
      <c r="X19" s="1799"/>
      <c r="Y19" s="3211"/>
      <c r="Z19" s="1800" t="str">
        <f>Q19</f>
        <v>办公集聚程度</v>
      </c>
      <c r="AA19" s="1797">
        <f t="shared" si="3"/>
        <v>1</v>
      </c>
      <c r="AB19" s="1797">
        <f t="shared" si="4"/>
        <v>1</v>
      </c>
      <c r="AC19" s="1797">
        <f t="shared" si="5"/>
        <v>1</v>
      </c>
    </row>
    <row r="20" spans="1:29" ht="15">
      <c r="A20" s="428"/>
      <c r="B20" s="456"/>
      <c r="C20" s="2596" t="s">
        <v>3144</v>
      </c>
      <c r="D20" s="448"/>
      <c r="E20" s="2596" t="s">
        <v>3144</v>
      </c>
      <c r="F20" s="448"/>
      <c r="G20" s="2596" t="s">
        <v>3144</v>
      </c>
      <c r="H20" s="448"/>
      <c r="I20" s="2596" t="s">
        <v>3144</v>
      </c>
      <c r="J20" s="448"/>
      <c r="K20" s="672"/>
      <c r="L20" s="1135"/>
      <c r="M20" s="1126"/>
      <c r="N20" s="1126"/>
      <c r="O20" s="1134"/>
      <c r="P20" s="3211"/>
      <c r="Q20" s="1796"/>
      <c r="R20" s="774"/>
      <c r="S20" s="775"/>
      <c r="T20" s="774"/>
      <c r="U20" s="775"/>
      <c r="V20" s="774"/>
      <c r="W20" s="775"/>
      <c r="X20" s="1799"/>
      <c r="Y20" s="3211"/>
      <c r="Z20" s="1800"/>
      <c r="AA20" s="1797">
        <v>1</v>
      </c>
      <c r="AB20" s="1797">
        <v>1</v>
      </c>
      <c r="AC20" s="1797">
        <v>1</v>
      </c>
    </row>
    <row r="21" spans="1:29" ht="15">
      <c r="A21" s="428"/>
      <c r="B21" s="451" t="s">
        <v>2699</v>
      </c>
      <c r="C21" s="2595">
        <f>估价对象房地状况!C18</f>
        <v>0</v>
      </c>
      <c r="D21" s="450">
        <v>100</v>
      </c>
      <c r="E21" s="452"/>
      <c r="F21" s="455">
        <f>SUMIF(94:94,E22,95:95)-SUMIF(94:94,C22,95:95)+100</f>
        <v>98</v>
      </c>
      <c r="G21" s="452"/>
      <c r="H21" s="450">
        <f>SUMIF(94:94,G22,95:95)-SUMIF(94:94,C22,95:95)+100</f>
        <v>98</v>
      </c>
      <c r="I21" s="454"/>
      <c r="J21" s="450">
        <f>SUMIF(94:94,I22,95:95)-SUMIF(94:94,C22,95:95)+100</f>
        <v>98</v>
      </c>
      <c r="K21" s="673">
        <v>2</v>
      </c>
      <c r="L21" s="1135"/>
      <c r="M21" s="1126"/>
      <c r="N21" s="1126"/>
      <c r="O21" s="1134"/>
      <c r="P21" s="3211"/>
      <c r="Q21" s="1796" t="str">
        <f>B21</f>
        <v>交通便捷度</v>
      </c>
      <c r="R21" s="774" t="s">
        <v>17</v>
      </c>
      <c r="S21" s="775">
        <f>F21</f>
        <v>98</v>
      </c>
      <c r="T21" s="774" t="s">
        <v>17</v>
      </c>
      <c r="U21" s="775">
        <f>H21</f>
        <v>98</v>
      </c>
      <c r="V21" s="774" t="s">
        <v>17</v>
      </c>
      <c r="W21" s="775">
        <f>J21</f>
        <v>98</v>
      </c>
      <c r="X21" s="1799"/>
      <c r="Y21" s="3211"/>
      <c r="Z21" s="1800" t="str">
        <f>Q21</f>
        <v>交通便捷度</v>
      </c>
      <c r="AA21" s="1797">
        <f t="shared" si="3"/>
        <v>1.0204081632653061</v>
      </c>
      <c r="AB21" s="1797">
        <f t="shared" si="4"/>
        <v>1.0204081632653061</v>
      </c>
      <c r="AC21" s="1797">
        <f t="shared" si="5"/>
        <v>1.0204081632653061</v>
      </c>
    </row>
    <row r="22" spans="1:29" ht="15">
      <c r="A22" s="428"/>
      <c r="B22" s="1379"/>
      <c r="C22" s="2596" t="s">
        <v>3144</v>
      </c>
      <c r="D22" s="450"/>
      <c r="E22" s="2986" t="s">
        <v>4221</v>
      </c>
      <c r="F22" s="448"/>
      <c r="G22" s="2986" t="s">
        <v>4221</v>
      </c>
      <c r="H22" s="448"/>
      <c r="I22" s="2986" t="s">
        <v>4221</v>
      </c>
      <c r="J22" s="448"/>
      <c r="K22" s="672"/>
      <c r="L22" s="1135"/>
      <c r="M22" s="1126"/>
      <c r="N22" s="1126"/>
      <c r="O22" s="1134"/>
      <c r="P22" s="3211"/>
      <c r="Q22" s="1796"/>
      <c r="R22" s="774"/>
      <c r="S22" s="775"/>
      <c r="T22" s="774"/>
      <c r="U22" s="775"/>
      <c r="V22" s="774"/>
      <c r="W22" s="775"/>
      <c r="X22" s="1799"/>
      <c r="Y22" s="3211"/>
      <c r="Z22" s="1800"/>
      <c r="AA22" s="1797">
        <v>1</v>
      </c>
      <c r="AB22" s="1797">
        <v>1</v>
      </c>
      <c r="AC22" s="1797">
        <v>1</v>
      </c>
    </row>
    <row r="23" spans="1:29" ht="28.8">
      <c r="A23" s="404"/>
      <c r="B23" s="451" t="s">
        <v>2738</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35"/>
      <c r="M23" s="1126"/>
      <c r="N23" s="1126"/>
      <c r="O23" s="1134"/>
      <c r="P23" s="3211"/>
      <c r="Q23" s="1796" t="str">
        <f t="shared" ref="Q23:Q37" si="8">B23</f>
        <v>区域土地利用方向</v>
      </c>
      <c r="R23" s="774" t="s">
        <v>17</v>
      </c>
      <c r="S23" s="775">
        <f>F23</f>
        <v>100</v>
      </c>
      <c r="T23" s="774" t="s">
        <v>17</v>
      </c>
      <c r="U23" s="775">
        <f>H23</f>
        <v>100</v>
      </c>
      <c r="V23" s="774" t="s">
        <v>17</v>
      </c>
      <c r="W23" s="775">
        <f>J23</f>
        <v>100</v>
      </c>
      <c r="X23" s="1799"/>
      <c r="Y23" s="3211"/>
      <c r="Z23" s="1800" t="str">
        <f>Q23</f>
        <v>区域土地利用方向</v>
      </c>
      <c r="AA23" s="1797">
        <f t="shared" si="3"/>
        <v>1</v>
      </c>
      <c r="AB23" s="1797">
        <f t="shared" si="4"/>
        <v>1</v>
      </c>
      <c r="AC23" s="1797">
        <f t="shared" si="5"/>
        <v>1</v>
      </c>
    </row>
    <row r="24" spans="1:29" ht="15">
      <c r="A24" s="404"/>
      <c r="B24" s="456"/>
      <c r="C24" s="2596" t="s">
        <v>3144</v>
      </c>
      <c r="D24" s="448"/>
      <c r="E24" s="2596" t="s">
        <v>3144</v>
      </c>
      <c r="F24" s="448"/>
      <c r="G24" s="2596" t="s">
        <v>3144</v>
      </c>
      <c r="H24" s="448"/>
      <c r="I24" s="2596" t="s">
        <v>3144</v>
      </c>
      <c r="J24" s="448"/>
      <c r="K24" s="807"/>
      <c r="L24" s="1135"/>
      <c r="M24" s="1126"/>
      <c r="N24" s="1126"/>
      <c r="O24" s="1134"/>
      <c r="P24" s="3211"/>
      <c r="Q24" s="1796"/>
      <c r="R24" s="774"/>
      <c r="S24" s="775"/>
      <c r="T24" s="774"/>
      <c r="U24" s="775"/>
      <c r="V24" s="774"/>
      <c r="W24" s="775"/>
      <c r="X24" s="1799"/>
      <c r="Y24" s="3211"/>
      <c r="Z24" s="1800"/>
      <c r="AA24" s="1797"/>
      <c r="AB24" s="1797"/>
      <c r="AC24" s="1797"/>
    </row>
    <row r="25" spans="1:29" ht="28.8">
      <c r="A25" s="404"/>
      <c r="B25" s="1379" t="s">
        <v>2739</v>
      </c>
      <c r="C25" s="2652">
        <f>估价对象房地状况!C20</f>
        <v>0</v>
      </c>
      <c r="D25" s="450">
        <v>100</v>
      </c>
      <c r="E25" s="452"/>
      <c r="F25" s="450">
        <f>SUMIF(98:98,E26,99:99)-SUMIF(98:98,C26,99:99)+100</f>
        <v>96</v>
      </c>
      <c r="G25" s="452"/>
      <c r="H25" s="450">
        <f>SUMIF(98:98,G26,99:99)-SUMIF(98:98,C26,99:99)+100</f>
        <v>96</v>
      </c>
      <c r="I25" s="454"/>
      <c r="J25" s="450">
        <f>SUMIF(98:98,I26,99:99)-SUMIF(98:98,C26,99:99)+100</f>
        <v>96</v>
      </c>
      <c r="K25" s="673">
        <v>2</v>
      </c>
      <c r="L25" s="1135"/>
      <c r="M25" s="1126"/>
      <c r="N25" s="1126"/>
      <c r="O25" s="1134"/>
      <c r="P25" s="3211"/>
      <c r="Q25" s="1796" t="str">
        <f t="shared" si="8"/>
        <v>自然及人文环境状况</v>
      </c>
      <c r="R25" s="774" t="s">
        <v>17</v>
      </c>
      <c r="S25" s="775">
        <f>F25</f>
        <v>96</v>
      </c>
      <c r="T25" s="774" t="s">
        <v>17</v>
      </c>
      <c r="U25" s="775">
        <f>H25</f>
        <v>96</v>
      </c>
      <c r="V25" s="774" t="s">
        <v>17</v>
      </c>
      <c r="W25" s="775">
        <f>J25</f>
        <v>96</v>
      </c>
      <c r="X25" s="1799"/>
      <c r="Y25" s="3211"/>
      <c r="Z25" s="1800" t="str">
        <f>Q25</f>
        <v>自然及人文环境状况</v>
      </c>
      <c r="AA25" s="1797">
        <f t="shared" si="3"/>
        <v>1.0416666666666667</v>
      </c>
      <c r="AB25" s="1797">
        <f t="shared" si="4"/>
        <v>1.0416666666666667</v>
      </c>
      <c r="AC25" s="1797">
        <f t="shared" si="5"/>
        <v>1.0416666666666667</v>
      </c>
    </row>
    <row r="26" spans="1:29" ht="15">
      <c r="A26" s="404"/>
      <c r="B26" s="456"/>
      <c r="C26" s="2596" t="s">
        <v>3144</v>
      </c>
      <c r="D26" s="448"/>
      <c r="E26" s="2986" t="s">
        <v>4220</v>
      </c>
      <c r="F26" s="448"/>
      <c r="G26" s="2986" t="s">
        <v>4220</v>
      </c>
      <c r="H26" s="448"/>
      <c r="I26" s="2986" t="s">
        <v>4220</v>
      </c>
      <c r="J26" s="448"/>
      <c r="K26" s="672"/>
      <c r="L26" s="1135"/>
      <c r="M26" s="1126"/>
      <c r="N26" s="1126"/>
      <c r="O26" s="1134"/>
      <c r="P26" s="3211"/>
      <c r="Q26" s="1796"/>
      <c r="R26" s="774"/>
      <c r="S26" s="775"/>
      <c r="T26" s="774"/>
      <c r="U26" s="775"/>
      <c r="V26" s="774"/>
      <c r="W26" s="775"/>
      <c r="X26" s="1799"/>
      <c r="Y26" s="3211"/>
      <c r="Z26" s="1800"/>
      <c r="AA26" s="1797">
        <v>1</v>
      </c>
      <c r="AB26" s="1797">
        <v>1</v>
      </c>
      <c r="AC26" s="1797">
        <v>1</v>
      </c>
    </row>
    <row r="27" spans="1:29" s="117" customFormat="1" ht="15">
      <c r="A27" s="649"/>
      <c r="B27" s="1379" t="s">
        <v>2644</v>
      </c>
      <c r="C27" s="2595">
        <f>估价对象房地状况!C21</f>
        <v>0</v>
      </c>
      <c r="D27" s="450">
        <v>100</v>
      </c>
      <c r="E27" s="452"/>
      <c r="F27" s="450">
        <f>SUMIF(100:100,E28,101:101)-SUMIF(100:100,C28,101:101)+100</f>
        <v>96</v>
      </c>
      <c r="G27" s="452"/>
      <c r="H27" s="450">
        <f>SUMIF(100:100,G28,101:101)-SUMIF(100:100,C28,101:101)+100</f>
        <v>96</v>
      </c>
      <c r="I27" s="454"/>
      <c r="J27" s="450">
        <f>SUMIF(100:100,I28,101:101)-SUMIF(100:100,C28,101:101)+100</f>
        <v>96</v>
      </c>
      <c r="K27" s="673">
        <v>2</v>
      </c>
      <c r="L27" s="1127"/>
      <c r="M27" s="1128"/>
      <c r="N27" s="1128"/>
      <c r="O27" s="1129"/>
      <c r="P27" s="3211"/>
      <c r="Q27" s="1781" t="str">
        <f t="shared" si="8"/>
        <v>公共配套设施</v>
      </c>
      <c r="R27" s="770" t="s">
        <v>17</v>
      </c>
      <c r="S27" s="771">
        <f>F27</f>
        <v>96</v>
      </c>
      <c r="T27" s="770" t="s">
        <v>17</v>
      </c>
      <c r="U27" s="771">
        <f>H27</f>
        <v>96</v>
      </c>
      <c r="V27" s="770" t="s">
        <v>17</v>
      </c>
      <c r="W27" s="771">
        <f>J27</f>
        <v>96</v>
      </c>
      <c r="X27" s="772"/>
      <c r="Y27" s="3211"/>
      <c r="Z27" s="55" t="str">
        <f>Q27</f>
        <v>公共配套设施</v>
      </c>
      <c r="AA27" s="1797">
        <f>D27/F27</f>
        <v>1.0416666666666667</v>
      </c>
      <c r="AB27" s="1797">
        <f>D27/H27</f>
        <v>1.0416666666666667</v>
      </c>
      <c r="AC27" s="1797">
        <f>D27/J27</f>
        <v>1.0416666666666667</v>
      </c>
    </row>
    <row r="28" spans="1:29" s="117" customFormat="1" ht="15">
      <c r="A28" s="649"/>
      <c r="B28" s="456"/>
      <c r="C28" s="2596" t="s">
        <v>3144</v>
      </c>
      <c r="D28" s="448"/>
      <c r="E28" s="2986" t="s">
        <v>4220</v>
      </c>
      <c r="F28" s="448"/>
      <c r="G28" s="2986" t="s">
        <v>4220</v>
      </c>
      <c r="H28" s="448"/>
      <c r="I28" s="2986" t="s">
        <v>4220</v>
      </c>
      <c r="J28" s="448"/>
      <c r="K28" s="672"/>
      <c r="L28" s="1127"/>
      <c r="M28" s="1128"/>
      <c r="N28" s="1128"/>
      <c r="O28" s="1129"/>
      <c r="P28" s="3211"/>
      <c r="Q28" s="1781"/>
      <c r="R28" s="770"/>
      <c r="S28" s="771"/>
      <c r="T28" s="770"/>
      <c r="U28" s="771"/>
      <c r="V28" s="770"/>
      <c r="W28" s="771"/>
      <c r="X28" s="772"/>
      <c r="Y28" s="3211"/>
      <c r="Z28" s="55"/>
      <c r="AA28" s="1797">
        <v>1</v>
      </c>
      <c r="AB28" s="1797">
        <v>1</v>
      </c>
      <c r="AC28" s="1797">
        <v>1</v>
      </c>
    </row>
    <row r="29" spans="1:29" s="117" customFormat="1" ht="15">
      <c r="A29" s="649"/>
      <c r="B29" s="1379" t="s">
        <v>2645</v>
      </c>
      <c r="C29" s="259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27"/>
      <c r="M29" s="1128"/>
      <c r="N29" s="1128"/>
      <c r="O29" s="1129"/>
      <c r="P29" s="3211"/>
      <c r="Q29" s="1781" t="str">
        <f t="shared" ref="Q29" si="9">B29</f>
        <v>基础设施水平</v>
      </c>
      <c r="R29" s="770" t="s">
        <v>17</v>
      </c>
      <c r="S29" s="771">
        <f>F29</f>
        <v>100</v>
      </c>
      <c r="T29" s="770" t="s">
        <v>17</v>
      </c>
      <c r="U29" s="771">
        <f>H29</f>
        <v>100</v>
      </c>
      <c r="V29" s="770" t="s">
        <v>17</v>
      </c>
      <c r="W29" s="771">
        <f>J29</f>
        <v>100</v>
      </c>
      <c r="X29" s="772"/>
      <c r="Y29" s="3211"/>
      <c r="Z29" s="55" t="str">
        <f>Q29</f>
        <v>基础设施水平</v>
      </c>
      <c r="AA29" s="1797">
        <f>D29/F29</f>
        <v>1</v>
      </c>
      <c r="AB29" s="1797">
        <f>D29/H29</f>
        <v>1</v>
      </c>
      <c r="AC29" s="1797">
        <f>D29/J29</f>
        <v>1</v>
      </c>
    </row>
    <row r="30" spans="1:29" s="117" customFormat="1" ht="15.6" thickBot="1">
      <c r="A30" s="649"/>
      <c r="B30" s="456"/>
      <c r="C30" s="2688" t="s">
        <v>3142</v>
      </c>
      <c r="D30" s="448"/>
      <c r="E30" s="2688" t="s">
        <v>3142</v>
      </c>
      <c r="F30" s="448"/>
      <c r="G30" s="2688" t="s">
        <v>3142</v>
      </c>
      <c r="H30" s="448"/>
      <c r="I30" s="2688" t="s">
        <v>3142</v>
      </c>
      <c r="J30" s="448"/>
      <c r="K30" s="672"/>
      <c r="L30" s="1127"/>
      <c r="M30" s="1128"/>
      <c r="N30" s="1128"/>
      <c r="O30" s="1129"/>
      <c r="P30" s="3211"/>
      <c r="Q30" s="1781"/>
      <c r="R30" s="770"/>
      <c r="S30" s="771"/>
      <c r="T30" s="770"/>
      <c r="U30" s="771"/>
      <c r="V30" s="770"/>
      <c r="W30" s="771"/>
      <c r="X30" s="772"/>
      <c r="Y30" s="3211"/>
      <c r="Z30" s="55"/>
      <c r="AA30" s="1797">
        <v>1</v>
      </c>
      <c r="AB30" s="1797">
        <v>1</v>
      </c>
      <c r="AC30" s="1797">
        <v>1</v>
      </c>
    </row>
    <row r="31" spans="1:29" ht="15" hidden="1">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11"/>
      <c r="Q31" s="1796" t="str">
        <f t="shared" si="8"/>
        <v>临街状况</v>
      </c>
      <c r="R31" s="774" t="s">
        <v>17</v>
      </c>
      <c r="S31" s="775">
        <f t="shared" ref="S31:S45" si="10">F31</f>
        <v>100</v>
      </c>
      <c r="T31" s="774" t="s">
        <v>17</v>
      </c>
      <c r="U31" s="775">
        <f t="shared" ref="U31:U45" si="11">H31</f>
        <v>100</v>
      </c>
      <c r="V31" s="774" t="s">
        <v>17</v>
      </c>
      <c r="W31" s="775">
        <f t="shared" ref="W31:W45" si="12">J31</f>
        <v>100</v>
      </c>
      <c r="X31" s="1799"/>
      <c r="Y31" s="3211"/>
      <c r="Z31" s="1800" t="str">
        <f t="shared" ref="Z31:Z45" si="13">Q31</f>
        <v>临街状况</v>
      </c>
      <c r="AA31" s="1797">
        <f t="shared" si="3"/>
        <v>1</v>
      </c>
      <c r="AB31" s="1797">
        <f t="shared" si="4"/>
        <v>1</v>
      </c>
      <c r="AC31" s="1797">
        <f t="shared" si="5"/>
        <v>1</v>
      </c>
    </row>
    <row r="32" spans="1:29" ht="28.8" hidden="1">
      <c r="A32" s="428"/>
      <c r="B32" s="1379"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11"/>
      <c r="Q32" s="1796" t="str">
        <f t="shared" si="8"/>
        <v>毗邻道路的类型与等级</v>
      </c>
      <c r="R32" s="774" t="s">
        <v>17</v>
      </c>
      <c r="S32" s="775">
        <f t="shared" si="10"/>
        <v>100</v>
      </c>
      <c r="T32" s="774" t="s">
        <v>17</v>
      </c>
      <c r="U32" s="775">
        <f t="shared" si="11"/>
        <v>100</v>
      </c>
      <c r="V32" s="774" t="s">
        <v>17</v>
      </c>
      <c r="W32" s="775">
        <f t="shared" si="12"/>
        <v>100</v>
      </c>
      <c r="X32" s="1799"/>
      <c r="Y32" s="3211"/>
      <c r="Z32" s="1800" t="str">
        <f t="shared" si="13"/>
        <v>毗邻道路的类型与等级</v>
      </c>
      <c r="AA32" s="1797">
        <f t="shared" si="3"/>
        <v>1</v>
      </c>
      <c r="AB32" s="1797">
        <f t="shared" si="4"/>
        <v>1</v>
      </c>
      <c r="AC32" s="1797">
        <f t="shared" si="5"/>
        <v>1</v>
      </c>
    </row>
    <row r="33" spans="1:29" ht="15" hidden="1">
      <c r="A33" s="428"/>
      <c r="B33" s="456"/>
      <c r="C33" s="447"/>
      <c r="D33" s="448"/>
      <c r="E33" s="2599"/>
      <c r="F33" s="448"/>
      <c r="G33" s="2599"/>
      <c r="H33" s="448"/>
      <c r="I33" s="447"/>
      <c r="J33" s="448"/>
      <c r="K33" s="613"/>
      <c r="L33" s="1135"/>
      <c r="M33" s="1126"/>
      <c r="N33" s="1126"/>
      <c r="O33" s="1134"/>
      <c r="P33" s="3211"/>
      <c r="Q33" s="1796"/>
      <c r="R33" s="774"/>
      <c r="S33" s="775"/>
      <c r="T33" s="774"/>
      <c r="U33" s="775"/>
      <c r="V33" s="774"/>
      <c r="W33" s="775"/>
      <c r="X33" s="1799"/>
      <c r="Y33" s="3211"/>
      <c r="Z33" s="1800"/>
      <c r="AA33" s="1797">
        <v>1</v>
      </c>
      <c r="AB33" s="1797">
        <v>1</v>
      </c>
      <c r="AC33" s="1797">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11"/>
      <c r="Q34" s="1796" t="str">
        <f t="shared" si="8"/>
        <v>土地级别</v>
      </c>
      <c r="R34" s="774" t="s">
        <v>17</v>
      </c>
      <c r="S34" s="775">
        <f t="shared" si="10"/>
        <v>100</v>
      </c>
      <c r="T34" s="774" t="s">
        <v>17</v>
      </c>
      <c r="U34" s="775">
        <f t="shared" si="11"/>
        <v>100</v>
      </c>
      <c r="V34" s="774" t="s">
        <v>17</v>
      </c>
      <c r="W34" s="775">
        <f t="shared" si="12"/>
        <v>100</v>
      </c>
      <c r="X34" s="1799"/>
      <c r="Y34" s="3211"/>
      <c r="Z34" s="1800" t="str">
        <f t="shared" si="13"/>
        <v>土地级别</v>
      </c>
      <c r="AA34" s="1797">
        <f t="shared" si="3"/>
        <v>1</v>
      </c>
      <c r="AB34" s="1797">
        <f t="shared" si="4"/>
        <v>1</v>
      </c>
      <c r="AC34" s="1797">
        <f t="shared" si="5"/>
        <v>1</v>
      </c>
    </row>
    <row r="35" spans="1:29" ht="15" hidden="1">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11"/>
      <c r="Q35" s="1796">
        <f t="shared" si="8"/>
        <v>111</v>
      </c>
      <c r="R35" s="774" t="s">
        <v>17</v>
      </c>
      <c r="S35" s="775">
        <f t="shared" si="10"/>
        <v>100</v>
      </c>
      <c r="T35" s="774" t="s">
        <v>17</v>
      </c>
      <c r="U35" s="775">
        <f t="shared" si="11"/>
        <v>100</v>
      </c>
      <c r="V35" s="774" t="s">
        <v>17</v>
      </c>
      <c r="W35" s="775">
        <f t="shared" si="12"/>
        <v>100</v>
      </c>
      <c r="X35" s="1799"/>
      <c r="Y35" s="3211"/>
      <c r="Z35" s="1800">
        <f t="shared" si="13"/>
        <v>111</v>
      </c>
      <c r="AA35" s="1797">
        <f t="shared" si="3"/>
        <v>1</v>
      </c>
      <c r="AB35" s="1797">
        <f t="shared" si="4"/>
        <v>1</v>
      </c>
      <c r="AC35" s="1797">
        <f t="shared" si="5"/>
        <v>1</v>
      </c>
    </row>
    <row r="36" spans="1:29" ht="15" hidden="1">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12" t="s">
        <v>2555</v>
      </c>
      <c r="Q36" s="1796">
        <f t="shared" si="8"/>
        <v>111</v>
      </c>
      <c r="R36" s="774" t="s">
        <v>17</v>
      </c>
      <c r="S36" s="775">
        <f t="shared" si="10"/>
        <v>100</v>
      </c>
      <c r="T36" s="774" t="s">
        <v>17</v>
      </c>
      <c r="U36" s="775">
        <f t="shared" si="11"/>
        <v>100</v>
      </c>
      <c r="V36" s="774" t="s">
        <v>17</v>
      </c>
      <c r="W36" s="775">
        <f t="shared" si="12"/>
        <v>100</v>
      </c>
      <c r="X36" s="1799"/>
      <c r="Y36" s="3213" t="s">
        <v>2555</v>
      </c>
      <c r="Z36" s="1800">
        <f t="shared" si="13"/>
        <v>111</v>
      </c>
      <c r="AA36" s="1797">
        <f t="shared" si="3"/>
        <v>1</v>
      </c>
      <c r="AB36" s="1797">
        <f t="shared" si="4"/>
        <v>1</v>
      </c>
      <c r="AC36" s="1797">
        <f t="shared" si="5"/>
        <v>1</v>
      </c>
    </row>
    <row r="37" spans="1:29" s="471" customFormat="1" ht="15.6" hidden="1"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13"/>
      <c r="Q37" s="1796">
        <f t="shared" si="8"/>
        <v>111</v>
      </c>
      <c r="R37" s="777" t="s">
        <v>17</v>
      </c>
      <c r="S37" s="778">
        <f t="shared" si="10"/>
        <v>100</v>
      </c>
      <c r="T37" s="777" t="s">
        <v>17</v>
      </c>
      <c r="U37" s="778">
        <f t="shared" si="11"/>
        <v>100</v>
      </c>
      <c r="V37" s="777" t="s">
        <v>17</v>
      </c>
      <c r="W37" s="778">
        <f t="shared" si="12"/>
        <v>100</v>
      </c>
      <c r="X37" s="779"/>
      <c r="Y37" s="3213"/>
      <c r="Z37" s="780">
        <f t="shared" si="13"/>
        <v>111</v>
      </c>
      <c r="AA37" s="1797">
        <f t="shared" si="3"/>
        <v>1</v>
      </c>
      <c r="AB37" s="1797">
        <f t="shared" si="4"/>
        <v>1</v>
      </c>
      <c r="AC37" s="1797">
        <f t="shared" si="5"/>
        <v>1</v>
      </c>
    </row>
    <row r="38" spans="1:29" ht="15.6">
      <c r="A38" s="472" t="s">
        <v>2553</v>
      </c>
      <c r="B38" s="456" t="s">
        <v>2741</v>
      </c>
      <c r="C38" s="679">
        <f>'数据-汇总表'!D3</f>
        <v>8010.13</v>
      </c>
      <c r="D38" s="467">
        <v>100</v>
      </c>
      <c r="E38" s="679">
        <f>Sheet0!F6</f>
        <v>39744.120000000003</v>
      </c>
      <c r="F38" s="467">
        <f>LOOKUP(E38,117:117,118:118)-LOOKUP(C38,117:117,118:118)+100</f>
        <v>100</v>
      </c>
      <c r="G38" s="679">
        <f>Sheet0!F8</f>
        <v>46165.91</v>
      </c>
      <c r="H38" s="467">
        <f>LOOKUP(G38,117:117,118:118)-LOOKUP(C38,117:117,118:118)+100</f>
        <v>100</v>
      </c>
      <c r="I38" s="530">
        <f>Sheet0!F9</f>
        <v>38100</v>
      </c>
      <c r="J38" s="467">
        <f>LOOKUP(I38,117:117,118:118)-LOOKUP(C38,117:117,118:118)+100</f>
        <v>100</v>
      </c>
      <c r="K38" s="613"/>
      <c r="L38" s="1135"/>
      <c r="M38" s="1126"/>
      <c r="N38" s="1126"/>
      <c r="O38" s="1134"/>
      <c r="P38" s="3213"/>
      <c r="Q38" s="1796" t="str">
        <f>B38</f>
        <v>宗地面积</v>
      </c>
      <c r="R38" s="774" t="s">
        <v>17</v>
      </c>
      <c r="S38" s="775">
        <f t="shared" si="10"/>
        <v>100</v>
      </c>
      <c r="T38" s="774" t="s">
        <v>17</v>
      </c>
      <c r="U38" s="775">
        <f t="shared" si="11"/>
        <v>100</v>
      </c>
      <c r="V38" s="774" t="s">
        <v>17</v>
      </c>
      <c r="W38" s="775">
        <f t="shared" si="12"/>
        <v>100</v>
      </c>
      <c r="X38" s="1799"/>
      <c r="Y38" s="3213"/>
      <c r="Z38" s="1800" t="str">
        <f t="shared" si="13"/>
        <v>宗地面积</v>
      </c>
      <c r="AA38" s="1797">
        <f t="shared" si="3"/>
        <v>1</v>
      </c>
      <c r="AB38" s="1797">
        <f t="shared" si="4"/>
        <v>1</v>
      </c>
      <c r="AC38" s="1797">
        <f t="shared" si="5"/>
        <v>1</v>
      </c>
    </row>
    <row r="39" spans="1:29" ht="15">
      <c r="A39" s="472"/>
      <c r="B39" s="422" t="s">
        <v>2742</v>
      </c>
      <c r="C39" s="2601" t="s">
        <v>3138</v>
      </c>
      <c r="D39" s="435">
        <v>100</v>
      </c>
      <c r="E39" s="2601" t="s">
        <v>3138</v>
      </c>
      <c r="F39" s="435">
        <f>SUMIF(119:119,E39,120:120)-SUMIF(119:119,C39,120:120)+100</f>
        <v>100</v>
      </c>
      <c r="G39" s="2601" t="s">
        <v>3138</v>
      </c>
      <c r="H39" s="435">
        <f>SUMIF(119:119,G39,120:120)-SUMIF(119:119,C39,120:120)+100</f>
        <v>100</v>
      </c>
      <c r="I39" s="2601" t="s">
        <v>3138</v>
      </c>
      <c r="J39" s="435">
        <f>SUMIF(119:119,I39,120:120)-SUMIF(119:119,C39,120:120)+100</f>
        <v>100</v>
      </c>
      <c r="K39" s="612">
        <v>1</v>
      </c>
      <c r="L39" s="1135"/>
      <c r="M39" s="1126"/>
      <c r="N39" s="1126"/>
      <c r="O39" s="1134"/>
      <c r="P39" s="3213"/>
      <c r="Q39" s="1796" t="str">
        <f t="shared" ref="Q39:Q45" si="14">B39</f>
        <v>宗地形状</v>
      </c>
      <c r="R39" s="774" t="s">
        <v>17</v>
      </c>
      <c r="S39" s="775">
        <f t="shared" si="10"/>
        <v>100</v>
      </c>
      <c r="T39" s="774" t="s">
        <v>17</v>
      </c>
      <c r="U39" s="775">
        <f t="shared" si="11"/>
        <v>100</v>
      </c>
      <c r="V39" s="774" t="s">
        <v>17</v>
      </c>
      <c r="W39" s="775">
        <f t="shared" si="12"/>
        <v>100</v>
      </c>
      <c r="X39" s="1799"/>
      <c r="Y39" s="3213"/>
      <c r="Z39" s="1800" t="str">
        <f t="shared" si="13"/>
        <v>宗地形状</v>
      </c>
      <c r="AA39" s="1797">
        <f t="shared" si="3"/>
        <v>1</v>
      </c>
      <c r="AB39" s="1797">
        <f t="shared" si="4"/>
        <v>1</v>
      </c>
      <c r="AC39" s="1797">
        <f t="shared" si="5"/>
        <v>1</v>
      </c>
    </row>
    <row r="40" spans="1:29" ht="15">
      <c r="A40" s="472"/>
      <c r="B40" s="422" t="s">
        <v>2743</v>
      </c>
      <c r="C40" s="2601" t="s">
        <v>3140</v>
      </c>
      <c r="D40" s="435">
        <v>100</v>
      </c>
      <c r="E40" s="2601" t="s">
        <v>3140</v>
      </c>
      <c r="F40" s="435">
        <f>SUMIF(121:121,E40,122:122)-SUMIF(121:121,C40,122:122)+100</f>
        <v>100</v>
      </c>
      <c r="G40" s="2601" t="s">
        <v>3140</v>
      </c>
      <c r="H40" s="435">
        <f>SUMIF(121:121,G40,122:122)-SUMIF(121:121,C40,122:122)+100</f>
        <v>100</v>
      </c>
      <c r="I40" s="2601" t="s">
        <v>3140</v>
      </c>
      <c r="J40" s="435">
        <f>SUMIF(121:121,I40,122:122)-SUMIF(121:121,C40,122:122)+100</f>
        <v>100</v>
      </c>
      <c r="K40" s="612">
        <v>1</v>
      </c>
      <c r="L40" s="1135"/>
      <c r="M40" s="1126"/>
      <c r="N40" s="1126"/>
      <c r="O40" s="1134"/>
      <c r="P40" s="3213"/>
      <c r="Q40" s="1796" t="str">
        <f t="shared" si="14"/>
        <v>临街宽度及深度</v>
      </c>
      <c r="R40" s="774" t="s">
        <v>17</v>
      </c>
      <c r="S40" s="775">
        <f t="shared" si="10"/>
        <v>100</v>
      </c>
      <c r="T40" s="774" t="s">
        <v>17</v>
      </c>
      <c r="U40" s="775">
        <f t="shared" si="11"/>
        <v>100</v>
      </c>
      <c r="V40" s="774" t="s">
        <v>17</v>
      </c>
      <c r="W40" s="775">
        <f t="shared" si="12"/>
        <v>100</v>
      </c>
      <c r="X40" s="1799"/>
      <c r="Y40" s="3213"/>
      <c r="Z40" s="1800" t="str">
        <f t="shared" si="13"/>
        <v>临街宽度及深度</v>
      </c>
      <c r="AA40" s="1797">
        <f t="shared" si="3"/>
        <v>1</v>
      </c>
      <c r="AB40" s="1797">
        <f t="shared" si="4"/>
        <v>1</v>
      </c>
      <c r="AC40" s="1797">
        <f t="shared" si="5"/>
        <v>1</v>
      </c>
    </row>
    <row r="41" spans="1:29" s="117" customFormat="1" ht="15">
      <c r="A41" s="473"/>
      <c r="B41" s="422" t="s">
        <v>2744</v>
      </c>
      <c r="C41" s="2690" t="s">
        <v>3142</v>
      </c>
      <c r="D41" s="136">
        <v>100</v>
      </c>
      <c r="E41" s="2690" t="s">
        <v>3142</v>
      </c>
      <c r="F41" s="435">
        <f>SUMIF(123:123,E41,124:124)-SUMIF(123:123,C41,124:124)+100</f>
        <v>100</v>
      </c>
      <c r="G41" s="2690" t="s">
        <v>3142</v>
      </c>
      <c r="H41" s="435">
        <f>SUMIF(123:123,G41,124:124)-SUMIF(123:123,C41,124:124)+100</f>
        <v>100</v>
      </c>
      <c r="I41" s="2690" t="s">
        <v>3142</v>
      </c>
      <c r="J41" s="435">
        <f>SUMIF(123:123,I41,124:124)-SUMIF(123:123,C41,124:124)+100</f>
        <v>100</v>
      </c>
      <c r="K41" s="612">
        <v>1</v>
      </c>
      <c r="L41" s="1127"/>
      <c r="M41" s="1128"/>
      <c r="N41" s="1128"/>
      <c r="O41" s="1129"/>
      <c r="P41" s="3213"/>
      <c r="Q41" s="1796"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6" thickBot="1">
      <c r="A42" s="472"/>
      <c r="B42" s="422" t="s">
        <v>2745</v>
      </c>
      <c r="C42" s="2601" t="s">
        <v>3144</v>
      </c>
      <c r="D42" s="435">
        <v>100</v>
      </c>
      <c r="E42" s="2601" t="s">
        <v>3144</v>
      </c>
      <c r="F42" s="435">
        <f>SUMIF(125:125,E42,126:126)-SUMIF(125:125,C42,126:126)+100</f>
        <v>100</v>
      </c>
      <c r="G42" s="2601" t="s">
        <v>3144</v>
      </c>
      <c r="H42" s="435">
        <f>SUMIF(125:125,G42,126:126)-SUMIF(125:125,C42,126:126)+100</f>
        <v>100</v>
      </c>
      <c r="I42" s="2601" t="s">
        <v>3144</v>
      </c>
      <c r="J42" s="435">
        <f>SUMIF(125:125,I42,126:126)-SUMIF(125:125,C42,126:126)+100</f>
        <v>100</v>
      </c>
      <c r="K42" s="612">
        <v>1</v>
      </c>
      <c r="L42" s="1135"/>
      <c r="M42" s="1126"/>
      <c r="N42" s="1126"/>
      <c r="O42" s="1134"/>
      <c r="P42" s="3213" t="s">
        <v>2555</v>
      </c>
      <c r="Q42" s="1796" t="str">
        <f t="shared" si="14"/>
        <v>工程地质条件</v>
      </c>
      <c r="R42" s="774" t="s">
        <v>17</v>
      </c>
      <c r="S42" s="775">
        <f t="shared" si="10"/>
        <v>100</v>
      </c>
      <c r="T42" s="774" t="s">
        <v>17</v>
      </c>
      <c r="U42" s="775">
        <f t="shared" si="11"/>
        <v>100</v>
      </c>
      <c r="V42" s="774" t="s">
        <v>17</v>
      </c>
      <c r="W42" s="775">
        <f t="shared" si="12"/>
        <v>100</v>
      </c>
      <c r="X42" s="1799"/>
      <c r="Y42" s="3213" t="s">
        <v>2555</v>
      </c>
      <c r="Z42" s="1800" t="str">
        <f t="shared" si="13"/>
        <v>工程地质条件</v>
      </c>
      <c r="AA42" s="1797">
        <f t="shared" si="3"/>
        <v>1</v>
      </c>
      <c r="AB42" s="1797">
        <f t="shared" si="4"/>
        <v>1</v>
      </c>
      <c r="AC42" s="1797">
        <f t="shared" si="5"/>
        <v>1</v>
      </c>
    </row>
    <row r="43" spans="1:29" ht="15" hidden="1">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13"/>
      <c r="Q43" s="1796">
        <f t="shared" si="14"/>
        <v>111</v>
      </c>
      <c r="R43" s="774" t="s">
        <v>17</v>
      </c>
      <c r="S43" s="775">
        <f t="shared" si="10"/>
        <v>100</v>
      </c>
      <c r="T43" s="774" t="s">
        <v>17</v>
      </c>
      <c r="U43" s="775">
        <f t="shared" si="11"/>
        <v>100</v>
      </c>
      <c r="V43" s="774" t="s">
        <v>17</v>
      </c>
      <c r="W43" s="775">
        <f t="shared" si="12"/>
        <v>100</v>
      </c>
      <c r="X43" s="1799"/>
      <c r="Y43" s="3213"/>
      <c r="Z43" s="1800">
        <f t="shared" si="13"/>
        <v>111</v>
      </c>
      <c r="AA43" s="1797">
        <f t="shared" si="3"/>
        <v>1</v>
      </c>
      <c r="AB43" s="1797">
        <f t="shared" si="4"/>
        <v>1</v>
      </c>
      <c r="AC43" s="1797">
        <f t="shared" si="5"/>
        <v>1</v>
      </c>
    </row>
    <row r="44" spans="1:29" ht="15" hidden="1">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13"/>
      <c r="Q44" s="1796">
        <f t="shared" si="14"/>
        <v>111</v>
      </c>
      <c r="R44" s="774" t="s">
        <v>17</v>
      </c>
      <c r="S44" s="775">
        <f t="shared" si="10"/>
        <v>100</v>
      </c>
      <c r="T44" s="774" t="s">
        <v>17</v>
      </c>
      <c r="U44" s="775">
        <f t="shared" si="11"/>
        <v>100</v>
      </c>
      <c r="V44" s="774" t="s">
        <v>17</v>
      </c>
      <c r="W44" s="775">
        <f t="shared" si="12"/>
        <v>100</v>
      </c>
      <c r="X44" s="1799"/>
      <c r="Y44" s="3213"/>
      <c r="Z44" s="1800">
        <f t="shared" si="13"/>
        <v>111</v>
      </c>
      <c r="AA44" s="1797">
        <f t="shared" si="3"/>
        <v>1</v>
      </c>
      <c r="AB44" s="1797">
        <f t="shared" si="4"/>
        <v>1</v>
      </c>
      <c r="AC44" s="1797">
        <f t="shared" si="5"/>
        <v>1</v>
      </c>
    </row>
    <row r="45" spans="1:29" s="471" customFormat="1" ht="15.6" hidden="1" thickBot="1">
      <c r="A45" s="468"/>
      <c r="B45" s="1382">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13"/>
      <c r="Q45" s="1796">
        <f t="shared" si="14"/>
        <v>111</v>
      </c>
      <c r="R45" s="777" t="s">
        <v>17</v>
      </c>
      <c r="S45" s="778">
        <f t="shared" si="10"/>
        <v>100</v>
      </c>
      <c r="T45" s="777" t="s">
        <v>17</v>
      </c>
      <c r="U45" s="778">
        <f t="shared" si="11"/>
        <v>100</v>
      </c>
      <c r="V45" s="777" t="s">
        <v>17</v>
      </c>
      <c r="W45" s="778">
        <f t="shared" si="12"/>
        <v>100</v>
      </c>
      <c r="X45" s="779"/>
      <c r="Y45" s="3213"/>
      <c r="Z45" s="780">
        <f t="shared" si="13"/>
        <v>111</v>
      </c>
      <c r="AA45" s="1797">
        <f t="shared" si="3"/>
        <v>1</v>
      </c>
      <c r="AB45" s="1797">
        <f t="shared" si="4"/>
        <v>1</v>
      </c>
      <c r="AC45" s="1797">
        <f t="shared" si="5"/>
        <v>1</v>
      </c>
    </row>
    <row r="46" spans="1:29" ht="14.4">
      <c r="A46" s="479" t="s">
        <v>2710</v>
      </c>
      <c r="B46" s="2692" t="s">
        <v>2746</v>
      </c>
      <c r="C46" s="682" t="s">
        <v>1</v>
      </c>
      <c r="D46" s="481"/>
      <c r="E46" s="482">
        <f>ROUND(Sheet0!M6,0)</f>
        <v>24490</v>
      </c>
      <c r="F46" s="483"/>
      <c r="G46" s="484">
        <f>ROUND(Sheet0!M8,0)</f>
        <v>24369</v>
      </c>
      <c r="H46" s="485"/>
      <c r="I46" s="482">
        <f>ROUND(Sheet0!M9,0)</f>
        <v>26772</v>
      </c>
      <c r="J46" s="485"/>
      <c r="K46" s="783"/>
      <c r="L46" s="1138"/>
      <c r="M46" s="1139"/>
      <c r="N46" s="1126"/>
      <c r="O46" s="1139"/>
      <c r="P46" s="3195" t="str">
        <f>A46</f>
        <v>成交单价</v>
      </c>
      <c r="Q46" s="3195"/>
      <c r="R46" s="3208">
        <f>E46</f>
        <v>24490</v>
      </c>
      <c r="S46" s="3208"/>
      <c r="T46" s="3208">
        <f>G46</f>
        <v>24369</v>
      </c>
      <c r="U46" s="3208"/>
      <c r="V46" s="3208">
        <f>I46</f>
        <v>26772</v>
      </c>
      <c r="W46" s="3208"/>
      <c r="X46" s="759"/>
      <c r="Y46" s="781"/>
      <c r="Z46" s="759"/>
      <c r="AA46" s="759"/>
      <c r="AB46" s="759"/>
      <c r="AC46" s="759"/>
    </row>
    <row r="47" spans="1:29" ht="15" thickBot="1">
      <c r="A47" s="486" t="s">
        <v>2659</v>
      </c>
      <c r="B47" s="683"/>
      <c r="C47" s="490">
        <f>R48</f>
        <v>26673</v>
      </c>
      <c r="D47" s="489"/>
      <c r="E47" s="490">
        <f>R47</f>
        <v>26369</v>
      </c>
      <c r="F47" s="491"/>
      <c r="G47" s="488">
        <f>T47</f>
        <v>25564</v>
      </c>
      <c r="H47" s="489"/>
      <c r="I47" s="490">
        <f>V47</f>
        <v>28085</v>
      </c>
      <c r="J47" s="489"/>
      <c r="K47" s="784"/>
      <c r="L47" s="1138"/>
      <c r="M47" s="1139"/>
      <c r="N47" s="1139"/>
      <c r="O47" s="1139"/>
      <c r="P47" s="3195" t="str">
        <f>A47</f>
        <v>比较价值（元/平方米）</v>
      </c>
      <c r="Q47" s="3195"/>
      <c r="R47" s="3214">
        <f>ROUND(PRODUCT(R46,AA7:AA45),0)</f>
        <v>26369</v>
      </c>
      <c r="S47" s="3214"/>
      <c r="T47" s="3214">
        <f>ROUND(PRODUCT(T46,AB7:AB45),0)</f>
        <v>25564</v>
      </c>
      <c r="U47" s="3214"/>
      <c r="V47" s="3214">
        <f>ROUND(PRODUCT(V46,AC7:AC45),0)</f>
        <v>28085</v>
      </c>
      <c r="W47" s="3214"/>
      <c r="X47" s="759"/>
      <c r="Y47" s="759"/>
      <c r="Z47" s="759"/>
      <c r="AA47" s="759"/>
      <c r="AB47" s="759"/>
      <c r="AC47" s="759"/>
    </row>
    <row r="48" spans="1:29" ht="15" thickBot="1">
      <c r="A48" s="492" t="s">
        <v>2747</v>
      </c>
      <c r="B48" s="493"/>
      <c r="C48" s="494">
        <f>R48</f>
        <v>26673</v>
      </c>
      <c r="D48" s="494"/>
      <c r="E48" s="494"/>
      <c r="F48" s="494"/>
      <c r="G48" s="494"/>
      <c r="H48" s="494"/>
      <c r="I48" s="494"/>
      <c r="J48" s="494"/>
      <c r="K48" s="785"/>
      <c r="L48" s="1138"/>
      <c r="M48" s="1139"/>
      <c r="N48" s="1139"/>
      <c r="O48" s="1139"/>
      <c r="P48" s="3215" t="str">
        <f>A48</f>
        <v>估价对象XX用房的比较价值（楼面单价，元/平方米）</v>
      </c>
      <c r="Q48" s="3216"/>
      <c r="R48" s="3217">
        <f>ROUND(AVERAGE(R47:V47),0)</f>
        <v>26673</v>
      </c>
      <c r="S48" s="3217"/>
      <c r="T48" s="3217"/>
      <c r="U48" s="3217"/>
      <c r="V48" s="3217"/>
      <c r="W48" s="3217"/>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2661</v>
      </c>
      <c r="D51" s="498"/>
      <c r="E51" s="499">
        <f>IF(E46&lt;E47,E47/E46-1,E46/E47-1)</f>
        <v>7.6725193956717064E-2</v>
      </c>
      <c r="F51" s="500" t="str">
        <f>IF(OR(E51&gt;=0.3,E51&lt;=-0.3),"超过30%","")</f>
        <v/>
      </c>
      <c r="G51" s="499">
        <f>IF(G46&lt;G47,G47/G46-1,G46/G47-1)</f>
        <v>4.9037711847018661E-2</v>
      </c>
      <c r="H51" s="500" t="str">
        <f>IF(OR(G51&gt;=0.3,G51&lt;=-0.3),"超过30%","")</f>
        <v/>
      </c>
      <c r="I51" s="499">
        <f>IF(I46&lt;I47,I47/I46-1,I46/I47-1)</f>
        <v>4.904377708053187E-2</v>
      </c>
      <c r="J51" s="500" t="str">
        <f>IF(OR(I51&gt;=0.3,I51&lt;=-0.3),"超过30%","")</f>
        <v/>
      </c>
      <c r="K51" s="1100"/>
      <c r="L51" s="1101"/>
      <c r="M51" s="1139"/>
      <c r="N51" s="1139"/>
      <c r="O51" s="1139"/>
    </row>
    <row r="52" spans="1:15" ht="13.5" customHeight="1">
      <c r="A52" s="1139"/>
      <c r="B52" s="1139"/>
      <c r="C52" s="497" t="s">
        <v>2662</v>
      </c>
      <c r="D52" s="501"/>
      <c r="E52" s="499">
        <f>IF(E47&lt;G47,G47/E47-1,E47/G47-1)</f>
        <v>3.1489594742606819E-2</v>
      </c>
      <c r="F52" s="500" t="str">
        <f>IF(OR(E52&gt;=0.2,E52&lt;=-0.2),"超过20%","")</f>
        <v/>
      </c>
      <c r="G52" s="499">
        <f>IF(G47&lt;I47,I47/G47-1,G47/I47-1)</f>
        <v>9.8615240181505248E-2</v>
      </c>
      <c r="H52" s="500" t="str">
        <f>IF(OR(G52&gt;=0.2,G52&lt;=-0.2),"超过20%","")</f>
        <v/>
      </c>
      <c r="I52" s="499">
        <f>IF(I47&lt;E47,E47/I47-1,I47/E47-1)</f>
        <v>6.5076415487883565E-2</v>
      </c>
      <c r="J52" s="500" t="str">
        <f>IF(OR(I52&gt;=0.2,I52&lt;=-0.2),"超过20%","")</f>
        <v/>
      </c>
      <c r="K52" s="1100"/>
      <c r="L52" s="1101"/>
      <c r="M52" s="1139"/>
      <c r="N52" s="1139"/>
      <c r="O52" s="1139"/>
    </row>
    <row r="53" spans="1:15" s="502" customFormat="1" ht="13.5" customHeight="1">
      <c r="A53" s="1140"/>
      <c r="B53" s="1140"/>
      <c r="C53" s="497" t="s">
        <v>2663</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3"/>
      <c r="L53" s="1144"/>
      <c r="M53" s="1140"/>
      <c r="N53" s="1140"/>
      <c r="O53" s="1140"/>
    </row>
    <row r="54" spans="1:15" s="502" customFormat="1" ht="14.4" thickBot="1">
      <c r="A54" s="1140"/>
      <c r="B54" s="1141"/>
      <c r="C54" s="762"/>
      <c r="D54" s="760"/>
      <c r="E54" s="760"/>
      <c r="F54" s="760"/>
      <c r="G54" s="760"/>
      <c r="H54" s="760"/>
      <c r="I54" s="760"/>
      <c r="J54" s="760"/>
      <c r="K54" s="1143"/>
      <c r="L54" s="1144"/>
      <c r="M54" s="1140"/>
      <c r="N54" s="1140"/>
      <c r="O54" s="1140"/>
    </row>
    <row r="55" spans="1:15" ht="27" customHeight="1">
      <c r="A55" s="684" t="s">
        <v>2748</v>
      </c>
      <c r="B55" s="685" t="s">
        <v>2749</v>
      </c>
      <c r="C55" s="2693" t="s">
        <v>2750</v>
      </c>
      <c r="D55" s="2694" t="s">
        <v>2751</v>
      </c>
      <c r="E55" s="686" t="s">
        <v>2752</v>
      </c>
      <c r="F55" s="1102" t="s">
        <v>2753</v>
      </c>
      <c r="G55" s="3196" t="s">
        <v>2754</v>
      </c>
      <c r="H55" s="3218"/>
      <c r="I55" s="144" t="s">
        <v>2755</v>
      </c>
      <c r="J55" s="2695">
        <f>项目基本情况!F35</f>
        <v>0</v>
      </c>
      <c r="K55" s="2696" t="s">
        <v>2756</v>
      </c>
      <c r="L55" s="1101"/>
      <c r="M55" s="1139"/>
      <c r="N55" s="1139"/>
      <c r="O55" s="1139"/>
    </row>
    <row r="56" spans="1:15" s="692" customFormat="1">
      <c r="A56" s="688" t="s">
        <v>2757</v>
      </c>
      <c r="B56" s="689">
        <f>C48</f>
        <v>26673</v>
      </c>
      <c r="C56" s="690">
        <v>1</v>
      </c>
      <c r="D56" s="1158">
        <v>1</v>
      </c>
      <c r="E56" s="690">
        <f>'数据-汇总表'!E8+'数据-汇总表'!E9</f>
        <v>4323.09</v>
      </c>
      <c r="F56" s="1098">
        <f t="shared" ref="F56:F65" si="15">ROUND(B56*E56/10000,0)</f>
        <v>11531</v>
      </c>
      <c r="G56" s="3219"/>
      <c r="H56" s="3195"/>
      <c r="I56" s="1103">
        <v>1</v>
      </c>
      <c r="J56" s="1106">
        <v>1</v>
      </c>
      <c r="K56" s="1140"/>
      <c r="L56" s="936"/>
      <c r="M56" s="936"/>
      <c r="N56" s="936"/>
      <c r="O56" s="936"/>
    </row>
    <row r="57" spans="1:15" s="692" customFormat="1">
      <c r="A57" s="693" t="s">
        <v>2758</v>
      </c>
      <c r="B57" s="262">
        <f>ROUND($C$48*C57*D57,0)</f>
        <v>4668</v>
      </c>
      <c r="C57" s="200">
        <f t="shared" ref="C57:C65" si="16">IF($C$55="北京市系数",I57,J57)</f>
        <v>0.7</v>
      </c>
      <c r="D57" s="1159">
        <v>0.25</v>
      </c>
      <c r="E57" s="2977">
        <f>'数据-取费表'!K7</f>
        <v>7335.29</v>
      </c>
      <c r="F57" s="1098">
        <f t="shared" si="15"/>
        <v>3424</v>
      </c>
      <c r="G57" s="3220" t="s">
        <v>2759</v>
      </c>
      <c r="H57" s="1099" t="str">
        <f>项目基本情况!B37</f>
        <v>五级</v>
      </c>
      <c r="I57" s="1103">
        <f>SUMIF(修正!A45:A56,H57,修正!B45:B56)</f>
        <v>0.7</v>
      </c>
      <c r="J57" s="1107"/>
      <c r="K57" s="1139"/>
      <c r="L57" s="936"/>
      <c r="M57" s="936"/>
      <c r="N57" s="936"/>
      <c r="O57" s="936"/>
    </row>
    <row r="58" spans="1:15" s="692" customFormat="1">
      <c r="A58" s="693" t="s">
        <v>2760</v>
      </c>
      <c r="B58" s="262">
        <f t="shared" ref="B58:B65" si="17">ROUND($C$48*C58*D58,0)</f>
        <v>2667</v>
      </c>
      <c r="C58" s="200">
        <f t="shared" si="16"/>
        <v>0.4</v>
      </c>
      <c r="D58" s="1159">
        <v>0.25</v>
      </c>
      <c r="E58" s="2977">
        <f>'数据-取费表'!K8</f>
        <v>7268.6</v>
      </c>
      <c r="F58" s="1098">
        <f t="shared" si="15"/>
        <v>1939</v>
      </c>
      <c r="G58" s="3220"/>
      <c r="H58" s="1099" t="str">
        <f>项目基本情况!B37</f>
        <v>五级</v>
      </c>
      <c r="I58" s="1103">
        <f>SUMIF(修正!A45:A56,H58,修正!C45:C56)</f>
        <v>0.4</v>
      </c>
      <c r="J58" s="1107"/>
      <c r="K58" s="1140"/>
      <c r="L58" s="936"/>
      <c r="M58" s="936"/>
      <c r="N58" s="936"/>
      <c r="O58" s="936"/>
    </row>
    <row r="59" spans="1:15" s="692" customFormat="1">
      <c r="A59" s="693" t="s">
        <v>2761</v>
      </c>
      <c r="B59" s="262">
        <f t="shared" si="17"/>
        <v>1867</v>
      </c>
      <c r="C59" s="200">
        <f t="shared" si="16"/>
        <v>0.28000000000000003</v>
      </c>
      <c r="D59" s="1159">
        <v>0.25</v>
      </c>
      <c r="E59" s="694"/>
      <c r="F59" s="1098">
        <f t="shared" si="15"/>
        <v>0</v>
      </c>
      <c r="G59" s="3220"/>
      <c r="H59" s="1099" t="str">
        <f>项目基本情况!B37</f>
        <v>五级</v>
      </c>
      <c r="I59" s="1103">
        <f>SUMIF(修正!A45:A56,H59,修正!D45:D56)</f>
        <v>0.28000000000000003</v>
      </c>
      <c r="J59" s="1107"/>
      <c r="K59" s="1139"/>
      <c r="L59" s="936"/>
      <c r="M59" s="936"/>
      <c r="N59" s="936"/>
      <c r="O59" s="936"/>
    </row>
    <row r="60" spans="1:15" s="692" customFormat="1">
      <c r="A60" s="693" t="s">
        <v>2762</v>
      </c>
      <c r="B60" s="262">
        <f t="shared" si="17"/>
        <v>1667</v>
      </c>
      <c r="C60" s="200">
        <f t="shared" si="16"/>
        <v>0.25</v>
      </c>
      <c r="D60" s="1159">
        <v>0.25</v>
      </c>
      <c r="E60" s="694"/>
      <c r="F60" s="1098">
        <f t="shared" si="15"/>
        <v>0</v>
      </c>
      <c r="G60" s="3220"/>
      <c r="H60" s="1099" t="str">
        <f>项目基本情况!B37</f>
        <v>五级</v>
      </c>
      <c r="I60" s="1103">
        <f>SUMIF(修正!A45:A56,H60,修正!E45:E56)</f>
        <v>0.25</v>
      </c>
      <c r="J60" s="1107"/>
      <c r="K60" s="1140"/>
      <c r="L60" s="936"/>
      <c r="M60" s="936"/>
      <c r="N60" s="936"/>
      <c r="O60" s="936"/>
    </row>
    <row r="61" spans="1:15" s="692" customFormat="1">
      <c r="A61" s="693" t="s">
        <v>2763</v>
      </c>
      <c r="B61" s="262">
        <f t="shared" si="17"/>
        <v>0</v>
      </c>
      <c r="C61" s="200">
        <f t="shared" si="16"/>
        <v>0</v>
      </c>
      <c r="D61" s="1159">
        <v>0.25</v>
      </c>
      <c r="E61" s="261">
        <f>'数据-汇总表'!E11</f>
        <v>0</v>
      </c>
      <c r="F61" s="1098">
        <f t="shared" si="15"/>
        <v>0</v>
      </c>
      <c r="G61" s="2697" t="s">
        <v>2764</v>
      </c>
      <c r="H61" s="1099">
        <f>项目基本情况!C37</f>
        <v>0</v>
      </c>
      <c r="I61" s="1103">
        <f>SUMIF(修正!A45:A56,H61,修正!F45:F56)</f>
        <v>0</v>
      </c>
      <c r="J61" s="1107"/>
      <c r="K61" s="1139"/>
      <c r="L61" s="936"/>
      <c r="M61" s="936"/>
      <c r="N61" s="936"/>
      <c r="O61" s="936"/>
    </row>
    <row r="62" spans="1:15" s="692" customFormat="1">
      <c r="A62" s="693" t="s">
        <v>2765</v>
      </c>
      <c r="B62" s="262">
        <f t="shared" si="17"/>
        <v>0</v>
      </c>
      <c r="C62" s="200">
        <f t="shared" si="16"/>
        <v>0</v>
      </c>
      <c r="D62" s="1159">
        <v>0.25</v>
      </c>
      <c r="E62" s="261">
        <f>'数据-汇总表'!E12</f>
        <v>0</v>
      </c>
      <c r="F62" s="1098">
        <f t="shared" si="15"/>
        <v>0</v>
      </c>
      <c r="G62" s="1104" t="s">
        <v>2766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c r="A63" s="693" t="s">
        <v>2767</v>
      </c>
      <c r="B63" s="262">
        <f t="shared" si="17"/>
        <v>0</v>
      </c>
      <c r="C63" s="200">
        <f t="shared" si="16"/>
        <v>0</v>
      </c>
      <c r="D63" s="1159">
        <v>0.25</v>
      </c>
      <c r="E63" s="261">
        <f>'数据-汇总表'!E13</f>
        <v>0</v>
      </c>
      <c r="F63" s="1098">
        <f t="shared" si="15"/>
        <v>0</v>
      </c>
      <c r="G63" s="1104" t="s">
        <v>2768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2769</v>
      </c>
      <c r="B64" s="262">
        <f t="shared" si="17"/>
        <v>1334</v>
      </c>
      <c r="C64" s="200">
        <f t="shared" si="16"/>
        <v>0.2</v>
      </c>
      <c r="D64" s="1159">
        <v>0.25</v>
      </c>
      <c r="E64" s="261">
        <f>'数据-汇总表'!E14</f>
        <v>7954.3</v>
      </c>
      <c r="F64" s="1098">
        <f t="shared" si="15"/>
        <v>1061</v>
      </c>
      <c r="G64" s="2697" t="s">
        <v>2759</v>
      </c>
      <c r="H64" s="1099" t="str">
        <f>项目基本情况!B37</f>
        <v>五级</v>
      </c>
      <c r="I64" s="1103">
        <f>SUMIF(修正!A45:A56,H64,修正!H45:H56)</f>
        <v>0.2</v>
      </c>
      <c r="J64" s="1107"/>
      <c r="K64" s="1140"/>
      <c r="L64" s="936"/>
      <c r="M64" s="936"/>
      <c r="N64" s="936"/>
      <c r="O64" s="936"/>
    </row>
    <row r="65" spans="1:19" s="692" customFormat="1" ht="14.4" thickBot="1">
      <c r="A65" s="693" t="s">
        <v>2770</v>
      </c>
      <c r="B65" s="262">
        <f t="shared" si="17"/>
        <v>0</v>
      </c>
      <c r="C65" s="200">
        <f t="shared" si="16"/>
        <v>0</v>
      </c>
      <c r="D65" s="1159">
        <v>0.25</v>
      </c>
      <c r="E65" s="261">
        <f>'数据-汇总表'!E15</f>
        <v>0</v>
      </c>
      <c r="F65" s="1098">
        <f t="shared" si="15"/>
        <v>0</v>
      </c>
      <c r="G65" s="2698" t="s">
        <v>2764</v>
      </c>
      <c r="H65" s="1109">
        <f>项目基本情况!C37</f>
        <v>0</v>
      </c>
      <c r="I65" s="1105">
        <f>SUMIF(修正!A45:A56,H65,修正!H45:H56)</f>
        <v>0</v>
      </c>
      <c r="J65" s="1108"/>
      <c r="K65" s="1139"/>
      <c r="L65" s="936"/>
      <c r="M65" s="936"/>
      <c r="N65" s="936"/>
      <c r="O65" s="936"/>
    </row>
    <row r="66" spans="1:19" s="692" customFormat="1" thickBot="1">
      <c r="A66" s="695" t="s">
        <v>2771</v>
      </c>
      <c r="B66" s="696" t="s">
        <v>28</v>
      </c>
      <c r="C66" s="696" t="s">
        <v>29</v>
      </c>
      <c r="D66" s="696" t="s">
        <v>1025</v>
      </c>
      <c r="E66" s="696">
        <f>IF(B46="楼面地价",SUM(E56:E65),'数据-汇总表'!D3)</f>
        <v>26881.280000000002</v>
      </c>
      <c r="F66" s="697">
        <f>IF(B46="楼面地价",SUM(F56:F65),ROUND(C48*E66/10000,0))</f>
        <v>17955</v>
      </c>
      <c r="G66" s="787"/>
      <c r="H66" s="787"/>
      <c r="I66" s="787"/>
      <c r="J66" s="787"/>
      <c r="K66" s="1153"/>
      <c r="L66" s="936"/>
      <c r="M66" s="936"/>
      <c r="N66" s="936"/>
      <c r="O66" s="936"/>
    </row>
    <row r="67" spans="1:19">
      <c r="A67" s="759"/>
      <c r="B67" s="761"/>
      <c r="C67" s="762"/>
      <c r="D67" s="759"/>
      <c r="E67" s="759"/>
      <c r="F67" s="759"/>
      <c r="G67" s="759"/>
      <c r="H67" s="759"/>
      <c r="I67" s="759"/>
      <c r="J67" s="1139"/>
      <c r="K67" s="1100"/>
      <c r="L67" s="1101"/>
      <c r="M67" s="1139"/>
      <c r="N67" s="1139"/>
      <c r="O67" s="1139"/>
    </row>
    <row r="68" spans="1:19">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9" ht="22.2" thickBot="1">
      <c r="A69" s="763" t="s">
        <v>2664</v>
      </c>
      <c r="B69" s="759"/>
      <c r="C69" s="764"/>
      <c r="D69" s="764"/>
      <c r="E69" s="764"/>
      <c r="F69" s="765"/>
      <c r="G69" s="765"/>
      <c r="H69" s="764"/>
      <c r="I69" s="764"/>
      <c r="J69" s="1154"/>
      <c r="K69" s="1155"/>
      <c r="L69" s="1156"/>
      <c r="M69" s="1154"/>
      <c r="N69" s="1154"/>
      <c r="O69" s="1154"/>
      <c r="P69" s="503"/>
      <c r="Q69" s="504"/>
    </row>
    <row r="70" spans="1:19" s="508" customFormat="1" ht="14.4">
      <c r="A70" s="2699" t="s">
        <v>2772</v>
      </c>
      <c r="B70" s="1354"/>
      <c r="C70" s="1566" t="str">
        <f>YEAR(C68)&amp;"-"&amp;ROUNDUP(MONTH(C68)/3,0)</f>
        <v>2020-3</v>
      </c>
      <c r="D70" s="1566" t="str">
        <f>YEAR(D68)&amp;"-"&amp;ROUNDUP(MONTH(D68)/3,0)</f>
        <v>2020-2</v>
      </c>
      <c r="E70" s="1566" t="str">
        <f t="shared" ref="E70:O70" si="19">YEAR(E68)&amp;"-"&amp;ROUNDUP(MONTH(E68)/3,0)</f>
        <v>2020-1</v>
      </c>
      <c r="F70" s="1566" t="str">
        <f t="shared" si="19"/>
        <v>2019-4</v>
      </c>
      <c r="G70" s="1566" t="str">
        <f t="shared" si="19"/>
        <v>2019-3</v>
      </c>
      <c r="H70" s="1566" t="str">
        <f t="shared" si="19"/>
        <v>2019-2</v>
      </c>
      <c r="I70" s="1566" t="str">
        <f t="shared" si="19"/>
        <v>2019-1</v>
      </c>
      <c r="J70" s="1566" t="str">
        <f t="shared" si="19"/>
        <v>2018-4</v>
      </c>
      <c r="K70" s="1566" t="str">
        <f t="shared" si="19"/>
        <v>2018-3</v>
      </c>
      <c r="L70" s="1566" t="str">
        <f t="shared" si="19"/>
        <v>2018-2</v>
      </c>
      <c r="M70" s="1566" t="str">
        <f t="shared" si="19"/>
        <v>2018-1</v>
      </c>
      <c r="N70" s="1566" t="str">
        <f t="shared" si="19"/>
        <v>2017-4</v>
      </c>
      <c r="O70" s="1566" t="str">
        <f t="shared" si="19"/>
        <v>2017-3</v>
      </c>
      <c r="P70" s="2974">
        <v>42767</v>
      </c>
      <c r="Q70" s="2974">
        <v>42736</v>
      </c>
      <c r="R70" s="2973"/>
      <c r="S70" s="2973"/>
    </row>
    <row r="71" spans="1:19" s="117" customFormat="1" ht="30" customHeight="1">
      <c r="A71" s="2700" t="s">
        <v>2773</v>
      </c>
      <c r="B71" s="332" t="str">
        <f>"北京市平均增长率"&amp;TEXT(SUMIF(基准地价修正!N21:N25,A71,基准地价修正!P21:P25),"0.00%")</f>
        <v>北京市平均增长率1.95%</v>
      </c>
      <c r="C71" s="603">
        <v>100</v>
      </c>
      <c r="D71" s="595">
        <f>C71-$C$72</f>
        <v>99.5</v>
      </c>
      <c r="E71" s="595">
        <f>D71-$C$72</f>
        <v>99</v>
      </c>
      <c r="F71" s="595">
        <f t="shared" ref="F71:Q71" si="20">E71-$C$72</f>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95">
        <f t="shared" si="20"/>
        <v>93.5</v>
      </c>
      <c r="Q71" s="595">
        <f t="shared" si="20"/>
        <v>93</v>
      </c>
    </row>
    <row r="72" spans="1:19" s="117" customFormat="1" ht="15" thickBot="1">
      <c r="A72" s="515" t="s">
        <v>2575</v>
      </c>
      <c r="B72" s="516"/>
      <c r="C72" s="517">
        <v>0.5</v>
      </c>
      <c r="D72" s="518"/>
      <c r="E72" s="518"/>
      <c r="F72" s="518"/>
      <c r="G72" s="518"/>
      <c r="H72" s="518"/>
      <c r="I72" s="518"/>
      <c r="J72" s="518"/>
      <c r="K72" s="518"/>
      <c r="L72" s="518"/>
      <c r="M72" s="519"/>
      <c r="N72" s="518"/>
      <c r="O72" s="1157"/>
      <c r="P72" s="504"/>
      <c r="Q72" s="504"/>
    </row>
    <row r="73" spans="1:19" s="117" customFormat="1" ht="14.4">
      <c r="A73" s="521" t="s">
        <v>2540</v>
      </c>
      <c r="B73" s="510"/>
      <c r="C73" s="522" t="s">
        <v>2642</v>
      </c>
      <c r="D73" s="523"/>
      <c r="E73" s="523"/>
      <c r="F73" s="523"/>
      <c r="G73" s="523"/>
      <c r="H73" s="523"/>
      <c r="I73" s="523"/>
      <c r="J73" s="523"/>
      <c r="K73" s="523"/>
      <c r="L73" s="524"/>
      <c r="M73" s="525"/>
      <c r="N73" s="1146"/>
      <c r="O73" s="1146"/>
      <c r="P73" s="526"/>
      <c r="Q73" s="504"/>
    </row>
    <row r="74" spans="1:19" s="117" customFormat="1" ht="14.4" thickBot="1">
      <c r="A74" s="521"/>
      <c r="B74" s="510"/>
      <c r="C74" s="639">
        <v>100</v>
      </c>
      <c r="D74" s="512"/>
      <c r="E74" s="512"/>
      <c r="F74" s="512"/>
      <c r="G74" s="512"/>
      <c r="H74" s="512"/>
      <c r="I74" s="512"/>
      <c r="J74" s="512"/>
      <c r="K74" s="512"/>
      <c r="L74" s="512"/>
      <c r="M74" s="514"/>
      <c r="N74" s="1146"/>
      <c r="O74" s="1146"/>
      <c r="P74" s="504"/>
      <c r="Q74" s="504"/>
    </row>
    <row r="75" spans="1:19" ht="14.4">
      <c r="A75" s="527" t="s">
        <v>2578</v>
      </c>
      <c r="B75" s="528" t="s">
        <v>2544</v>
      </c>
      <c r="C75" s="2967" t="s">
        <v>3137</v>
      </c>
      <c r="D75" s="530"/>
      <c r="E75" s="530"/>
      <c r="F75" s="530"/>
      <c r="G75" s="530"/>
      <c r="H75" s="530"/>
      <c r="I75" s="530"/>
      <c r="J75" s="530"/>
      <c r="K75" s="531"/>
      <c r="L75" s="532"/>
      <c r="M75" s="533"/>
      <c r="N75" s="1147"/>
      <c r="O75" s="1147"/>
      <c r="P75" s="45"/>
      <c r="Q75" s="504"/>
    </row>
    <row r="76" spans="1:19" ht="14.4" thickBot="1">
      <c r="A76" s="534"/>
      <c r="B76" s="535"/>
      <c r="C76" s="536"/>
      <c r="D76" s="536"/>
      <c r="E76" s="536"/>
      <c r="F76" s="536"/>
      <c r="G76" s="536"/>
      <c r="H76" s="536"/>
      <c r="I76" s="536"/>
      <c r="J76" s="536"/>
      <c r="K76" s="536"/>
      <c r="L76" s="536"/>
      <c r="M76" s="537"/>
      <c r="N76" s="1148"/>
      <c r="O76" s="1148"/>
      <c r="P76" s="45"/>
      <c r="Q76" s="504"/>
    </row>
    <row r="77" spans="1:19" ht="29.4" thickTop="1">
      <c r="A77" s="534"/>
      <c r="B77" s="538" t="s">
        <v>2547</v>
      </c>
      <c r="C77" s="539"/>
      <c r="D77" s="539"/>
      <c r="E77" s="539"/>
      <c r="F77" s="539"/>
      <c r="G77" s="539"/>
      <c r="H77" s="539"/>
      <c r="I77" s="539"/>
      <c r="J77" s="539"/>
      <c r="K77" s="540"/>
      <c r="L77" s="541"/>
      <c r="M77" s="542"/>
      <c r="N77" s="1147"/>
      <c r="O77" s="1147"/>
      <c r="P77" s="45"/>
      <c r="Q77" s="504"/>
    </row>
    <row r="78" spans="1:19" ht="14.4" thickBot="1">
      <c r="A78" s="534"/>
      <c r="B78" s="543"/>
      <c r="C78" s="544"/>
      <c r="D78" s="544"/>
      <c r="E78" s="544"/>
      <c r="F78" s="544"/>
      <c r="G78" s="544"/>
      <c r="H78" s="544"/>
      <c r="I78" s="544"/>
      <c r="J78" s="544"/>
      <c r="K78" s="544"/>
      <c r="L78" s="544"/>
      <c r="M78" s="545"/>
      <c r="N78" s="1148"/>
      <c r="O78" s="1148"/>
      <c r="P78" s="45"/>
      <c r="Q78" s="504"/>
    </row>
    <row r="79" spans="1:19" ht="15" thickTop="1">
      <c r="A79" s="534"/>
      <c r="B79" s="546" t="s">
        <v>2548</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48"/>
      <c r="O79" s="1148"/>
      <c r="P79" s="45"/>
      <c r="Q79" s="504"/>
    </row>
    <row r="80" spans="1:19">
      <c r="A80" s="534"/>
      <c r="B80" s="548"/>
      <c r="C80" s="549">
        <v>0</v>
      </c>
      <c r="D80" s="549">
        <v>1</v>
      </c>
      <c r="E80" s="549">
        <v>2</v>
      </c>
      <c r="F80" s="549">
        <v>3</v>
      </c>
      <c r="G80" s="549">
        <v>4</v>
      </c>
      <c r="H80" s="549">
        <v>5</v>
      </c>
      <c r="I80" s="549">
        <v>6</v>
      </c>
      <c r="J80" s="549">
        <v>7</v>
      </c>
      <c r="K80" s="550">
        <v>8</v>
      </c>
      <c r="L80" s="551">
        <v>9</v>
      </c>
      <c r="M80" s="552">
        <v>10</v>
      </c>
      <c r="N80" s="1147"/>
      <c r="O80" s="1147"/>
      <c r="P80" s="45"/>
      <c r="Q80" s="504"/>
    </row>
    <row r="81" spans="1:17" ht="14.4"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48"/>
      <c r="O81" s="1148"/>
      <c r="P81" s="45"/>
      <c r="Q81" s="504"/>
    </row>
    <row r="82" spans="1:17" s="471" customFormat="1" ht="14.4"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4.4" thickBot="1">
      <c r="A83" s="553"/>
      <c r="B83" s="543"/>
      <c r="C83" s="560"/>
      <c r="D83" s="536"/>
      <c r="E83" s="536"/>
      <c r="F83" s="536"/>
      <c r="G83" s="536"/>
      <c r="H83" s="536"/>
      <c r="I83" s="536"/>
      <c r="J83" s="536"/>
      <c r="K83" s="536"/>
      <c r="L83" s="536"/>
      <c r="M83" s="537"/>
      <c r="N83" s="1148"/>
      <c r="O83" s="1148"/>
      <c r="P83" s="558"/>
      <c r="Q83" s="559"/>
    </row>
    <row r="84" spans="1:17" s="471" customFormat="1" ht="14.4" thickTop="1">
      <c r="A84" s="553"/>
      <c r="B84" s="538">
        <f>B13</f>
        <v>111</v>
      </c>
      <c r="C84" s="554"/>
      <c r="D84" s="554"/>
      <c r="E84" s="554"/>
      <c r="F84" s="554"/>
      <c r="G84" s="554"/>
      <c r="H84" s="555"/>
      <c r="I84" s="555"/>
      <c r="J84" s="555"/>
      <c r="K84" s="555"/>
      <c r="L84" s="556"/>
      <c r="M84" s="557"/>
      <c r="N84" s="1149"/>
      <c r="O84" s="1149"/>
      <c r="P84" s="470"/>
      <c r="Q84" s="561"/>
    </row>
    <row r="85" spans="1:17" s="471" customFormat="1" ht="14.4" thickBot="1">
      <c r="A85" s="553"/>
      <c r="B85" s="543"/>
      <c r="C85" s="560"/>
      <c r="D85" s="560"/>
      <c r="E85" s="560"/>
      <c r="F85" s="560"/>
      <c r="G85" s="560"/>
      <c r="H85" s="562"/>
      <c r="I85" s="562"/>
      <c r="J85" s="562"/>
      <c r="K85" s="562"/>
      <c r="L85" s="562"/>
      <c r="M85" s="563"/>
      <c r="N85" s="1149"/>
      <c r="O85" s="1149"/>
      <c r="P85" s="558"/>
      <c r="Q85" s="559"/>
    </row>
    <row r="86" spans="1:17" s="471" customFormat="1" ht="14.4" thickTop="1">
      <c r="A86" s="553"/>
      <c r="B86" s="546">
        <f>B14</f>
        <v>111</v>
      </c>
      <c r="C86" s="523"/>
      <c r="D86" s="523"/>
      <c r="E86" s="523"/>
      <c r="F86" s="523"/>
      <c r="G86" s="523"/>
      <c r="H86" s="564"/>
      <c r="I86" s="564"/>
      <c r="J86" s="564"/>
      <c r="K86" s="564"/>
      <c r="L86" s="565"/>
      <c r="M86" s="566"/>
      <c r="N86" s="1149"/>
      <c r="O86" s="1149"/>
      <c r="P86" s="567"/>
      <c r="Q86" s="559"/>
    </row>
    <row r="87" spans="1:17" s="471" customFormat="1" ht="14.4" thickBot="1">
      <c r="A87" s="568"/>
      <c r="B87" s="569"/>
      <c r="C87" s="570"/>
      <c r="D87" s="570"/>
      <c r="E87" s="570"/>
      <c r="F87" s="570"/>
      <c r="G87" s="570"/>
      <c r="H87" s="571"/>
      <c r="I87" s="571"/>
      <c r="J87" s="571"/>
      <c r="K87" s="571"/>
      <c r="L87" s="571"/>
      <c r="M87" s="572"/>
      <c r="N87" s="1149"/>
      <c r="O87" s="1149"/>
      <c r="P87" s="558"/>
      <c r="Q87" s="559"/>
    </row>
    <row r="88" spans="1:17" ht="14.4">
      <c r="A88" s="527" t="s">
        <v>2549</v>
      </c>
      <c r="B88" s="528" t="s">
        <v>2586</v>
      </c>
      <c r="C88" s="573" t="s">
        <v>2587</v>
      </c>
      <c r="D88" s="573" t="s">
        <v>2588</v>
      </c>
      <c r="E88" s="573" t="s">
        <v>2589</v>
      </c>
      <c r="F88" s="573" t="s">
        <v>2590</v>
      </c>
      <c r="G88" s="573" t="s">
        <v>2591</v>
      </c>
      <c r="H88" s="529"/>
      <c r="I88" s="529"/>
      <c r="J88" s="529"/>
      <c r="K88" s="574"/>
      <c r="L88" s="575"/>
      <c r="M88" s="576"/>
      <c r="N88" s="1147"/>
      <c r="O88" s="1147"/>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 thickTop="1">
      <c r="A90" s="534"/>
      <c r="B90" s="538" t="s">
        <v>2774</v>
      </c>
      <c r="C90" s="578" t="s">
        <v>2587</v>
      </c>
      <c r="D90" s="578" t="s">
        <v>2588</v>
      </c>
      <c r="E90" s="578" t="s">
        <v>2589</v>
      </c>
      <c r="F90" s="578" t="s">
        <v>2590</v>
      </c>
      <c r="G90" s="578" t="s">
        <v>2591</v>
      </c>
      <c r="H90" s="539"/>
      <c r="I90" s="539"/>
      <c r="J90" s="539"/>
      <c r="K90" s="540"/>
      <c r="L90" s="541"/>
      <c r="M90" s="542"/>
      <c r="N90" s="1147"/>
      <c r="O90" s="1147"/>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48"/>
      <c r="O91" s="1148"/>
      <c r="P91" s="45"/>
      <c r="Q91" s="504"/>
    </row>
    <row r="92" spans="1:17" ht="15" thickTop="1">
      <c r="A92" s="534"/>
      <c r="B92" s="538" t="s">
        <v>2687</v>
      </c>
      <c r="C92" s="578" t="s">
        <v>2587</v>
      </c>
      <c r="D92" s="578" t="s">
        <v>2588</v>
      </c>
      <c r="E92" s="578" t="s">
        <v>2589</v>
      </c>
      <c r="F92" s="578" t="s">
        <v>2590</v>
      </c>
      <c r="G92" s="578" t="s">
        <v>2591</v>
      </c>
      <c r="H92" s="539"/>
      <c r="I92" s="539"/>
      <c r="J92" s="539"/>
      <c r="K92" s="540"/>
      <c r="L92" s="541"/>
      <c r="M92" s="542"/>
      <c r="N92" s="1147"/>
      <c r="O92" s="1147"/>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48"/>
      <c r="O93" s="1148"/>
      <c r="P93" s="45"/>
      <c r="Q93" s="504"/>
    </row>
    <row r="94" spans="1:17" ht="15" thickTop="1">
      <c r="A94" s="534"/>
      <c r="B94" s="538" t="s">
        <v>2592</v>
      </c>
      <c r="C94" s="578" t="s">
        <v>2587</v>
      </c>
      <c r="D94" s="578" t="s">
        <v>2588</v>
      </c>
      <c r="E94" s="578" t="s">
        <v>2589</v>
      </c>
      <c r="F94" s="578" t="s">
        <v>2590</v>
      </c>
      <c r="G94" s="578" t="s">
        <v>2591</v>
      </c>
      <c r="H94" s="539"/>
      <c r="I94" s="539"/>
      <c r="J94" s="539"/>
      <c r="K94" s="540"/>
      <c r="L94" s="541"/>
      <c r="M94" s="542"/>
      <c r="N94" s="1147"/>
      <c r="O94" s="1147"/>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48"/>
      <c r="O95" s="1148"/>
      <c r="P95" s="45"/>
      <c r="Q95" s="504"/>
    </row>
    <row r="96" spans="1:17" s="117" customFormat="1" ht="29.4" thickTop="1">
      <c r="A96" s="579"/>
      <c r="B96" s="538" t="s">
        <v>2775</v>
      </c>
      <c r="C96" s="578" t="s">
        <v>2587</v>
      </c>
      <c r="D96" s="578" t="s">
        <v>2588</v>
      </c>
      <c r="E96" s="578" t="s">
        <v>2589</v>
      </c>
      <c r="F96" s="578" t="s">
        <v>2590</v>
      </c>
      <c r="G96" s="578" t="s">
        <v>2591</v>
      </c>
      <c r="H96" s="578"/>
      <c r="I96" s="578"/>
      <c r="J96" s="578"/>
      <c r="K96" s="578"/>
      <c r="L96" s="698"/>
      <c r="M96" s="622"/>
      <c r="N96" s="1146"/>
      <c r="O96" s="1146"/>
      <c r="P96" s="45"/>
      <c r="Q96" s="504"/>
    </row>
    <row r="97" spans="1:17" s="117" customFormat="1" ht="14.4" thickBot="1">
      <c r="A97" s="579"/>
      <c r="B97" s="543"/>
      <c r="C97" s="582">
        <v>100</v>
      </c>
      <c r="D97" s="544">
        <f>C97-$K23</f>
        <v>97</v>
      </c>
      <c r="E97" s="544">
        <f>D97-$K23</f>
        <v>94</v>
      </c>
      <c r="F97" s="544">
        <f>E97-$K23</f>
        <v>91</v>
      </c>
      <c r="G97" s="544">
        <f>F97-$K23</f>
        <v>88</v>
      </c>
      <c r="H97" s="544"/>
      <c r="I97" s="544"/>
      <c r="J97" s="544"/>
      <c r="K97" s="544"/>
      <c r="L97" s="544"/>
      <c r="M97" s="545"/>
      <c r="N97" s="1148"/>
      <c r="O97" s="1148"/>
      <c r="P97" s="45"/>
      <c r="Q97" s="504"/>
    </row>
    <row r="98" spans="1:17" s="117" customFormat="1" ht="29.4" thickTop="1">
      <c r="A98" s="579"/>
      <c r="B98" s="538" t="s">
        <v>2776</v>
      </c>
      <c r="C98" s="573" t="s">
        <v>2587</v>
      </c>
      <c r="D98" s="573" t="s">
        <v>2588</v>
      </c>
      <c r="E98" s="573" t="s">
        <v>2589</v>
      </c>
      <c r="F98" s="573" t="s">
        <v>2590</v>
      </c>
      <c r="G98" s="573" t="s">
        <v>2591</v>
      </c>
      <c r="H98" s="578"/>
      <c r="I98" s="578"/>
      <c r="J98" s="578"/>
      <c r="K98" s="578"/>
      <c r="L98" s="578"/>
      <c r="M98" s="622"/>
      <c r="N98" s="1146"/>
      <c r="O98" s="1146"/>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48"/>
      <c r="O99" s="1148"/>
      <c r="P99" s="45"/>
      <c r="Q99" s="504"/>
    </row>
    <row r="100" spans="1:17" s="471" customFormat="1" ht="15" thickTop="1">
      <c r="A100" s="553"/>
      <c r="B100" s="538" t="s">
        <v>2644</v>
      </c>
      <c r="C100" s="573" t="s">
        <v>2587</v>
      </c>
      <c r="D100" s="573" t="s">
        <v>2588</v>
      </c>
      <c r="E100" s="573" t="s">
        <v>2589</v>
      </c>
      <c r="F100" s="573" t="s">
        <v>2590</v>
      </c>
      <c r="G100" s="573" t="s">
        <v>2591</v>
      </c>
      <c r="H100" s="600"/>
      <c r="I100" s="600"/>
      <c r="J100" s="600"/>
      <c r="K100" s="600"/>
      <c r="L100" s="601"/>
      <c r="M100" s="602"/>
      <c r="N100" s="1149"/>
      <c r="O100" s="1149"/>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49"/>
      <c r="O101" s="1149"/>
      <c r="P101" s="558"/>
      <c r="Q101" s="559"/>
    </row>
    <row r="102" spans="1:17" s="471" customFormat="1" ht="15" thickTop="1">
      <c r="A102" s="553"/>
      <c r="B102" s="546" t="s">
        <v>2645</v>
      </c>
      <c r="C102" s="660" t="s">
        <v>2665</v>
      </c>
      <c r="D102" s="660" t="s">
        <v>2666</v>
      </c>
      <c r="E102" s="660" t="s">
        <v>2667</v>
      </c>
      <c r="F102" s="660" t="s">
        <v>2668</v>
      </c>
      <c r="G102" s="660" t="s">
        <v>2669</v>
      </c>
      <c r="H102" s="600"/>
      <c r="I102" s="600"/>
      <c r="J102" s="600"/>
      <c r="K102" s="600"/>
      <c r="L102" s="600"/>
      <c r="M102" s="1380"/>
      <c r="N102" s="1149"/>
      <c r="O102" s="1149"/>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0"/>
      <c r="N103" s="1149"/>
      <c r="O103" s="1149"/>
      <c r="P103" s="558"/>
      <c r="Q103" s="559"/>
    </row>
    <row r="104" spans="1:17" ht="15" thickTop="1">
      <c r="A104" s="534"/>
      <c r="B104" s="538" t="str">
        <f>B31</f>
        <v>临街状况</v>
      </c>
      <c r="C104" s="539" t="s">
        <v>2777</v>
      </c>
      <c r="D104" s="539" t="s">
        <v>2778</v>
      </c>
      <c r="E104" s="539" t="s">
        <v>2779</v>
      </c>
      <c r="F104" s="539" t="s">
        <v>2780</v>
      </c>
      <c r="G104" s="539"/>
      <c r="H104" s="539"/>
      <c r="I104" s="539"/>
      <c r="J104" s="539"/>
      <c r="K104" s="540"/>
      <c r="L104" s="541"/>
      <c r="M104" s="542"/>
      <c r="N104" s="1147"/>
      <c r="O104" s="1147"/>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8"/>
      <c r="O105" s="1148"/>
      <c r="P105" s="45"/>
      <c r="Q105" s="504"/>
    </row>
    <row r="106" spans="1:17" ht="29.4" thickTop="1">
      <c r="A106" s="534"/>
      <c r="B106" s="538" t="s">
        <v>2681</v>
      </c>
      <c r="C106" s="554"/>
      <c r="D106" s="554"/>
      <c r="E106" s="554"/>
      <c r="F106" s="554"/>
      <c r="G106" s="554"/>
      <c r="H106" s="583"/>
      <c r="I106" s="583"/>
      <c r="J106" s="583"/>
      <c r="K106" s="584"/>
      <c r="L106" s="585"/>
      <c r="M106" s="586"/>
      <c r="N106" s="1147"/>
      <c r="O106" s="1147"/>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48"/>
      <c r="O107" s="1148"/>
      <c r="P107" s="45"/>
      <c r="Q107" s="504"/>
    </row>
    <row r="108" spans="1:17" ht="15" thickTop="1">
      <c r="A108" s="534"/>
      <c r="B108" s="538" t="s">
        <v>2740</v>
      </c>
      <c r="C108" s="583"/>
      <c r="D108" s="583"/>
      <c r="E108" s="583"/>
      <c r="F108" s="583"/>
      <c r="G108" s="583"/>
      <c r="H108" s="583"/>
      <c r="I108" s="583"/>
      <c r="J108" s="583"/>
      <c r="K108" s="584"/>
      <c r="L108" s="585"/>
      <c r="M108" s="586"/>
      <c r="N108" s="1147"/>
      <c r="O108" s="1147"/>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8"/>
      <c r="O109" s="1148"/>
      <c r="P109" s="45"/>
      <c r="Q109" s="504"/>
    </row>
    <row r="110" spans="1:17" ht="14.4" thickTop="1">
      <c r="A110" s="534"/>
      <c r="B110" s="546">
        <f>B35</f>
        <v>111</v>
      </c>
      <c r="C110" s="554"/>
      <c r="D110" s="554"/>
      <c r="E110" s="554"/>
      <c r="F110" s="554"/>
      <c r="G110" s="587"/>
      <c r="H110" s="587"/>
      <c r="I110" s="587"/>
      <c r="J110" s="587"/>
      <c r="K110" s="588"/>
      <c r="L110" s="589"/>
      <c r="M110" s="590"/>
      <c r="N110" s="1147"/>
      <c r="O110" s="1147"/>
      <c r="P110" s="45"/>
      <c r="Q110" s="504"/>
    </row>
    <row r="111" spans="1:17" ht="14.4" thickBot="1">
      <c r="A111" s="534"/>
      <c r="B111" s="569"/>
      <c r="C111" s="560"/>
      <c r="D111" s="560"/>
      <c r="E111" s="560"/>
      <c r="F111" s="560"/>
      <c r="G111" s="591"/>
      <c r="H111" s="591"/>
      <c r="I111" s="591"/>
      <c r="J111" s="591"/>
      <c r="K111" s="591"/>
      <c r="L111" s="591"/>
      <c r="M111" s="592"/>
      <c r="N111" s="1148"/>
      <c r="O111" s="1148"/>
      <c r="P111" s="45"/>
      <c r="Q111" s="504"/>
    </row>
    <row r="112" spans="1:17" ht="14.4" thickTop="1">
      <c r="A112" s="675"/>
      <c r="B112" s="538">
        <f>B36</f>
        <v>111</v>
      </c>
      <c r="C112" s="523"/>
      <c r="D112" s="523"/>
      <c r="E112" s="523"/>
      <c r="F112" s="523"/>
      <c r="G112" s="583"/>
      <c r="H112" s="583"/>
      <c r="I112" s="583"/>
      <c r="J112" s="583"/>
      <c r="K112" s="584"/>
      <c r="L112" s="585"/>
      <c r="M112" s="586"/>
      <c r="N112" s="1147"/>
      <c r="O112" s="1147"/>
      <c r="P112" s="45"/>
      <c r="Q112" s="504"/>
    </row>
    <row r="113" spans="1:17" ht="14.4" thickBot="1">
      <c r="A113" s="534"/>
      <c r="B113" s="543"/>
      <c r="C113" s="570"/>
      <c r="D113" s="570"/>
      <c r="E113" s="570"/>
      <c r="F113" s="570"/>
      <c r="G113" s="536"/>
      <c r="H113" s="536"/>
      <c r="I113" s="536"/>
      <c r="J113" s="536"/>
      <c r="K113" s="536"/>
      <c r="L113" s="536"/>
      <c r="M113" s="537"/>
      <c r="N113" s="1148"/>
      <c r="O113" s="1148"/>
      <c r="P113" s="45"/>
      <c r="Q113" s="504"/>
    </row>
    <row r="114" spans="1:17" s="471" customFormat="1" ht="14.4"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4.4" thickBot="1">
      <c r="A115" s="553"/>
      <c r="B115" s="546"/>
      <c r="C115" s="512"/>
      <c r="D115" s="677"/>
      <c r="E115" s="677"/>
      <c r="F115" s="677"/>
      <c r="G115" s="677"/>
      <c r="H115" s="677"/>
      <c r="I115" s="677"/>
      <c r="J115" s="677"/>
      <c r="K115" s="677"/>
      <c r="L115" s="677"/>
      <c r="M115" s="699"/>
      <c r="N115" s="1148"/>
      <c r="O115" s="1148"/>
      <c r="P115" s="558"/>
      <c r="Q115" s="559"/>
    </row>
    <row r="116" spans="1:17" ht="27.6">
      <c r="A116" s="527" t="s">
        <v>2553</v>
      </c>
      <c r="B116" s="528" t="s">
        <v>2781</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200000(含)-250000</v>
      </c>
      <c r="H116" s="529" t="str">
        <f t="shared" si="26"/>
        <v>250000(含)-300000</v>
      </c>
      <c r="I116" s="529" t="str">
        <f t="shared" si="26"/>
        <v>300000(含)-350000</v>
      </c>
      <c r="J116" s="529" t="str">
        <f t="shared" si="26"/>
        <v>350000(含)-400000</v>
      </c>
      <c r="K116" s="529" t="str">
        <f t="shared" si="26"/>
        <v>400000(含)-450000</v>
      </c>
      <c r="L116" s="529" t="str">
        <f t="shared" si="26"/>
        <v>450000(含)-500000</v>
      </c>
      <c r="M116" s="529" t="str">
        <f t="shared" si="26"/>
        <v>500000(含)-</v>
      </c>
      <c r="N116" s="1147"/>
      <c r="O116" s="1147"/>
      <c r="P116" s="45"/>
      <c r="Q116" s="504"/>
    </row>
    <row r="117" spans="1:17">
      <c r="A117" s="534"/>
      <c r="B117" s="546"/>
      <c r="C117" s="595">
        <v>0</v>
      </c>
      <c r="D117" s="595">
        <v>50000</v>
      </c>
      <c r="E117" s="595">
        <v>100000</v>
      </c>
      <c r="F117" s="595">
        <v>150000</v>
      </c>
      <c r="G117" s="595">
        <v>200000</v>
      </c>
      <c r="H117" s="595">
        <v>250000</v>
      </c>
      <c r="I117" s="595">
        <v>300000</v>
      </c>
      <c r="J117" s="595">
        <v>350000</v>
      </c>
      <c r="K117" s="595">
        <v>400000</v>
      </c>
      <c r="L117" s="595">
        <v>450000</v>
      </c>
      <c r="M117" s="595">
        <v>500000</v>
      </c>
      <c r="N117" s="1147"/>
      <c r="O117" s="1147"/>
      <c r="P117" s="45"/>
      <c r="Q117" s="504"/>
    </row>
    <row r="118" spans="1:17" ht="14.4" thickBot="1">
      <c r="A118" s="534"/>
      <c r="B118" s="543"/>
      <c r="C118" s="570">
        <v>100</v>
      </c>
      <c r="D118" s="591">
        <v>101</v>
      </c>
      <c r="E118" s="570">
        <v>102</v>
      </c>
      <c r="F118" s="591">
        <v>103</v>
      </c>
      <c r="G118" s="570">
        <v>104</v>
      </c>
      <c r="H118" s="591">
        <v>105</v>
      </c>
      <c r="I118" s="570">
        <v>106</v>
      </c>
      <c r="J118" s="591">
        <v>107</v>
      </c>
      <c r="K118" s="570">
        <v>108</v>
      </c>
      <c r="L118" s="591">
        <v>109</v>
      </c>
      <c r="M118" s="570">
        <v>110</v>
      </c>
      <c r="N118" s="1148"/>
      <c r="O118" s="1148"/>
      <c r="P118" s="45"/>
      <c r="Q118" s="504"/>
    </row>
    <row r="119" spans="1:17" ht="15" thickTop="1">
      <c r="A119" s="599"/>
      <c r="B119" s="538" t="s">
        <v>2782</v>
      </c>
      <c r="C119" s="2968" t="s">
        <v>3139</v>
      </c>
      <c r="D119" s="583"/>
      <c r="E119" s="583"/>
      <c r="F119" s="583"/>
      <c r="G119" s="583"/>
      <c r="H119" s="583"/>
      <c r="I119" s="583"/>
      <c r="J119" s="583"/>
      <c r="K119" s="584"/>
      <c r="L119" s="585"/>
      <c r="M119" s="586"/>
      <c r="N119" s="1147"/>
      <c r="O119" s="1147"/>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48"/>
      <c r="O120" s="1148"/>
      <c r="P120" s="45"/>
      <c r="Q120" s="504"/>
    </row>
    <row r="121" spans="1:17" ht="15" thickTop="1">
      <c r="A121" s="599"/>
      <c r="B121" s="538" t="s">
        <v>2783</v>
      </c>
      <c r="C121" s="2969" t="s">
        <v>3141</v>
      </c>
      <c r="D121" s="554"/>
      <c r="E121" s="554"/>
      <c r="F121" s="583"/>
      <c r="G121" s="583"/>
      <c r="H121" s="583"/>
      <c r="I121" s="583"/>
      <c r="J121" s="583"/>
      <c r="K121" s="584"/>
      <c r="L121" s="585"/>
      <c r="M121" s="586"/>
      <c r="N121" s="1147"/>
      <c r="O121" s="1147"/>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48"/>
      <c r="O122" s="1148"/>
      <c r="P122" s="45"/>
      <c r="Q122" s="504"/>
    </row>
    <row r="123" spans="1:17" s="471" customFormat="1" ht="15" thickTop="1">
      <c r="A123" s="593"/>
      <c r="B123" s="538" t="s">
        <v>2784</v>
      </c>
      <c r="C123" s="2969" t="s">
        <v>3143</v>
      </c>
      <c r="D123" s="554"/>
      <c r="E123" s="554"/>
      <c r="F123" s="554"/>
      <c r="G123" s="554"/>
      <c r="H123" s="583"/>
      <c r="I123" s="583"/>
      <c r="J123" s="583"/>
      <c r="K123" s="584"/>
      <c r="L123" s="585"/>
      <c r="M123" s="586"/>
      <c r="N123" s="1149"/>
      <c r="O123" s="1149"/>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49"/>
      <c r="O124" s="1149"/>
      <c r="P124" s="558"/>
      <c r="Q124" s="559"/>
    </row>
    <row r="125" spans="1:17" ht="15" thickTop="1">
      <c r="A125" s="599"/>
      <c r="B125" s="538" t="s">
        <v>2785</v>
      </c>
      <c r="C125" s="2969" t="s">
        <v>3145</v>
      </c>
      <c r="D125" s="554"/>
      <c r="E125" s="583"/>
      <c r="F125" s="583"/>
      <c r="G125" s="583"/>
      <c r="H125" s="583"/>
      <c r="I125" s="583"/>
      <c r="J125" s="583"/>
      <c r="K125" s="584"/>
      <c r="L125" s="585"/>
      <c r="M125" s="586"/>
      <c r="N125" s="1147"/>
      <c r="O125" s="1147"/>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48"/>
      <c r="O126" s="1148"/>
      <c r="P126" s="45"/>
      <c r="Q126" s="504"/>
    </row>
    <row r="127" spans="1:17" ht="14.4" thickTop="1">
      <c r="A127" s="599"/>
      <c r="B127" s="538">
        <f>B43</f>
        <v>111</v>
      </c>
      <c r="C127" s="554"/>
      <c r="D127" s="554"/>
      <c r="E127" s="554"/>
      <c r="F127" s="554"/>
      <c r="G127" s="554"/>
      <c r="H127" s="583"/>
      <c r="I127" s="583"/>
      <c r="J127" s="583"/>
      <c r="K127" s="584"/>
      <c r="L127" s="585"/>
      <c r="M127" s="586"/>
      <c r="N127" s="1147"/>
      <c r="O127" s="1147"/>
      <c r="P127" s="45"/>
      <c r="Q127" s="504"/>
    </row>
    <row r="128" spans="1:17" ht="14.4" thickBot="1">
      <c r="A128" s="534"/>
      <c r="B128" s="543"/>
      <c r="C128" s="560"/>
      <c r="D128" s="560"/>
      <c r="E128" s="560"/>
      <c r="F128" s="560"/>
      <c r="G128" s="536"/>
      <c r="H128" s="536"/>
      <c r="I128" s="536"/>
      <c r="J128" s="536"/>
      <c r="K128" s="536"/>
      <c r="L128" s="536"/>
      <c r="M128" s="537"/>
      <c r="N128" s="1148"/>
      <c r="O128" s="1148"/>
      <c r="P128" s="45"/>
      <c r="Q128" s="504"/>
    </row>
    <row r="129" spans="1:17" ht="14.4" thickTop="1">
      <c r="A129" s="599"/>
      <c r="B129" s="538">
        <f>B44</f>
        <v>111</v>
      </c>
      <c r="C129" s="523"/>
      <c r="D129" s="523"/>
      <c r="E129" s="523"/>
      <c r="F129" s="523"/>
      <c r="G129" s="583"/>
      <c r="H129" s="583"/>
      <c r="I129" s="583"/>
      <c r="J129" s="583"/>
      <c r="K129" s="584"/>
      <c r="L129" s="585"/>
      <c r="M129" s="586"/>
      <c r="N129" s="1147"/>
      <c r="O129" s="1147"/>
      <c r="P129" s="45"/>
      <c r="Q129" s="504"/>
    </row>
    <row r="130" spans="1:17" ht="14.4" thickBot="1">
      <c r="A130" s="534"/>
      <c r="B130" s="543"/>
      <c r="C130" s="570"/>
      <c r="D130" s="570"/>
      <c r="E130" s="570"/>
      <c r="F130" s="570"/>
      <c r="G130" s="536"/>
      <c r="H130" s="536"/>
      <c r="I130" s="536"/>
      <c r="J130" s="536"/>
      <c r="K130" s="536"/>
      <c r="L130" s="536"/>
      <c r="M130" s="537"/>
      <c r="N130" s="1148"/>
      <c r="O130" s="1148"/>
      <c r="P130" s="45"/>
      <c r="Q130" s="504"/>
    </row>
    <row r="131" spans="1:17" s="471" customFormat="1" ht="14.4"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4.4"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F9" sqref="F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0" customWidth="1"/>
    <col min="12" max="12" width="16.33203125" style="302" customWidth="1"/>
    <col min="13" max="13" width="13" style="302" customWidth="1"/>
    <col min="14" max="14" width="13.77734375" style="1828" customWidth="1"/>
    <col min="15" max="15" width="5.109375" style="1828" customWidth="1"/>
    <col min="16" max="16" width="25.77734375" style="1828" customWidth="1"/>
    <col min="17" max="17" width="13.77734375" style="1828" customWidth="1"/>
    <col min="18" max="18" width="20.44140625" style="1828" customWidth="1"/>
    <col min="19" max="19" width="13.21875" style="1828" customWidth="1"/>
    <col min="20" max="37" width="9" style="1828"/>
    <col min="38" max="16384" width="9" style="302"/>
  </cols>
  <sheetData>
    <row r="1" spans="1:37" s="337" customFormat="1" ht="21.6">
      <c r="A1" s="1819" t="s">
        <v>1583</v>
      </c>
      <c r="B1" s="782"/>
      <c r="C1" s="1823" t="s">
        <v>3148</v>
      </c>
      <c r="D1" s="1806" t="s">
        <v>70</v>
      </c>
      <c r="E1" s="1807" t="s">
        <v>1381</v>
      </c>
      <c r="F1" s="1278">
        <f ca="1">J53</f>
        <v>22.68</v>
      </c>
      <c r="G1" s="182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29" t="s">
        <v>1509</v>
      </c>
      <c r="B2" s="1830">
        <f ca="1">C40+J29+L46</f>
        <v>22910</v>
      </c>
      <c r="C2" s="1831" t="s">
        <v>1510</v>
      </c>
      <c r="D2" s="1831"/>
      <c r="E2" s="1832"/>
      <c r="F2" s="1833"/>
      <c r="G2" s="1834"/>
      <c r="H2" s="1826"/>
      <c r="I2" s="1826"/>
      <c r="J2" s="1826"/>
      <c r="K2" s="1827"/>
      <c r="L2" s="1826"/>
      <c r="M2" s="1826"/>
    </row>
    <row r="3" spans="1:37" ht="18" customHeight="1" thickBot="1">
      <c r="A3" s="1835" t="s">
        <v>1511</v>
      </c>
      <c r="B3" s="1836">
        <f ca="1">IF(ISERROR(B2*10000/F43),0,ROUND(B2*10000/F43,0))</f>
        <v>52995</v>
      </c>
      <c r="C3" s="1831" t="s">
        <v>1512</v>
      </c>
      <c r="D3" s="1831"/>
      <c r="E3" s="1832"/>
      <c r="F3" s="1833"/>
      <c r="G3" s="1834"/>
      <c r="H3" s="744" t="s">
        <v>1582</v>
      </c>
      <c r="I3" s="1826"/>
      <c r="J3" s="1826"/>
      <c r="K3" s="1827"/>
      <c r="L3" s="1826"/>
      <c r="M3" s="1826"/>
    </row>
    <row r="4" spans="1:37" ht="18" customHeight="1">
      <c r="A4" s="340" t="s">
        <v>1390</v>
      </c>
      <c r="B4" s="341" t="s">
        <v>1391</v>
      </c>
      <c r="C4" s="341" t="s">
        <v>1392</v>
      </c>
      <c r="D4" s="341" t="s">
        <v>1393</v>
      </c>
      <c r="E4" s="342" t="s">
        <v>1394</v>
      </c>
      <c r="F4" s="343"/>
      <c r="G4" s="1837"/>
      <c r="H4" s="340" t="s">
        <v>1390</v>
      </c>
      <c r="I4" s="341" t="s">
        <v>1391</v>
      </c>
      <c r="J4" s="341" t="s">
        <v>1392</v>
      </c>
      <c r="K4" s="341" t="s">
        <v>1393</v>
      </c>
      <c r="L4" s="342" t="s">
        <v>1394</v>
      </c>
      <c r="M4" s="343"/>
    </row>
    <row r="5" spans="1:37" ht="18" customHeight="1">
      <c r="A5" s="344">
        <v>1</v>
      </c>
      <c r="B5" s="345" t="s">
        <v>1395</v>
      </c>
      <c r="C5" s="1287">
        <f ca="1">C6+C10+C12</f>
        <v>1706</v>
      </c>
      <c r="D5" s="1808" t="s">
        <v>1396</v>
      </c>
      <c r="E5" s="1288"/>
      <c r="F5" s="1289"/>
      <c r="G5" s="1837"/>
      <c r="H5" s="344">
        <v>1</v>
      </c>
      <c r="I5" s="345" t="s">
        <v>1395</v>
      </c>
      <c r="J5" s="1287">
        <f ca="1">J6+J10+J12</f>
        <v>0</v>
      </c>
      <c r="K5" s="1808" t="s">
        <v>1396</v>
      </c>
      <c r="L5" s="1288"/>
      <c r="M5" s="1289"/>
    </row>
    <row r="6" spans="1:37" ht="18" customHeight="1">
      <c r="A6" s="1286" t="s">
        <v>1031</v>
      </c>
      <c r="B6" s="3223" t="s">
        <v>1397</v>
      </c>
      <c r="C6" s="1291">
        <f ca="1">ROUND(F6*F8*F7*(1-F9)/10000,0)</f>
        <v>1704</v>
      </c>
      <c r="D6" s="164" t="s">
        <v>3022</v>
      </c>
      <c r="E6" s="347" t="s">
        <v>1399</v>
      </c>
      <c r="F6" s="348">
        <f ca="1">INDIRECT("'数据-取费表'!u"&amp;$G$1)</f>
        <v>12</v>
      </c>
      <c r="G6" s="1837"/>
      <c r="H6" s="1286" t="s">
        <v>1031</v>
      </c>
      <c r="I6" s="3223" t="s">
        <v>1397</v>
      </c>
      <c r="J6" s="346">
        <f ca="1">ROUND(M6*M8*M7*(1-M9)/10000,0)</f>
        <v>0</v>
      </c>
      <c r="K6" s="164" t="s">
        <v>3021</v>
      </c>
      <c r="L6" s="347" t="s">
        <v>1399</v>
      </c>
      <c r="M6" s="348">
        <f ca="1">INDIRECT("'数据-取费表'!z"&amp;$G$1)</f>
        <v>0</v>
      </c>
    </row>
    <row r="7" spans="1:37" ht="18" customHeight="1">
      <c r="A7" s="1290"/>
      <c r="B7" s="3224"/>
      <c r="C7" s="1292"/>
      <c r="D7" s="352"/>
      <c r="E7" s="1293" t="s">
        <v>1400</v>
      </c>
      <c r="F7" s="348">
        <f ca="1">IF(INDIRECT("'数据-取费表'!ah"&amp;$G$1)="",INDIRECT("'数据-取费表'!k"&amp;$G$1),INDIRECT("'数据-取费表'!ah"&amp;$G$1))</f>
        <v>4323.09</v>
      </c>
      <c r="G7" s="1837"/>
      <c r="H7" s="349"/>
      <c r="I7" s="3224"/>
      <c r="J7" s="351"/>
      <c r="K7" s="352"/>
      <c r="L7" s="347" t="s">
        <v>1400</v>
      </c>
      <c r="M7" s="348">
        <f ca="1">F7</f>
        <v>4323.09</v>
      </c>
    </row>
    <row r="8" spans="1:37" ht="18" customHeight="1">
      <c r="A8" s="349"/>
      <c r="B8" s="3224"/>
      <c r="C8" s="351"/>
      <c r="D8" s="352"/>
      <c r="E8" s="347" t="s">
        <v>1401</v>
      </c>
      <c r="F8" s="348">
        <f ca="1">INDIRECT("'数据-取费表'!ai"&amp;$G$1)</f>
        <v>365</v>
      </c>
      <c r="G8" s="1837"/>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37"/>
      <c r="H9" s="349"/>
      <c r="I9" s="3225"/>
      <c r="J9" s="351"/>
      <c r="K9" s="352"/>
      <c r="L9" s="358" t="s">
        <v>1402</v>
      </c>
      <c r="M9" s="359">
        <f ca="1">INDIRECT("'数据-取费表'!ab"&amp;$G$1)</f>
        <v>0</v>
      </c>
    </row>
    <row r="10" spans="1:37" ht="18" customHeight="1">
      <c r="A10" s="1286" t="s">
        <v>1035</v>
      </c>
      <c r="B10" s="1809" t="s">
        <v>1403</v>
      </c>
      <c r="C10" s="361">
        <f ca="1">ROUND(IF(F10="押一",C6/12*F11,IF(F10="押二",C6/12*2*F11,IF(F10="押三",C6/12*3*F11,C11*F11))),0)</f>
        <v>2</v>
      </c>
      <c r="D10" s="1810" t="s">
        <v>3031</v>
      </c>
      <c r="E10" s="358" t="s">
        <v>1404</v>
      </c>
      <c r="F10" s="1361" t="s">
        <v>3153</v>
      </c>
      <c r="G10" s="1837"/>
      <c r="H10" s="1286" t="s">
        <v>1035</v>
      </c>
      <c r="I10" s="1809" t="s">
        <v>1403</v>
      </c>
      <c r="J10" s="346">
        <f ca="1">ROUND(IF(M10="押一",J6/12*M11,IF(M10="押二",J6/12*2*M11,IF(M10="押三",J6/12*3*M11,J11*M11))),0)</f>
        <v>0</v>
      </c>
      <c r="K10" s="1810" t="s">
        <v>3030</v>
      </c>
      <c r="L10" s="358" t="s">
        <v>1404</v>
      </c>
      <c r="M10" s="1361" t="s">
        <v>1405</v>
      </c>
    </row>
    <row r="11" spans="1:37" ht="18" customHeight="1">
      <c r="A11" s="353"/>
      <c r="B11" s="1811" t="s">
        <v>1382</v>
      </c>
      <c r="C11" s="1173"/>
      <c r="D11" s="1812"/>
      <c r="E11" s="358" t="s">
        <v>1406</v>
      </c>
      <c r="F11" s="359">
        <f ca="1">'数据-取费表'!B39</f>
        <v>1.4999999999999999E-2</v>
      </c>
      <c r="G11" s="1837"/>
      <c r="H11" s="1294"/>
      <c r="I11" s="1811" t="s">
        <v>1382</v>
      </c>
      <c r="J11" s="1173"/>
      <c r="K11" s="748"/>
      <c r="L11" s="358"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5">
        <f ca="1">ROUND(C29*F13,0)</f>
        <v>3161</v>
      </c>
      <c r="D13" s="1326" t="s">
        <v>1409</v>
      </c>
      <c r="E13" s="1326" t="s">
        <v>1410</v>
      </c>
      <c r="F13" s="1327">
        <f ca="1">INDIRECT("'数据-取费表'!y"&amp;$G$1)</f>
        <v>0.97</v>
      </c>
      <c r="G13" s="1837"/>
      <c r="H13" s="1324">
        <v>2</v>
      </c>
      <c r="I13" s="1325" t="s">
        <v>1408</v>
      </c>
      <c r="J13" s="1285">
        <f ca="1">ROUND(J14*J15,0)</f>
        <v>0</v>
      </c>
      <c r="K13" s="1332" t="s">
        <v>1409</v>
      </c>
      <c r="L13" s="1838"/>
      <c r="M13" s="1839"/>
    </row>
    <row r="14" spans="1:37" ht="18" customHeight="1">
      <c r="A14" s="1196" t="s">
        <v>1030</v>
      </c>
      <c r="B14" s="347" t="s">
        <v>1411</v>
      </c>
      <c r="C14" s="363">
        <f ca="1">INDIRECT("'数据-取费表'!m"&amp;$G$1)+INDIRECT("'数据-取费表'!t"&amp;$G$1)</f>
        <v>2162</v>
      </c>
      <c r="D14" s="1786" t="s">
        <v>1412</v>
      </c>
      <c r="E14" s="1780"/>
      <c r="F14" s="364"/>
      <c r="G14" s="1837"/>
      <c r="H14" s="1196" t="s">
        <v>1031</v>
      </c>
      <c r="I14" s="347" t="s">
        <v>1413</v>
      </c>
      <c r="J14" s="24">
        <f ca="1">C29</f>
        <v>3259</v>
      </c>
      <c r="K14" s="15"/>
      <c r="L14" s="974"/>
      <c r="M14" s="975"/>
    </row>
    <row r="15" spans="1:37" s="1844" customFormat="1" ht="18" customHeight="1" thickBot="1">
      <c r="A15" s="1196" t="s">
        <v>1032</v>
      </c>
      <c r="B15" s="347" t="s">
        <v>1414</v>
      </c>
      <c r="C15" s="24">
        <f ca="1">ROUND(C14*F15,0)</f>
        <v>108</v>
      </c>
      <c r="D15" s="365" t="s">
        <v>1415</v>
      </c>
      <c r="E15" s="365" t="s">
        <v>1416</v>
      </c>
      <c r="F15" s="366">
        <f>'数据-取费表'!B33</f>
        <v>0.05</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7"/>
      <c r="H16" s="1324" t="s">
        <v>1026</v>
      </c>
      <c r="I16" s="1325" t="s">
        <v>1418</v>
      </c>
      <c r="J16" s="355">
        <f ca="1">ROUND(J17+J22+J23+J24,0)</f>
        <v>49</v>
      </c>
      <c r="K16" s="1332" t="s">
        <v>1419</v>
      </c>
      <c r="L16" s="1333"/>
      <c r="M16" s="1289"/>
    </row>
    <row r="17" spans="1:37" s="1844" customFormat="1" ht="18" customHeight="1">
      <c r="A17" s="1196" t="s">
        <v>1384</v>
      </c>
      <c r="B17" s="347" t="s">
        <v>1420</v>
      </c>
      <c r="C17" s="24">
        <f ca="1">ROUND(F17*(F43+INDIRECT("'数据-取费表'!S"&amp;$G$1))/10000,0)</f>
        <v>86</v>
      </c>
      <c r="D17" s="347" t="s">
        <v>1421</v>
      </c>
      <c r="E17" s="347" t="s">
        <v>1422</v>
      </c>
      <c r="F17" s="26">
        <f>'数据-取费表'!B35</f>
        <v>200</v>
      </c>
      <c r="G17" s="1840"/>
      <c r="H17" s="1196" t="s">
        <v>1031</v>
      </c>
      <c r="I17" s="347" t="s">
        <v>1423</v>
      </c>
      <c r="J17" s="24">
        <f ca="1">ROUND(IF(项目基本情况!B11="自然人",J6*M17/(1+'数据-取费表'!C42),J18+J19+J20),1)</f>
        <v>0.4</v>
      </c>
      <c r="K17" s="1786" t="s">
        <v>1424</v>
      </c>
      <c r="L17" s="1784" t="s">
        <v>1425</v>
      </c>
      <c r="M17" s="368">
        <f ca="1">IF(项目基本情况!B11="企业","",IF(INDIRECT("'数据-取费表'!c"&amp;$G$1)="住宅",5%,IF(M6*M7*M8/12/(1+'数据-取费表'!C42)&gt;20000,12%,7%)))</f>
        <v>7.0000000000000007E-2</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7" t="s">
        <v>1426</v>
      </c>
      <c r="C18" s="24">
        <f ca="1">ROUND(C14*F18,0)</f>
        <v>32</v>
      </c>
      <c r="D18" s="347" t="s">
        <v>1415</v>
      </c>
      <c r="E18" s="347" t="s">
        <v>1416</v>
      </c>
      <c r="F18" s="367">
        <f>'数据-取费表'!B36</f>
        <v>1.4999999999999999E-2</v>
      </c>
      <c r="G18" s="1840"/>
      <c r="H18" s="1196" t="s">
        <v>1030</v>
      </c>
      <c r="I18" s="347" t="s">
        <v>1427</v>
      </c>
      <c r="J18" s="24">
        <f ca="1">ROUND(J6*M18/(1+'数据-取费表'!C42),2)</f>
        <v>0</v>
      </c>
      <c r="K18" s="1784" t="s">
        <v>1428</v>
      </c>
      <c r="L18" s="347" t="s">
        <v>1416</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7" t="s">
        <v>1429</v>
      </c>
      <c r="C19" s="24">
        <f ca="1">SUM(C14:C18)</f>
        <v>2388</v>
      </c>
      <c r="D19" s="140" t="s">
        <v>1430</v>
      </c>
      <c r="E19" s="1804"/>
      <c r="F19" s="26"/>
      <c r="G19" s="1837"/>
      <c r="H19" s="1196" t="s">
        <v>1032</v>
      </c>
      <c r="I19" s="347" t="s">
        <v>1431</v>
      </c>
      <c r="J19" s="24">
        <f ca="1">IF(K19="按租金收入计税",ROUND(J6*M19/(1+'数据-取费表'!C42),2),ROUND(C29*M19*0.7,2))</f>
        <v>0</v>
      </c>
      <c r="K19" s="1814" t="s">
        <v>3154</v>
      </c>
      <c r="L19" s="347" t="s">
        <v>1416</v>
      </c>
      <c r="M19" s="367">
        <f>IF(K19="按租金收入计税",'数据-取费表'!B51,'数据-取费表'!B50)</f>
        <v>0.12</v>
      </c>
    </row>
    <row r="20" spans="1:37" s="1844" customFormat="1" ht="18" customHeight="1">
      <c r="A20" s="1196" t="s">
        <v>1035</v>
      </c>
      <c r="B20" s="347" t="s">
        <v>1433</v>
      </c>
      <c r="C20" s="24">
        <f ca="1">ROUND(C19*F20,0)</f>
        <v>60</v>
      </c>
      <c r="D20" s="369" t="s">
        <v>1434</v>
      </c>
      <c r="E20" s="347" t="s">
        <v>1416</v>
      </c>
      <c r="F20" s="367">
        <f>'数据-取费表'!B37</f>
        <v>2.5000000000000001E-2</v>
      </c>
      <c r="G20" s="1840"/>
      <c r="H20" s="1196" t="s">
        <v>1383</v>
      </c>
      <c r="I20" s="164" t="s">
        <v>1435</v>
      </c>
      <c r="J20" s="25">
        <f ca="1">ROUND(M20*M21/10000,2)</f>
        <v>0.39</v>
      </c>
      <c r="K20" s="370" t="s">
        <v>1436</v>
      </c>
      <c r="L20" s="347" t="s">
        <v>1437</v>
      </c>
      <c r="M20" s="371">
        <f>'数据-取费表'!B52</f>
        <v>3</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7" t="s">
        <v>1438</v>
      </c>
      <c r="C21" s="24" t="s">
        <v>18</v>
      </c>
      <c r="D21" s="369" t="s">
        <v>1439</v>
      </c>
      <c r="E21" s="347" t="s">
        <v>1440</v>
      </c>
      <c r="F21" s="367">
        <f>'数据-取费表'!B38</f>
        <v>0.02</v>
      </c>
      <c r="G21" s="1840"/>
      <c r="H21" s="372"/>
      <c r="I21" s="356"/>
      <c r="J21" s="29"/>
      <c r="K21" s="373"/>
      <c r="L21" s="347" t="s">
        <v>1441</v>
      </c>
      <c r="M21" s="348">
        <f ca="1">INDIRECT("'数据-取费表'!r"&amp;$G$1)</f>
        <v>1288.2</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4"/>
      <c r="F22" s="26"/>
      <c r="G22" s="1837"/>
      <c r="H22" s="1196" t="s">
        <v>1035</v>
      </c>
      <c r="I22" s="347" t="s">
        <v>1443</v>
      </c>
      <c r="J22" s="24">
        <f ca="1">ROUND(J14*M22,1)</f>
        <v>48.9</v>
      </c>
      <c r="K22" s="1784" t="s">
        <v>1444</v>
      </c>
      <c r="L22" s="347" t="s">
        <v>1416</v>
      </c>
      <c r="M22" s="374">
        <f ca="1">INDIRECT("'数据-取费表'!Ak"&amp;$G$1)</f>
        <v>1.4999999999999999E-2</v>
      </c>
    </row>
    <row r="23" spans="1:37" s="1844" customFormat="1" ht="18" customHeight="1">
      <c r="A23" s="1196" t="s">
        <v>1030</v>
      </c>
      <c r="B23" s="347" t="s">
        <v>1445</v>
      </c>
      <c r="C23" s="24">
        <f ca="1">IF('数据-取费表'!B22&lt;=1,ROUND(C19*F24*F23/2,0)+ROUND(C20*F24*F23/2,0),ROUND(C19*(POWER((1+F24),F23/2)-1),0)+ROUND(C20*(POWER((1+F24),F23/2)-1),0))</f>
        <v>116</v>
      </c>
      <c r="D23" s="375" t="str">
        <f>IF(F23&lt;=1,"(建造成本+管理费用)×利率×(建设周期÷2)","(建造成本+管理费用)×((1+利率)^(建设周期÷2)-1)")</f>
        <v>(建造成本+管理费用)×((1+利率)^(建设周期÷2)-1)</v>
      </c>
      <c r="E23" s="347" t="s">
        <v>1446</v>
      </c>
      <c r="F23" s="371">
        <f>'数据-取费表'!B20</f>
        <v>2</v>
      </c>
      <c r="G23" s="1840"/>
      <c r="H23" s="1196" t="s">
        <v>1071</v>
      </c>
      <c r="I23" s="347" t="s">
        <v>1447</v>
      </c>
      <c r="J23" s="24">
        <f ca="1">ROUND(J13*M23,1)</f>
        <v>0</v>
      </c>
      <c r="K23" s="1784" t="s">
        <v>1448</v>
      </c>
      <c r="L23" s="347" t="s">
        <v>1449</v>
      </c>
      <c r="M23" s="376">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0"/>
      <c r="H24" s="1334" t="s">
        <v>1387</v>
      </c>
      <c r="I24" s="1335" t="s">
        <v>1433</v>
      </c>
      <c r="J24" s="1336">
        <f ca="1">ROUND(J5*M24,1)</f>
        <v>0</v>
      </c>
      <c r="K24" s="1337" t="s">
        <v>1453</v>
      </c>
      <c r="L24" s="1335" t="s">
        <v>1449</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7" t="s">
        <v>1455</v>
      </c>
      <c r="C25" s="24"/>
      <c r="D25" s="140" t="s">
        <v>1456</v>
      </c>
      <c r="E25" s="1804"/>
      <c r="F25" s="26"/>
      <c r="G25" s="1837"/>
      <c r="H25" s="1324" t="s">
        <v>1027</v>
      </c>
      <c r="I25" s="1339" t="s">
        <v>1457</v>
      </c>
      <c r="J25" s="355">
        <f ca="1">J5-J16</f>
        <v>-49</v>
      </c>
      <c r="K25" s="1340" t="s">
        <v>1458</v>
      </c>
      <c r="L25" s="1341"/>
      <c r="M25" s="1342"/>
    </row>
    <row r="26" spans="1:37">
      <c r="A26" s="1196" t="s">
        <v>1030</v>
      </c>
      <c r="B26" s="347" t="s">
        <v>1459</v>
      </c>
      <c r="C26" s="24">
        <f ca="1">ROUND((C19+C20)*F26,0)</f>
        <v>441</v>
      </c>
      <c r="D26" s="369" t="s">
        <v>1460</v>
      </c>
      <c r="E26" s="358" t="s">
        <v>1461</v>
      </c>
      <c r="F26" s="357">
        <f ca="1">INDIRECT("'数据-取费表'!q"&amp;$G$1)</f>
        <v>0.18</v>
      </c>
      <c r="G26" s="1837"/>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3.5999999999999999E-3</v>
      </c>
      <c r="D27" s="369" t="s">
        <v>1466</v>
      </c>
      <c r="E27" s="365"/>
      <c r="F27" s="366"/>
      <c r="G27" s="1837"/>
      <c r="H27" s="349"/>
      <c r="I27" s="350"/>
      <c r="J27" s="351"/>
      <c r="K27" s="378" t="s">
        <v>1467</v>
      </c>
      <c r="L27" s="347" t="s">
        <v>1468</v>
      </c>
      <c r="M27" s="379">
        <f ca="1">INDIRECT("'数据-取费表'!ag"&amp;$G$1)</f>
        <v>0</v>
      </c>
    </row>
    <row r="28" spans="1:37" s="1844" customFormat="1" ht="18" customHeight="1">
      <c r="A28" s="1196" t="s">
        <v>1033</v>
      </c>
      <c r="B28" s="347" t="s">
        <v>1469</v>
      </c>
      <c r="C28" s="24">
        <f>ROUND(F28/(1+'数据-取费表'!C42),4)</f>
        <v>5.33E-2</v>
      </c>
      <c r="D28" s="369" t="s">
        <v>1470</v>
      </c>
      <c r="E28" s="347" t="s">
        <v>1416</v>
      </c>
      <c r="F28" s="367">
        <f>'数据-取费表'!B41</f>
        <v>5.6000000000000001E-2</v>
      </c>
      <c r="G28" s="1840"/>
      <c r="H28" s="353"/>
      <c r="I28" s="354"/>
      <c r="J28" s="355"/>
      <c r="K28" s="373"/>
      <c r="L28" s="347" t="s">
        <v>1471</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3259</v>
      </c>
      <c r="D29" s="1337"/>
      <c r="E29" s="1335"/>
      <c r="F29" s="1338"/>
      <c r="G29" s="1840"/>
      <c r="H29" s="380" t="s">
        <v>1029</v>
      </c>
      <c r="I29" s="381" t="s">
        <v>1473</v>
      </c>
      <c r="J29" s="382">
        <f ca="1">ROUND(J26/(1+F40)^F41,0)</f>
        <v>0</v>
      </c>
      <c r="K29" s="383" t="s">
        <v>1474</v>
      </c>
      <c r="L29" s="384"/>
      <c r="M29" s="385">
        <f ca="1">INDIRECT("'数据-取费表'!k"&amp;$G$1)</f>
        <v>4323.09</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5">
        <f ca="1">ROUND(C31+C36+C37+C38,0)</f>
        <v>357</v>
      </c>
      <c r="D30" s="1332" t="s">
        <v>1419</v>
      </c>
      <c r="E30" s="1333"/>
      <c r="F30" s="1289"/>
      <c r="G30" s="1837"/>
      <c r="H30" s="745"/>
      <c r="I30" s="746"/>
      <c r="J30" s="747"/>
      <c r="K30" s="748"/>
      <c r="L30" s="749"/>
      <c r="M30" s="750"/>
    </row>
    <row r="31" spans="1:37" ht="18" customHeight="1">
      <c r="A31" s="1196" t="s">
        <v>1031</v>
      </c>
      <c r="B31" s="347" t="s">
        <v>1423</v>
      </c>
      <c r="C31" s="24">
        <f ca="1">ROUND(IF(项目基本情况!B11="自然人",C6*F31/(1+'数据-取费表'!C42),C32+C33+C34),1)</f>
        <v>286</v>
      </c>
      <c r="D31" s="1786" t="s">
        <v>1424</v>
      </c>
      <c r="E31" s="1784" t="s">
        <v>1475</v>
      </c>
      <c r="F31" s="368">
        <f ca="1">IF(项目基本情况!B11="企业","",IF(INDIRECT("'数据-取费表'!c"&amp;$G$1)="住宅",5%,IF(F6*F7*F8/12/(1+'数据-取费表'!C42)&gt;20000,12%,7%)))</f>
        <v>0.12</v>
      </c>
      <c r="G31" s="1837"/>
      <c r="H31" s="745"/>
      <c r="I31" s="746"/>
      <c r="J31" s="747"/>
      <c r="K31" s="748"/>
      <c r="L31" s="749"/>
      <c r="M31" s="750"/>
    </row>
    <row r="32" spans="1:37" ht="18" customHeight="1">
      <c r="A32" s="1196" t="s">
        <v>1030</v>
      </c>
      <c r="B32" s="347" t="s">
        <v>1427</v>
      </c>
      <c r="C32" s="24">
        <f ca="1">IF(项目基本情况!B11="自然人","——",ROUND(C6*F32/(1+'数据-取费表'!C42),2))</f>
        <v>90.88</v>
      </c>
      <c r="D32" s="1784" t="s">
        <v>1428</v>
      </c>
      <c r="E32" s="347" t="s">
        <v>1416</v>
      </c>
      <c r="F32" s="377">
        <f>'数据-取费表'!B41</f>
        <v>5.6000000000000001E-2</v>
      </c>
      <c r="G32" s="1837"/>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194.74</v>
      </c>
      <c r="D33" s="1814" t="s">
        <v>3154</v>
      </c>
      <c r="E33" s="347" t="s">
        <v>1416</v>
      </c>
      <c r="F33" s="367">
        <f>IF(D33="按票据","——",IF(D33="按租金收入计税",'数据-取费表'!B51,'数据-取费表'!B50))</f>
        <v>0.12</v>
      </c>
      <c r="G33" s="1837"/>
      <c r="H33" s="1845"/>
      <c r="I33" s="1846"/>
      <c r="J33" s="1847"/>
      <c r="K33" s="1848"/>
      <c r="L33" s="1845"/>
      <c r="M33" s="1845"/>
    </row>
    <row r="34" spans="1:18" ht="18" customHeight="1">
      <c r="A34" s="1286" t="s">
        <v>1383</v>
      </c>
      <c r="B34" s="164" t="s">
        <v>1435</v>
      </c>
      <c r="C34" s="25">
        <f ca="1">IF(项目基本情况!B11="自然人","——",ROUND(F34*F35/10000,2))</f>
        <v>0.39</v>
      </c>
      <c r="D34" s="370" t="s">
        <v>1436</v>
      </c>
      <c r="E34" s="347" t="s">
        <v>1437</v>
      </c>
      <c r="F34" s="371">
        <f>'数据-取费表'!B52</f>
        <v>3</v>
      </c>
      <c r="G34" s="1837"/>
      <c r="H34" s="745"/>
      <c r="I34" s="1846"/>
      <c r="J34" s="1847"/>
      <c r="K34" s="1849"/>
      <c r="L34" s="1850"/>
      <c r="M34" s="1850"/>
    </row>
    <row r="35" spans="1:18" ht="18" customHeight="1">
      <c r="A35" s="1348"/>
      <c r="B35" s="1346"/>
      <c r="C35" s="29"/>
      <c r="D35" s="373"/>
      <c r="E35" s="347" t="s">
        <v>1441</v>
      </c>
      <c r="F35" s="348">
        <f ca="1">INDIRECT("'数据-取费表'!r"&amp;$G$1)</f>
        <v>1288.2</v>
      </c>
      <c r="G35" s="1837"/>
      <c r="H35" s="745"/>
      <c r="I35" s="1846"/>
      <c r="J35" s="1847"/>
      <c r="K35" s="1848"/>
      <c r="L35" s="1845"/>
      <c r="M35" s="1845"/>
    </row>
    <row r="36" spans="1:18" ht="18" customHeight="1">
      <c r="A36" s="1347" t="s">
        <v>1035</v>
      </c>
      <c r="B36" s="347" t="s">
        <v>1443</v>
      </c>
      <c r="C36" s="24">
        <f ca="1">ROUND(C29*F36,1)</f>
        <v>48.9</v>
      </c>
      <c r="D36" s="1784" t="s">
        <v>1476</v>
      </c>
      <c r="E36" s="347" t="s">
        <v>1416</v>
      </c>
      <c r="F36" s="374">
        <f ca="1">INDIRECT("'数据-取费表'!Ak"&amp;$G$1)</f>
        <v>1.4999999999999999E-2</v>
      </c>
      <c r="G36" s="1837"/>
      <c r="H36" s="1845"/>
      <c r="I36" s="1846"/>
      <c r="J36" s="1847"/>
      <c r="K36" s="751"/>
      <c r="L36" s="1845"/>
      <c r="M36" s="1845"/>
    </row>
    <row r="37" spans="1:18" ht="18" customHeight="1">
      <c r="A37" s="1196" t="s">
        <v>1071</v>
      </c>
      <c r="B37" s="347" t="s">
        <v>1447</v>
      </c>
      <c r="C37" s="24">
        <f ca="1">ROUND(C13*F37,1)</f>
        <v>4.7</v>
      </c>
      <c r="D37" s="1784" t="s">
        <v>1448</v>
      </c>
      <c r="E37" s="347" t="s">
        <v>1449</v>
      </c>
      <c r="F37" s="376">
        <f ca="1">INDIRECT("'数据-取费表'!Al"&amp;$G$1)</f>
        <v>1.5E-3</v>
      </c>
      <c r="G37" s="1837"/>
      <c r="H37" s="1845"/>
      <c r="I37" s="1846"/>
      <c r="J37" s="1847"/>
      <c r="K37" s="751"/>
      <c r="L37" s="1845"/>
      <c r="M37" s="1845"/>
    </row>
    <row r="38" spans="1:18" ht="18" customHeight="1" thickBot="1">
      <c r="A38" s="1334" t="s">
        <v>1387</v>
      </c>
      <c r="B38" s="1335" t="s">
        <v>1433</v>
      </c>
      <c r="C38" s="1336">
        <f ca="1">ROUND(C5*F38,1)</f>
        <v>17.100000000000001</v>
      </c>
      <c r="D38" s="1337" t="s">
        <v>1453</v>
      </c>
      <c r="E38" s="1335" t="s">
        <v>1449</v>
      </c>
      <c r="F38" s="1331">
        <f ca="1">INDIRECT("'数据-取费表'!Am"&amp;$G$1)</f>
        <v>0.01</v>
      </c>
      <c r="G38" s="1837"/>
      <c r="H38" s="1845"/>
      <c r="I38" s="1846"/>
      <c r="J38" s="1847"/>
      <c r="K38" s="1851"/>
      <c r="L38" s="1845"/>
      <c r="M38" s="1845"/>
    </row>
    <row r="39" spans="1:18" ht="24.6" customHeight="1" thickTop="1">
      <c r="A39" s="1324" t="s">
        <v>1027</v>
      </c>
      <c r="B39" s="1339" t="s">
        <v>1477</v>
      </c>
      <c r="C39" s="355">
        <f ca="1">C5-C30</f>
        <v>1349</v>
      </c>
      <c r="D39" s="1340" t="s">
        <v>1478</v>
      </c>
      <c r="E39" s="1341"/>
      <c r="F39" s="1342"/>
      <c r="G39" s="1837"/>
      <c r="H39" s="1845"/>
      <c r="I39" s="1846"/>
      <c r="J39" s="1847"/>
      <c r="K39" s="1851"/>
      <c r="L39" s="1845"/>
      <c r="M39" s="1845"/>
    </row>
    <row r="40" spans="1:18" ht="18" customHeight="1">
      <c r="A40" s="344" t="s">
        <v>1028</v>
      </c>
      <c r="B40" s="345" t="s">
        <v>1479</v>
      </c>
      <c r="C40" s="346">
        <f ca="1">ROUND(C39*(1-((1+F42)/(1+F40))^F41)/(F40-F42),0)</f>
        <v>22638</v>
      </c>
      <c r="D40" s="370" t="s">
        <v>1463</v>
      </c>
      <c r="E40" s="347" t="s">
        <v>1464</v>
      </c>
      <c r="F40" s="357">
        <f ca="1">INDIRECT("'数据-取费表'!I"&amp;$G$1)</f>
        <v>5.5E-2</v>
      </c>
      <c r="G40" s="1837"/>
      <c r="H40" s="1825"/>
      <c r="I40" s="1846"/>
      <c r="J40" s="1847"/>
      <c r="K40" s="1851"/>
      <c r="L40" s="1825"/>
      <c r="M40" s="1825"/>
    </row>
    <row r="41" spans="1:18" ht="18" customHeight="1">
      <c r="A41" s="349"/>
      <c r="B41" s="350"/>
      <c r="C41" s="351"/>
      <c r="D41" s="378" t="s">
        <v>1480</v>
      </c>
      <c r="E41" s="347" t="s">
        <v>1468</v>
      </c>
      <c r="F41" s="379">
        <f ca="1">IF(INDIRECT("'数据-取费表'!af"&amp;$G$1)=0,INDIRECT("'数据-取费表'!ae"&amp;$G$1),INDIRECT("'数据-取费表'!af"&amp;$G$1))</f>
        <v>22.68</v>
      </c>
      <c r="G41" s="1837"/>
      <c r="H41" s="732"/>
      <c r="I41" s="1846"/>
      <c r="J41" s="1847"/>
      <c r="K41" s="751"/>
      <c r="L41" s="732"/>
      <c r="M41" s="732"/>
    </row>
    <row r="42" spans="1:18" ht="18" customHeight="1">
      <c r="A42" s="353"/>
      <c r="B42" s="354"/>
      <c r="C42" s="355"/>
      <c r="D42" s="373"/>
      <c r="E42" s="347" t="s">
        <v>1471</v>
      </c>
      <c r="F42" s="357">
        <f ca="1">INDIRECT("'数据-取费表'!v"&amp;$G$1)</f>
        <v>0.03</v>
      </c>
      <c r="G42" s="1837"/>
      <c r="H42" s="732"/>
      <c r="I42" s="1846"/>
      <c r="J42" s="1847"/>
      <c r="K42" s="751"/>
      <c r="L42" s="732"/>
      <c r="M42" s="732"/>
    </row>
    <row r="43" spans="1:18" ht="18" customHeight="1" thickBot="1">
      <c r="A43" s="380" t="s">
        <v>1029</v>
      </c>
      <c r="B43" s="381" t="s">
        <v>1481</v>
      </c>
      <c r="C43" s="382">
        <f ca="1">ROUND(C40*10000/F43,0)</f>
        <v>52365</v>
      </c>
      <c r="D43" s="383" t="s">
        <v>1482</v>
      </c>
      <c r="E43" s="384" t="s">
        <v>1483</v>
      </c>
      <c r="F43" s="385">
        <f ca="1">INDIRECT("'数据-取费表'!k"&amp;$G$1)</f>
        <v>4323.09</v>
      </c>
      <c r="G43" s="1837"/>
      <c r="H43" s="732"/>
      <c r="I43" s="732"/>
      <c r="J43" s="732"/>
      <c r="K43" s="751"/>
      <c r="L43" s="732"/>
      <c r="M43" s="732"/>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6"/>
      <c r="O45" s="1855" t="s">
        <v>1513</v>
      </c>
      <c r="P45" s="1825"/>
      <c r="Q45" s="1825"/>
      <c r="R45" s="1825"/>
    </row>
    <row r="46" spans="1:18" s="1828" customFormat="1" ht="13.8" thickBot="1">
      <c r="A46" s="1856" t="s">
        <v>1514</v>
      </c>
      <c r="C46" s="1857">
        <f ca="1">C68-C40</f>
        <v>-26831</v>
      </c>
      <c r="D46" s="1858" t="str">
        <f>C2</f>
        <v>万元</v>
      </c>
      <c r="E46" s="1852"/>
      <c r="F46" s="1852"/>
      <c r="I46" s="1859" t="s">
        <v>1515</v>
      </c>
      <c r="J46" s="1860"/>
      <c r="K46" s="1861"/>
      <c r="L46" s="1862">
        <f ca="1">IF(M47="住宅",0,IF(L48&gt;J51,L60,J60))</f>
        <v>272</v>
      </c>
      <c r="O46" s="1863" t="s">
        <v>1516</v>
      </c>
      <c r="P46" s="1864" t="s">
        <v>1517</v>
      </c>
      <c r="Q46" s="1865" t="s">
        <v>1518</v>
      </c>
      <c r="R46" s="1865" t="s">
        <v>1519</v>
      </c>
    </row>
    <row r="47" spans="1:18" s="1828" customFormat="1" ht="13.8" thickBot="1">
      <c r="A47" s="1160" t="s">
        <v>1390</v>
      </c>
      <c r="B47" s="1192" t="s">
        <v>1391</v>
      </c>
      <c r="C47" s="1362" t="s">
        <v>1392</v>
      </c>
      <c r="D47" s="1192" t="s">
        <v>1393</v>
      </c>
      <c r="E47" s="1274" t="s">
        <v>1394</v>
      </c>
      <c r="F47" s="1275"/>
      <c r="G47" s="792"/>
      <c r="I47" s="1866" t="s">
        <v>1520</v>
      </c>
      <c r="J47" s="1867" t="s">
        <v>4205</v>
      </c>
      <c r="K47" s="1868" t="s">
        <v>1521</v>
      </c>
      <c r="L47" s="1869">
        <f ca="1">INDIRECT("'数据-取费表'!d"&amp;$G$1)</f>
        <v>40</v>
      </c>
      <c r="M47" s="1824" t="str">
        <f>IF(ISNUMBER(FIND("住宅",C1)),"住宅","非住宅")</f>
        <v>非住宅</v>
      </c>
      <c r="O47" s="1870" t="s">
        <v>1036</v>
      </c>
      <c r="P47" s="1871" t="s">
        <v>1522</v>
      </c>
      <c r="Q47" s="1872">
        <f ca="1">C40+J29</f>
        <v>22638</v>
      </c>
      <c r="R47" s="1872" t="s">
        <v>1523</v>
      </c>
    </row>
    <row r="48" spans="1:18" s="1828" customFormat="1" ht="40.200000000000003" thickBot="1">
      <c r="A48" s="1355" t="s">
        <v>1131</v>
      </c>
      <c r="B48" s="345" t="s">
        <v>1395</v>
      </c>
      <c r="C48" s="1803">
        <f ca="1">C49+C53+C55</f>
        <v>0</v>
      </c>
      <c r="D48" s="1357"/>
      <c r="E48" s="1358"/>
      <c r="F48" s="1176"/>
      <c r="G48" s="792"/>
      <c r="H48" s="793"/>
      <c r="I48" s="1873" t="s">
        <v>1524</v>
      </c>
      <c r="J48" s="1874" t="s">
        <v>4206</v>
      </c>
      <c r="K48" s="1875" t="s">
        <v>1525</v>
      </c>
      <c r="L48" s="1876">
        <f ca="1">INDIRECT("'数据-取费表'!f"&amp;$G$1)</f>
        <v>22.68</v>
      </c>
      <c r="O48" s="1870" t="s">
        <v>1037</v>
      </c>
      <c r="P48" s="1871" t="s">
        <v>1526</v>
      </c>
      <c r="Q48" s="1872">
        <f ca="1">J60</f>
        <v>272</v>
      </c>
      <c r="R48" s="1872" t="s">
        <v>1527</v>
      </c>
    </row>
    <row r="49" spans="1:18" s="1828" customFormat="1" ht="13.8" thickBot="1">
      <c r="A49" s="1189" t="s">
        <v>1132</v>
      </c>
      <c r="B49" s="1815" t="s">
        <v>1484</v>
      </c>
      <c r="C49" s="1359">
        <f ca="1">ROUND(F49*F51*F50*(1-F52)/10000,0)</f>
        <v>0</v>
      </c>
      <c r="D49" s="1271" t="s">
        <v>3023</v>
      </c>
      <c r="E49" s="1816" t="s">
        <v>1485</v>
      </c>
      <c r="F49" s="1276"/>
      <c r="G49" s="1877"/>
      <c r="H49" s="793"/>
      <c r="I49" s="1873" t="s">
        <v>1528</v>
      </c>
      <c r="J49" s="1878">
        <v>2018</v>
      </c>
      <c r="K49" s="1875" t="s">
        <v>1529</v>
      </c>
      <c r="L49" s="1879"/>
      <c r="O49" s="1880" t="s">
        <v>1038</v>
      </c>
      <c r="P49" s="1871" t="s">
        <v>1530</v>
      </c>
      <c r="Q49" s="1872">
        <f ca="1">C29</f>
        <v>3259</v>
      </c>
      <c r="R49" s="1872" t="s">
        <v>1523</v>
      </c>
    </row>
    <row r="50" spans="1:18" s="1828" customFormat="1" ht="13.8" thickBot="1">
      <c r="A50" s="1190"/>
      <c r="B50" s="1193"/>
      <c r="C50" s="1363"/>
      <c r="D50" s="1167"/>
      <c r="E50" s="1272" t="s">
        <v>1400</v>
      </c>
      <c r="F50" s="1273">
        <f ca="1">F7</f>
        <v>4323.09</v>
      </c>
      <c r="H50" s="793"/>
      <c r="I50" s="1873" t="s">
        <v>1531</v>
      </c>
      <c r="J50" s="1881">
        <f>SUMPRODUCT((I63:I65=J47)*(J62:L62=J48)*(J63:L65))</f>
        <v>60</v>
      </c>
      <c r="K50" s="1875" t="s">
        <v>1532</v>
      </c>
      <c r="L50" s="1879"/>
      <c r="M50" s="1882"/>
      <c r="O50" s="1880" t="s">
        <v>1039</v>
      </c>
      <c r="P50" s="1871" t="s">
        <v>1533</v>
      </c>
      <c r="Q50" s="1883">
        <f ca="1">J58</f>
        <v>0.58899999999999997</v>
      </c>
      <c r="R50" s="1872"/>
    </row>
    <row r="51" spans="1:18" s="1828" customFormat="1" ht="13.8" thickBot="1">
      <c r="A51" s="1191"/>
      <c r="B51" s="1193"/>
      <c r="C51" s="1194"/>
      <c r="D51" s="1167"/>
      <c r="E51" s="1195" t="s">
        <v>1401</v>
      </c>
      <c r="F51" s="348">
        <f ca="1">F8</f>
        <v>365</v>
      </c>
      <c r="I51" s="1884" t="s">
        <v>1534</v>
      </c>
      <c r="J51" s="1885">
        <f>IF(J49="",J50,J49+J50-YEAR('数据-取费表'!B2))</f>
        <v>58</v>
      </c>
      <c r="K51" s="1886" t="s">
        <v>1535</v>
      </c>
      <c r="L51" s="1887">
        <f ca="1">ROUND(-PV(INDIRECT("'数据-取费表'!h"&amp;$G$1),J51,(C39-C13*C76),0),0)</f>
        <v>20331</v>
      </c>
      <c r="M51" s="1888"/>
      <c r="O51" s="1880" t="s">
        <v>1040</v>
      </c>
      <c r="P51" s="1871" t="s">
        <v>1536</v>
      </c>
      <c r="Q51" s="1883">
        <f>J52</f>
        <v>0.09</v>
      </c>
      <c r="R51" s="1872"/>
    </row>
    <row r="52" spans="1:18" s="1828" customFormat="1" ht="13.8" thickBot="1">
      <c r="A52" s="1191"/>
      <c r="B52" s="1193"/>
      <c r="C52" s="1194"/>
      <c r="D52" s="1167"/>
      <c r="E52" s="1195" t="s">
        <v>1402</v>
      </c>
      <c r="F52" s="1270"/>
      <c r="I52" s="1889" t="s">
        <v>1537</v>
      </c>
      <c r="J52" s="1890">
        <v>0.09</v>
      </c>
      <c r="K52" s="1889" t="s">
        <v>1538</v>
      </c>
      <c r="L52" s="1890"/>
      <c r="O52" s="1880" t="s">
        <v>1041</v>
      </c>
      <c r="P52" s="1871" t="s">
        <v>1539</v>
      </c>
      <c r="Q52" s="1872">
        <f ca="1">J53</f>
        <v>22.68</v>
      </c>
      <c r="R52" s="1872" t="s">
        <v>1540</v>
      </c>
    </row>
    <row r="53" spans="1:18" s="1828" customFormat="1" ht="36.6" thickBot="1">
      <c r="A53" s="1400" t="s">
        <v>1133</v>
      </c>
      <c r="B53" s="1817" t="s">
        <v>1403</v>
      </c>
      <c r="C53" s="361">
        <f ca="1">ROUND(IF(F53="押一",C49/12*F11,IF(F53="押二",C49/12*2*F11,IF(F53="押三",C49/12*3*F11,C54*F11))),0)</f>
        <v>0</v>
      </c>
      <c r="D53" s="1810" t="s">
        <v>3030</v>
      </c>
      <c r="E53" s="358" t="s">
        <v>1404</v>
      </c>
      <c r="F53" s="1361"/>
      <c r="I53" s="1891" t="s">
        <v>1541</v>
      </c>
      <c r="J53" s="2938">
        <f ca="1">IF(M47="住宅",IF(D1="——",MAX(J51,L48),MAX(J51,L48-'数据-取费表'!B24)),IF(D1="——",MIN(J51,L48),MIN(J51,L48-'数据-取费表'!B24)))</f>
        <v>22.68</v>
      </c>
      <c r="K53" s="3221" t="s">
        <v>1542</v>
      </c>
      <c r="L53" s="3222"/>
      <c r="O53" s="1870" t="s">
        <v>1042</v>
      </c>
      <c r="P53" s="1871" t="s">
        <v>1543</v>
      </c>
      <c r="Q53" s="1872">
        <f ca="1">Q47+Q48</f>
        <v>22910</v>
      </c>
      <c r="R53" s="1872" t="s">
        <v>1043</v>
      </c>
    </row>
    <row r="54" spans="1:18" s="1828" customFormat="1" ht="24.6" thickBot="1">
      <c r="A54" s="1401"/>
      <c r="B54" s="1811" t="s">
        <v>1382</v>
      </c>
      <c r="C54" s="1173"/>
      <c r="D54" s="1810"/>
      <c r="E54" s="18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8" thickBot="1">
      <c r="A55" s="1328" t="s">
        <v>1071</v>
      </c>
      <c r="B55" s="1813" t="s">
        <v>1407</v>
      </c>
      <c r="C55" s="1329"/>
      <c r="D55" s="1810"/>
      <c r="E55" s="1818"/>
      <c r="F55" s="1892"/>
      <c r="I55" s="1895" t="s">
        <v>1545</v>
      </c>
      <c r="J55" s="1896">
        <f ca="1">ROUND(IF(J47="钢混",J57/J50,1-(1-2%)*(J50-J57)/J50),3)</f>
        <v>0.58899999999999997</v>
      </c>
      <c r="K55" s="1897" t="s">
        <v>1546</v>
      </c>
      <c r="L55" s="1898" t="s">
        <v>1547</v>
      </c>
      <c r="O55" s="1863" t="s">
        <v>1516</v>
      </c>
      <c r="P55" s="1864" t="s">
        <v>1517</v>
      </c>
      <c r="Q55" s="1865" t="s">
        <v>1518</v>
      </c>
      <c r="R55" s="1865" t="s">
        <v>1519</v>
      </c>
    </row>
    <row r="56" spans="1:18" s="1828" customFormat="1" ht="37.200000000000003" thickTop="1" thickBot="1">
      <c r="A56" s="1171">
        <v>2</v>
      </c>
      <c r="B56" s="1172" t="s">
        <v>1408</v>
      </c>
      <c r="C56" s="276">
        <f ca="1">C13</f>
        <v>3161</v>
      </c>
      <c r="D56" s="1899"/>
      <c r="E56" s="1900"/>
      <c r="F56" s="1892"/>
      <c r="I56" s="1901" t="s">
        <v>1548</v>
      </c>
      <c r="J56" s="1902" t="s">
        <v>3152</v>
      </c>
      <c r="K56" s="1873" t="s">
        <v>1549</v>
      </c>
      <c r="L56" s="1876" t="str">
        <f ca="1">IF(L48&lt;J51,"——",L48-J53)</f>
        <v>——</v>
      </c>
      <c r="O56" s="1870" t="s">
        <v>1036</v>
      </c>
      <c r="P56" s="1871" t="s">
        <v>1522</v>
      </c>
      <c r="Q56" s="1872">
        <f ca="1">C40+J29</f>
        <v>22638</v>
      </c>
      <c r="R56" s="1872" t="s">
        <v>1523</v>
      </c>
    </row>
    <row r="57" spans="1:18" s="1828" customFormat="1" ht="24.6" thickBot="1">
      <c r="A57" s="1903"/>
      <c r="B57" s="1164" t="s">
        <v>1472</v>
      </c>
      <c r="C57" s="282">
        <f ca="1">C29</f>
        <v>3259</v>
      </c>
      <c r="D57" s="1904"/>
      <c r="E57" s="1905"/>
      <c r="F57" s="1906"/>
      <c r="I57" s="1907" t="s">
        <v>1550</v>
      </c>
      <c r="J57" s="1908">
        <f ca="1">IF(OR(M47="住宅",J51&lt;L48,J56="是"),"——",J51-L48)</f>
        <v>35.32</v>
      </c>
      <c r="K57" s="1873" t="s">
        <v>1551</v>
      </c>
      <c r="L57" s="1876" t="str">
        <f ca="1">IF(L48&lt;J51,"——",IF(L55="比较法",L49,IF(L55="基准地价",L50,L51)))</f>
        <v>——</v>
      </c>
      <c r="O57" s="1870" t="s">
        <v>1037</v>
      </c>
      <c r="P57" s="1871" t="s">
        <v>1552</v>
      </c>
      <c r="Q57" s="1872">
        <f ca="1">L60</f>
        <v>0</v>
      </c>
      <c r="R57" s="1872" t="s">
        <v>1553</v>
      </c>
    </row>
    <row r="58" spans="1:18" s="1828" customFormat="1" ht="24.6" thickBot="1">
      <c r="A58" s="360" t="s">
        <v>1026</v>
      </c>
      <c r="B58" s="1172" t="s">
        <v>1418</v>
      </c>
      <c r="C58" s="361">
        <f ca="1">ROUND(C59+C64+C65+C66,0)</f>
        <v>328</v>
      </c>
      <c r="D58" s="1174" t="s">
        <v>1419</v>
      </c>
      <c r="E58" s="1175"/>
      <c r="F58" s="1176"/>
      <c r="I58" s="1907" t="s">
        <v>1554</v>
      </c>
      <c r="J58" s="1909">
        <f ca="1">IF(J55&lt;0.4,0.4,J55)</f>
        <v>0.58899999999999997</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6" thickBot="1">
      <c r="A59" s="1196" t="s">
        <v>1031</v>
      </c>
      <c r="B59" s="1164" t="s">
        <v>1423</v>
      </c>
      <c r="C59" s="24">
        <f ca="1">ROUND(IF(项目基本情况!B11="自然人",C48*F59,C60+C61+C62),1)</f>
        <v>274.2</v>
      </c>
      <c r="D59" s="1177" t="s">
        <v>1424</v>
      </c>
      <c r="E59" s="1178" t="s">
        <v>1425</v>
      </c>
      <c r="F59" s="368">
        <f ca="1">IF(项目基本情况!B11="企业","",IF(INDIRECT("'数据-取费表'!c"&amp;$G$1)="住宅",5%,IF(F49*F50*F51/12/(1+'数据-取费表'!C42)&gt;20000,12%,7%)))</f>
        <v>7.0000000000000007E-2</v>
      </c>
      <c r="I59" s="1907" t="s">
        <v>1557</v>
      </c>
      <c r="J59" s="1908">
        <f ca="1">IF(OR(M47="住宅",J51&lt;L48,J56="是"),"——",ROUND(C29*J58,0))</f>
        <v>1920</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0" t="s">
        <v>1559</v>
      </c>
      <c r="J60" s="1911">
        <f ca="1">IF(OR(M47="住宅",J51&lt;L48,J56="是"),"0",ROUND(J59/(1+J52)^J53,0))</f>
        <v>272</v>
      </c>
      <c r="K60" s="1912" t="s">
        <v>1560</v>
      </c>
      <c r="L60" s="1911">
        <f ca="1">IF(OR(M47="住宅",L48&lt;J51),0,ROUND(L57*(L58/L59-1),0))</f>
        <v>0</v>
      </c>
      <c r="O60" s="1880" t="s">
        <v>1040</v>
      </c>
      <c r="P60" s="1871" t="s">
        <v>1561</v>
      </c>
      <c r="Q60" s="1872" t="e">
        <f ca="1">L58</f>
        <v>#DIV/0!</v>
      </c>
      <c r="R60" s="1872" t="s">
        <v>1562</v>
      </c>
    </row>
    <row r="61" spans="1:18" s="1828" customFormat="1" ht="13.8" thickBot="1">
      <c r="A61" s="1196" t="s">
        <v>1486</v>
      </c>
      <c r="B61" s="1164" t="s">
        <v>1487</v>
      </c>
      <c r="C61" s="24">
        <f ca="1">IF(项目基本情况!B11="自然人","——",IF(D61="按租金收入计税",ROUND(C48*F61,2),IF(D61="按房产原值计税",ROUND(C57*F61*0.7,2),INDIRECT("'数据-取费表'!Aj"&amp;$G$1))))</f>
        <v>273.76</v>
      </c>
      <c r="D61" s="1814" t="s">
        <v>1432</v>
      </c>
      <c r="E61" s="1164" t="s">
        <v>1488</v>
      </c>
      <c r="F61" s="367">
        <f t="shared" si="0"/>
        <v>0.12</v>
      </c>
      <c r="I61" s="1913"/>
      <c r="J61" s="1913"/>
      <c r="K61" s="1913"/>
      <c r="L61" s="1913"/>
      <c r="O61" s="1880" t="s">
        <v>1041</v>
      </c>
      <c r="P61" s="1871" t="str">
        <f>K59</f>
        <v>建筑物剩余耐用年限下的土地年期修正系数Kn</v>
      </c>
      <c r="Q61" s="1872" t="e">
        <f ca="1">L59</f>
        <v>#DIV/0!</v>
      </c>
      <c r="R61" s="1872" t="s">
        <v>1563</v>
      </c>
    </row>
    <row r="62" spans="1:18" s="1828" customFormat="1" ht="13.8" thickBot="1">
      <c r="A62" s="1196" t="s">
        <v>1489</v>
      </c>
      <c r="B62" s="1163" t="s">
        <v>1490</v>
      </c>
      <c r="C62" s="25">
        <f ca="1">IF(项目基本情况!B11="自然人","——",ROUND(F62*F63/10000,2))</f>
        <v>0.39</v>
      </c>
      <c r="D62" s="1179" t="s">
        <v>1491</v>
      </c>
      <c r="E62" s="1164" t="s">
        <v>1492</v>
      </c>
      <c r="F62" s="371">
        <f t="shared" si="0"/>
        <v>3</v>
      </c>
      <c r="I62" s="1914" t="s">
        <v>1564</v>
      </c>
      <c r="J62" s="1915" t="s">
        <v>1565</v>
      </c>
      <c r="K62" s="1915" t="s">
        <v>1566</v>
      </c>
      <c r="L62" s="1915" t="s">
        <v>1567</v>
      </c>
      <c r="M62" s="1916" t="s">
        <v>1568</v>
      </c>
      <c r="O62" s="1870" t="s">
        <v>1042</v>
      </c>
      <c r="P62" s="1871" t="s">
        <v>1569</v>
      </c>
      <c r="Q62" s="1872">
        <f ca="1">Q56+Q57</f>
        <v>22638</v>
      </c>
      <c r="R62" s="1872" t="s">
        <v>1043</v>
      </c>
    </row>
    <row r="63" spans="1:18" s="1828" customFormat="1" ht="13.8" thickBot="1">
      <c r="A63" s="372"/>
      <c r="B63" s="1170"/>
      <c r="C63" s="29"/>
      <c r="D63" s="1180"/>
      <c r="E63" s="1164" t="s">
        <v>1493</v>
      </c>
      <c r="F63" s="348">
        <f t="shared" ca="1" si="0"/>
        <v>1288.2</v>
      </c>
      <c r="I63" s="1914" t="s">
        <v>1570</v>
      </c>
      <c r="J63" s="1915">
        <v>70</v>
      </c>
      <c r="K63" s="1915">
        <v>50</v>
      </c>
      <c r="L63" s="1915">
        <v>80</v>
      </c>
      <c r="M63" s="1917">
        <v>0.02</v>
      </c>
      <c r="O63" s="1855" t="s">
        <v>1571</v>
      </c>
      <c r="P63" s="1825"/>
      <c r="Q63" s="1825"/>
      <c r="R63" s="1825"/>
    </row>
    <row r="64" spans="1:18" s="1828" customFormat="1" ht="13.8" thickBot="1">
      <c r="A64" s="1196" t="s">
        <v>1494</v>
      </c>
      <c r="B64" s="1164" t="s">
        <v>1495</v>
      </c>
      <c r="C64" s="24">
        <f ca="1">ROUND(C57*F64,1)</f>
        <v>48.9</v>
      </c>
      <c r="D64" s="1178" t="s">
        <v>1496</v>
      </c>
      <c r="E64" s="1164" t="s">
        <v>1488</v>
      </c>
      <c r="F64" s="374">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8" thickBot="1">
      <c r="A65" s="1196" t="s">
        <v>1497</v>
      </c>
      <c r="B65" s="1164" t="s">
        <v>1447</v>
      </c>
      <c r="C65" s="24">
        <f ca="1">ROUND(C56*F65,1)</f>
        <v>4.7</v>
      </c>
      <c r="D65" s="1178" t="s">
        <v>1448</v>
      </c>
      <c r="E65" s="1164" t="s">
        <v>1449</v>
      </c>
      <c r="F65" s="376">
        <f t="shared" ca="1" si="0"/>
        <v>1.5E-3</v>
      </c>
      <c r="I65" s="1914" t="s">
        <v>1573</v>
      </c>
      <c r="J65" s="1915">
        <v>40</v>
      </c>
      <c r="K65" s="1915">
        <v>30</v>
      </c>
      <c r="L65" s="1915">
        <v>50</v>
      </c>
      <c r="M65" s="1917">
        <v>0.02</v>
      </c>
      <c r="O65" s="1870" t="s">
        <v>1036</v>
      </c>
      <c r="P65" s="1871" t="s">
        <v>1574</v>
      </c>
      <c r="Q65" s="1872">
        <f ca="1">C40+J29</f>
        <v>22638</v>
      </c>
      <c r="R65" s="1872" t="s">
        <v>1523</v>
      </c>
    </row>
    <row r="66" spans="1:18" s="1828" customFormat="1" ht="16.2" thickBot="1">
      <c r="A66" s="1196" t="s">
        <v>1498</v>
      </c>
      <c r="B66" s="1164" t="s">
        <v>1433</v>
      </c>
      <c r="C66" s="24">
        <f ca="1">ROUND(C48*F66,1)</f>
        <v>0</v>
      </c>
      <c r="D66" s="1178" t="s">
        <v>1499</v>
      </c>
      <c r="E66" s="1164" t="s">
        <v>1416</v>
      </c>
      <c r="F66" s="357">
        <f t="shared" ca="1" si="0"/>
        <v>0.01</v>
      </c>
      <c r="O66" s="1870" t="s">
        <v>1037</v>
      </c>
      <c r="P66" s="1871" t="s">
        <v>1552</v>
      </c>
      <c r="Q66" s="1872">
        <f ca="1">L60</f>
        <v>0</v>
      </c>
      <c r="R66" s="1872" t="s">
        <v>1575</v>
      </c>
    </row>
    <row r="67" spans="1:18" s="1828" customFormat="1" ht="24.6" thickBot="1">
      <c r="A67" s="1171" t="s">
        <v>1027</v>
      </c>
      <c r="B67" s="1181" t="s">
        <v>1457</v>
      </c>
      <c r="C67" s="361">
        <f ca="1">C48-C58</f>
        <v>-328</v>
      </c>
      <c r="D67" s="1177" t="s">
        <v>1458</v>
      </c>
      <c r="E67" s="1182"/>
      <c r="F67" s="1183"/>
      <c r="O67" s="1880" t="s">
        <v>1038</v>
      </c>
      <c r="P67" s="1871" t="s">
        <v>1556</v>
      </c>
      <c r="Q67" s="1918">
        <f ca="1">L51</f>
        <v>20331</v>
      </c>
      <c r="R67" s="1872" t="s">
        <v>1576</v>
      </c>
    </row>
    <row r="68" spans="1:18" s="1828" customFormat="1" ht="16.2" thickBot="1">
      <c r="A68" s="1161" t="s">
        <v>1028</v>
      </c>
      <c r="B68" s="1162" t="s">
        <v>1479</v>
      </c>
      <c r="C68" s="346">
        <f ca="1">ROUND(C67*(1-((1+F70)/(1+F68))^F69)/(F68-F70),0)</f>
        <v>-4193</v>
      </c>
      <c r="D68" s="1179" t="s">
        <v>1463</v>
      </c>
      <c r="E68" s="1164" t="s">
        <v>1464</v>
      </c>
      <c r="F68" s="357">
        <f ca="1">F40</f>
        <v>5.5E-2</v>
      </c>
      <c r="O68" s="1880" t="s">
        <v>1039</v>
      </c>
      <c r="P68" s="1919" t="s">
        <v>1577</v>
      </c>
      <c r="Q68" s="1872">
        <f ca="1">ROUND(Q69-Q70*Q71,0)</f>
        <v>1080</v>
      </c>
      <c r="R68" s="1872" t="s">
        <v>1047</v>
      </c>
    </row>
    <row r="69" spans="1:18" s="1828" customFormat="1" ht="13.8" thickBot="1">
      <c r="A69" s="1165"/>
      <c r="B69" s="1166"/>
      <c r="C69" s="351"/>
      <c r="D69" s="1184" t="s">
        <v>1467</v>
      </c>
      <c r="E69" s="1164" t="s">
        <v>1468</v>
      </c>
      <c r="F69" s="379">
        <f ca="1">F41</f>
        <v>22.68</v>
      </c>
      <c r="O69" s="1880" t="s">
        <v>1044</v>
      </c>
      <c r="P69" s="1919" t="s">
        <v>1578</v>
      </c>
      <c r="Q69" s="1872">
        <f ca="1">C39</f>
        <v>1349</v>
      </c>
      <c r="R69" s="1872" t="s">
        <v>1523</v>
      </c>
    </row>
    <row r="70" spans="1:18" s="1828" customFormat="1" ht="13.8" thickBot="1">
      <c r="A70" s="1168"/>
      <c r="B70" s="1169"/>
      <c r="C70" s="355"/>
      <c r="D70" s="1180"/>
      <c r="E70" s="1164" t="s">
        <v>1471</v>
      </c>
      <c r="F70" s="1270"/>
      <c r="O70" s="1880" t="s">
        <v>1045</v>
      </c>
      <c r="P70" s="1919" t="s">
        <v>1579</v>
      </c>
      <c r="Q70" s="1872">
        <f ca="1">C13</f>
        <v>3161</v>
      </c>
      <c r="R70" s="1872" t="s">
        <v>1523</v>
      </c>
    </row>
    <row r="71" spans="1:18" s="1828" customFormat="1" ht="13.8" thickBot="1">
      <c r="A71" s="1185" t="s">
        <v>1029</v>
      </c>
      <c r="B71" s="1186" t="s">
        <v>1481</v>
      </c>
      <c r="C71" s="382">
        <f ca="1">ROUND(C68*10000/F71,0)</f>
        <v>-9699</v>
      </c>
      <c r="D71" s="1187" t="s">
        <v>1482</v>
      </c>
      <c r="E71" s="1188" t="s">
        <v>1483</v>
      </c>
      <c r="F71" s="385">
        <f ca="1">F43</f>
        <v>4323.09</v>
      </c>
      <c r="O71" s="1880" t="s">
        <v>1046</v>
      </c>
      <c r="P71" s="1919" t="s">
        <v>1580</v>
      </c>
      <c r="Q71" s="1883">
        <f ca="1">C76</f>
        <v>8.5000000000000006E-2</v>
      </c>
      <c r="R71" s="1872"/>
    </row>
    <row r="72" spans="1:18" s="1828" customFormat="1" ht="13.8" thickBot="1">
      <c r="B72" s="796"/>
      <c r="C72" s="796"/>
      <c r="O72" s="1880" t="s">
        <v>1040</v>
      </c>
      <c r="P72" s="1871" t="s">
        <v>1558</v>
      </c>
      <c r="Q72" s="1883">
        <f>L52</f>
        <v>0</v>
      </c>
      <c r="R72" s="1872"/>
    </row>
    <row r="73" spans="1:18" ht="16.2" thickBot="1">
      <c r="A73" s="1828"/>
      <c r="B73" s="796"/>
      <c r="C73" s="796"/>
      <c r="D73" s="1828"/>
      <c r="E73" s="1828"/>
      <c r="F73" s="1828"/>
      <c r="O73" s="1880" t="s">
        <v>1041</v>
      </c>
      <c r="P73" s="1871" t="s">
        <v>1561</v>
      </c>
      <c r="Q73" s="1872" t="e">
        <f ca="1">L58</f>
        <v>#DIV/0!</v>
      </c>
      <c r="R73" s="1872" t="s">
        <v>1562</v>
      </c>
    </row>
    <row r="74" spans="1:18" ht="13.8" thickBot="1">
      <c r="A74" s="1828"/>
      <c r="B74" s="317" t="s">
        <v>1581</v>
      </c>
      <c r="C74" s="1921"/>
      <c r="D74" s="1828"/>
      <c r="E74" s="1828"/>
      <c r="F74" s="1828"/>
      <c r="O74" s="1880" t="s">
        <v>1048</v>
      </c>
      <c r="P74" s="1871" t="str">
        <f>K59</f>
        <v>建筑物剩余耐用年限下的土地年期修正系数Kn</v>
      </c>
      <c r="Q74" s="1872" t="e">
        <f ca="1">L59</f>
        <v>#DIV/0!</v>
      </c>
      <c r="R74" s="1872" t="s">
        <v>1563</v>
      </c>
    </row>
    <row r="75" spans="1:18" ht="13.8" thickBot="1">
      <c r="A75" s="1828"/>
      <c r="B75" s="386" t="s">
        <v>1500</v>
      </c>
      <c r="C75" s="387">
        <f ca="1">ROUND(C13*C76,0)</f>
        <v>269</v>
      </c>
      <c r="D75" s="1828"/>
      <c r="E75" s="1828"/>
      <c r="F75" s="1828"/>
      <c r="K75" s="1854"/>
      <c r="L75" s="1828"/>
      <c r="O75" s="1870" t="s">
        <v>1042</v>
      </c>
      <c r="P75" s="1871" t="s">
        <v>1543</v>
      </c>
      <c r="Q75" s="1872">
        <f ca="1">Q65+Q66</f>
        <v>22638</v>
      </c>
      <c r="R75" s="1872" t="s">
        <v>1043</v>
      </c>
    </row>
    <row r="76" spans="1:18">
      <c r="B76" s="388" t="s">
        <v>1501</v>
      </c>
      <c r="C76" s="389">
        <f ca="1">INDIRECT("'数据-取费表'!j"&amp;$G$1)</f>
        <v>8.5000000000000006E-2</v>
      </c>
      <c r="I76" s="1828"/>
      <c r="J76" s="1828"/>
      <c r="K76" s="1854"/>
      <c r="L76" s="1828"/>
    </row>
    <row r="77" spans="1:18">
      <c r="B77" s="390" t="s">
        <v>1502</v>
      </c>
      <c r="C77" s="391"/>
      <c r="I77" s="1828"/>
      <c r="J77" s="1828"/>
      <c r="K77" s="1854"/>
      <c r="L77" s="1828"/>
    </row>
    <row r="78" spans="1:18">
      <c r="B78" s="314" t="s">
        <v>1503</v>
      </c>
      <c r="C78" s="392"/>
    </row>
    <row r="79" spans="1:18">
      <c r="B79" s="386" t="s">
        <v>1504</v>
      </c>
      <c r="C79" s="318">
        <f ca="1">1-C80</f>
        <v>0.80099999999999993</v>
      </c>
    </row>
    <row r="80" spans="1:18">
      <c r="B80" s="386" t="s">
        <v>1505</v>
      </c>
      <c r="C80" s="318">
        <f ca="1">ROUND(C75/C39,3)</f>
        <v>0.19900000000000001</v>
      </c>
    </row>
    <row r="81" spans="2:3">
      <c r="B81" s="314" t="s">
        <v>1506</v>
      </c>
      <c r="C81" s="282"/>
    </row>
    <row r="82" spans="2:3">
      <c r="B82" s="317" t="s">
        <v>1507</v>
      </c>
      <c r="C82" s="319">
        <f ca="1">1-C83</f>
        <v>0.86</v>
      </c>
    </row>
    <row r="83" spans="2:3">
      <c r="B83" s="317" t="s">
        <v>1508</v>
      </c>
      <c r="C83" s="318">
        <f ca="1">ROUND(C13/C40,3)</f>
        <v>0.14000000000000001</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0" customWidth="1"/>
    <col min="12" max="12" width="16.33203125" style="302" customWidth="1"/>
    <col min="13" max="13" width="13" style="302" customWidth="1"/>
    <col min="14" max="14" width="13.77734375" style="1828" customWidth="1"/>
    <col min="15" max="15" width="5.109375" style="1828" customWidth="1"/>
    <col min="16" max="16" width="25.77734375" style="1828" customWidth="1"/>
    <col min="17" max="17" width="13.77734375" style="1828" customWidth="1"/>
    <col min="18" max="18" width="20.44140625" style="1828" customWidth="1"/>
    <col min="19" max="19" width="13.21875" style="1828" customWidth="1"/>
    <col min="20" max="37" width="9" style="1828"/>
    <col min="38" max="16384" width="9" style="302"/>
  </cols>
  <sheetData>
    <row r="1" spans="1:37" s="337" customFormat="1" ht="21.6">
      <c r="A1" s="1819" t="s">
        <v>1583</v>
      </c>
      <c r="B1" s="782"/>
      <c r="C1" s="1823" t="s">
        <v>3155</v>
      </c>
      <c r="D1" s="1806" t="s">
        <v>70</v>
      </c>
      <c r="E1" s="1807" t="s">
        <v>1381</v>
      </c>
      <c r="F1" s="1278">
        <f ca="1">J53</f>
        <v>22.68</v>
      </c>
      <c r="G1" s="182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29" t="s">
        <v>1509</v>
      </c>
      <c r="B2" s="1830">
        <f ca="1">C40+J29+L46</f>
        <v>25588</v>
      </c>
      <c r="C2" s="1831" t="s">
        <v>1510</v>
      </c>
      <c r="D2" s="1831"/>
      <c r="E2" s="1832"/>
      <c r="F2" s="1833"/>
      <c r="G2" s="1834"/>
      <c r="H2" s="1826"/>
      <c r="I2" s="1826"/>
      <c r="J2" s="1826"/>
      <c r="K2" s="1827"/>
      <c r="L2" s="1826"/>
      <c r="M2" s="1826"/>
    </row>
    <row r="3" spans="1:37" ht="18" customHeight="1" thickBot="1">
      <c r="A3" s="1835" t="s">
        <v>1511</v>
      </c>
      <c r="B3" s="1836">
        <f ca="1">IF(ISERROR(B2*10000/F43),0,ROUND(B2*10000/F43,0))</f>
        <v>34883</v>
      </c>
      <c r="C3" s="1831" t="s">
        <v>1512</v>
      </c>
      <c r="D3" s="1831"/>
      <c r="E3" s="1832"/>
      <c r="F3" s="1833"/>
      <c r="G3" s="1834"/>
      <c r="H3" s="744" t="s">
        <v>1582</v>
      </c>
      <c r="I3" s="1826"/>
      <c r="J3" s="1826"/>
      <c r="K3" s="1827"/>
      <c r="L3" s="1826"/>
      <c r="M3" s="1826"/>
    </row>
    <row r="4" spans="1:37" ht="18" customHeight="1">
      <c r="A4" s="340" t="s">
        <v>1390</v>
      </c>
      <c r="B4" s="341" t="s">
        <v>1391</v>
      </c>
      <c r="C4" s="341" t="s">
        <v>1392</v>
      </c>
      <c r="D4" s="341" t="s">
        <v>1393</v>
      </c>
      <c r="E4" s="342" t="s">
        <v>1394</v>
      </c>
      <c r="F4" s="343"/>
      <c r="G4" s="1837"/>
      <c r="H4" s="340" t="s">
        <v>1390</v>
      </c>
      <c r="I4" s="341" t="s">
        <v>1391</v>
      </c>
      <c r="J4" s="341" t="s">
        <v>1392</v>
      </c>
      <c r="K4" s="341" t="s">
        <v>1393</v>
      </c>
      <c r="L4" s="342" t="s">
        <v>1394</v>
      </c>
      <c r="M4" s="343"/>
    </row>
    <row r="5" spans="1:37" ht="18" customHeight="1">
      <c r="A5" s="344">
        <v>1</v>
      </c>
      <c r="B5" s="345" t="s">
        <v>1395</v>
      </c>
      <c r="C5" s="1287">
        <f ca="1">C6+C10+C12</f>
        <v>1930</v>
      </c>
      <c r="D5" s="1808" t="s">
        <v>1396</v>
      </c>
      <c r="E5" s="1288"/>
      <c r="F5" s="1289"/>
      <c r="G5" s="1837"/>
      <c r="H5" s="344">
        <v>1</v>
      </c>
      <c r="I5" s="345" t="s">
        <v>1395</v>
      </c>
      <c r="J5" s="1287">
        <f ca="1">J6+J10+J12</f>
        <v>0</v>
      </c>
      <c r="K5" s="1808" t="s">
        <v>1396</v>
      </c>
      <c r="L5" s="1288"/>
      <c r="M5" s="1289"/>
    </row>
    <row r="6" spans="1:37" ht="18" customHeight="1">
      <c r="A6" s="1286" t="s">
        <v>1031</v>
      </c>
      <c r="B6" s="3223" t="s">
        <v>1397</v>
      </c>
      <c r="C6" s="1291">
        <f ca="1">ROUND(F6*F8*F7*(1-F9)/10000,0)</f>
        <v>1928</v>
      </c>
      <c r="D6" s="164" t="s">
        <v>3022</v>
      </c>
      <c r="E6" s="347" t="s">
        <v>1399</v>
      </c>
      <c r="F6" s="348">
        <f ca="1">INDIRECT("'数据-取费表'!u"&amp;$G$1)</f>
        <v>8</v>
      </c>
      <c r="G6" s="1837"/>
      <c r="H6" s="1286" t="s">
        <v>1031</v>
      </c>
      <c r="I6" s="3223" t="s">
        <v>1397</v>
      </c>
      <c r="J6" s="346">
        <f ca="1">ROUND(M6*M8*M7*(1-M9)/10000,0)</f>
        <v>0</v>
      </c>
      <c r="K6" s="164" t="s">
        <v>3021</v>
      </c>
      <c r="L6" s="347" t="s">
        <v>1399</v>
      </c>
      <c r="M6" s="348">
        <f ca="1">INDIRECT("'数据-取费表'!z"&amp;$G$1)</f>
        <v>0</v>
      </c>
    </row>
    <row r="7" spans="1:37" ht="18" customHeight="1">
      <c r="A7" s="1290"/>
      <c r="B7" s="3224"/>
      <c r="C7" s="1292"/>
      <c r="D7" s="352"/>
      <c r="E7" s="2958" t="s">
        <v>1400</v>
      </c>
      <c r="F7" s="348">
        <f ca="1">IF(INDIRECT("'数据-取费表'!ah"&amp;$G$1)="",INDIRECT("'数据-取费表'!k"&amp;$G$1),INDIRECT("'数据-取费表'!ah"&amp;$G$1))</f>
        <v>7335.29</v>
      </c>
      <c r="G7" s="1837"/>
      <c r="H7" s="349"/>
      <c r="I7" s="3224"/>
      <c r="J7" s="351"/>
      <c r="K7" s="352"/>
      <c r="L7" s="347" t="s">
        <v>1400</v>
      </c>
      <c r="M7" s="348">
        <f ca="1">F7</f>
        <v>7335.29</v>
      </c>
    </row>
    <row r="8" spans="1:37" ht="18" customHeight="1">
      <c r="A8" s="349"/>
      <c r="B8" s="3224"/>
      <c r="C8" s="351"/>
      <c r="D8" s="352"/>
      <c r="E8" s="347" t="s">
        <v>1401</v>
      </c>
      <c r="F8" s="348">
        <f ca="1">INDIRECT("'数据-取费表'!ai"&amp;$G$1)</f>
        <v>365</v>
      </c>
      <c r="G8" s="1837"/>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37"/>
      <c r="H9" s="349"/>
      <c r="I9" s="3225"/>
      <c r="J9" s="351"/>
      <c r="K9" s="352"/>
      <c r="L9" s="358" t="s">
        <v>1402</v>
      </c>
      <c r="M9" s="359">
        <f ca="1">INDIRECT("'数据-取费表'!ab"&amp;$G$1)</f>
        <v>0</v>
      </c>
    </row>
    <row r="10" spans="1:37" ht="18" customHeight="1">
      <c r="A10" s="1286" t="s">
        <v>1035</v>
      </c>
      <c r="B10" s="1809" t="s">
        <v>1403</v>
      </c>
      <c r="C10" s="361">
        <f ca="1">ROUND(IF(F10="押一",C6/12*F11,IF(F10="押二",C6/12*2*F11,IF(F10="押三",C6/12*3*F11,C11*F11))),0)</f>
        <v>2</v>
      </c>
      <c r="D10" s="1810" t="s">
        <v>3030</v>
      </c>
      <c r="E10" s="358" t="s">
        <v>1404</v>
      </c>
      <c r="F10" s="1361" t="s">
        <v>3153</v>
      </c>
      <c r="G10" s="1837"/>
      <c r="H10" s="1286" t="s">
        <v>1035</v>
      </c>
      <c r="I10" s="1809" t="s">
        <v>1403</v>
      </c>
      <c r="J10" s="346">
        <f ca="1">ROUND(IF(M10="押一",J6/12*M11,IF(M10="押二",J6/12*2*M11,IF(M10="押三",J6/12*3*M11,J11*M11))),0)</f>
        <v>0</v>
      </c>
      <c r="K10" s="1810" t="s">
        <v>3030</v>
      </c>
      <c r="L10" s="358" t="s">
        <v>1404</v>
      </c>
      <c r="M10" s="1361" t="s">
        <v>1405</v>
      </c>
    </row>
    <row r="11" spans="1:37" ht="18" customHeight="1">
      <c r="A11" s="353"/>
      <c r="B11" s="1811" t="s">
        <v>1382</v>
      </c>
      <c r="C11" s="1173"/>
      <c r="D11" s="1812"/>
      <c r="E11" s="358" t="s">
        <v>1406</v>
      </c>
      <c r="F11" s="359">
        <f ca="1">'数据-取费表'!B39</f>
        <v>1.4999999999999999E-2</v>
      </c>
      <c r="G11" s="1837"/>
      <c r="H11" s="1294"/>
      <c r="I11" s="1811" t="s">
        <v>1382</v>
      </c>
      <c r="J11" s="1173"/>
      <c r="K11" s="748"/>
      <c r="L11" s="358"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5">
        <f ca="1">ROUND(C29*F13,0)</f>
        <v>5230</v>
      </c>
      <c r="D13" s="1326" t="s">
        <v>1409</v>
      </c>
      <c r="E13" s="1326" t="s">
        <v>1410</v>
      </c>
      <c r="F13" s="1327">
        <f ca="1">INDIRECT("'数据-取费表'!y"&amp;$G$1)</f>
        <v>0.97</v>
      </c>
      <c r="G13" s="1837"/>
      <c r="H13" s="1324">
        <v>2</v>
      </c>
      <c r="I13" s="1325" t="s">
        <v>1408</v>
      </c>
      <c r="J13" s="1285">
        <f ca="1">ROUND(J14*J15,0)</f>
        <v>0</v>
      </c>
      <c r="K13" s="1332" t="s">
        <v>1409</v>
      </c>
      <c r="L13" s="1838"/>
      <c r="M13" s="1839"/>
    </row>
    <row r="14" spans="1:37" ht="18" customHeight="1">
      <c r="A14" s="1196" t="s">
        <v>1030</v>
      </c>
      <c r="B14" s="347" t="s">
        <v>1411</v>
      </c>
      <c r="C14" s="363">
        <f ca="1">INDIRECT("'数据-取费表'!m"&amp;$G$1)+INDIRECT("'数据-取费表'!t"&amp;$G$1)</f>
        <v>3668</v>
      </c>
      <c r="D14" s="2961" t="s">
        <v>1412</v>
      </c>
      <c r="E14" s="2960"/>
      <c r="F14" s="364"/>
      <c r="G14" s="1837"/>
      <c r="H14" s="1196" t="s">
        <v>1031</v>
      </c>
      <c r="I14" s="347" t="s">
        <v>1413</v>
      </c>
      <c r="J14" s="24">
        <f ca="1">C29</f>
        <v>5392</v>
      </c>
      <c r="K14" s="2957"/>
      <c r="L14" s="974"/>
      <c r="M14" s="975"/>
    </row>
    <row r="15" spans="1:37" s="1844" customFormat="1" ht="18" customHeight="1" thickBot="1">
      <c r="A15" s="1196" t="s">
        <v>1032</v>
      </c>
      <c r="B15" s="347" t="s">
        <v>1414</v>
      </c>
      <c r="C15" s="24">
        <f ca="1">ROUND(C14*F15,0)</f>
        <v>183</v>
      </c>
      <c r="D15" s="365" t="s">
        <v>1415</v>
      </c>
      <c r="E15" s="365" t="s">
        <v>1416</v>
      </c>
      <c r="F15" s="366">
        <f>'数据-取费表'!B33</f>
        <v>0.05</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7"/>
      <c r="H16" s="1324" t="s">
        <v>1026</v>
      </c>
      <c r="I16" s="1325" t="s">
        <v>1418</v>
      </c>
      <c r="J16" s="355">
        <f ca="1">ROUND(J17+J22+J23+J24,0)</f>
        <v>82</v>
      </c>
      <c r="K16" s="1332" t="s">
        <v>1419</v>
      </c>
      <c r="L16" s="2963"/>
      <c r="M16" s="1289"/>
    </row>
    <row r="17" spans="1:37" s="1844" customFormat="1" ht="18" customHeight="1">
      <c r="A17" s="1196" t="s">
        <v>1384</v>
      </c>
      <c r="B17" s="347" t="s">
        <v>1420</v>
      </c>
      <c r="C17" s="24">
        <f ca="1">ROUND(F17*(F43+INDIRECT("'数据-取费表'!S"&amp;$G$1))/10000,0)</f>
        <v>147</v>
      </c>
      <c r="D17" s="347" t="s">
        <v>1421</v>
      </c>
      <c r="E17" s="347" t="s">
        <v>1422</v>
      </c>
      <c r="F17" s="26">
        <f>'数据-取费表'!B35</f>
        <v>200</v>
      </c>
      <c r="G17" s="1840"/>
      <c r="H17" s="1196" t="s">
        <v>1031</v>
      </c>
      <c r="I17" s="347" t="s">
        <v>1423</v>
      </c>
      <c r="J17" s="24">
        <f ca="1">ROUND(IF(项目基本情况!B11="自然人",J6*M17/(1+'数据-取费表'!C42),J18+J19+J20),1)</f>
        <v>0.7</v>
      </c>
      <c r="K17" s="2961" t="s">
        <v>1424</v>
      </c>
      <c r="L17" s="2962" t="s">
        <v>1425</v>
      </c>
      <c r="M17" s="368">
        <f ca="1">IF(项目基本情况!B11="企业","",IF(INDIRECT("'数据-取费表'!c"&amp;$G$1)="住宅",5%,IF(M6*M7*M8/12/(1+'数据-取费表'!C42)&gt;20000,12%,7%)))</f>
        <v>7.0000000000000007E-2</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7" t="s">
        <v>1426</v>
      </c>
      <c r="C18" s="24">
        <f ca="1">ROUND(C14*F18,0)</f>
        <v>55</v>
      </c>
      <c r="D18" s="347" t="s">
        <v>1415</v>
      </c>
      <c r="E18" s="347" t="s">
        <v>1416</v>
      </c>
      <c r="F18" s="367">
        <f>'数据-取费表'!B36</f>
        <v>1.4999999999999999E-2</v>
      </c>
      <c r="G18" s="1840"/>
      <c r="H18" s="1196" t="s">
        <v>1030</v>
      </c>
      <c r="I18" s="347" t="s">
        <v>1427</v>
      </c>
      <c r="J18" s="24">
        <f ca="1">ROUND(J6*M18/(1+'数据-取费表'!C42),2)</f>
        <v>0</v>
      </c>
      <c r="K18" s="2962" t="s">
        <v>1428</v>
      </c>
      <c r="L18" s="347" t="s">
        <v>1416</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7" t="s">
        <v>1429</v>
      </c>
      <c r="C19" s="24">
        <f ca="1">SUM(C14:C18)</f>
        <v>4053</v>
      </c>
      <c r="D19" s="140" t="s">
        <v>1430</v>
      </c>
      <c r="E19" s="2956"/>
      <c r="F19" s="26"/>
      <c r="G19" s="1837"/>
      <c r="H19" s="1196" t="s">
        <v>1032</v>
      </c>
      <c r="I19" s="347" t="s">
        <v>1431</v>
      </c>
      <c r="J19" s="24">
        <f ca="1">IF(K19="按租金收入计税",ROUND(J6*M19/(1+'数据-取费表'!C42),2),ROUND(C29*M19*0.7,2))</f>
        <v>0</v>
      </c>
      <c r="K19" s="1814" t="s">
        <v>3154</v>
      </c>
      <c r="L19" s="347" t="s">
        <v>1416</v>
      </c>
      <c r="M19" s="367">
        <f>IF(K19="按租金收入计税",'数据-取费表'!B51,'数据-取费表'!B50)</f>
        <v>0.12</v>
      </c>
    </row>
    <row r="20" spans="1:37" s="1844" customFormat="1" ht="18" customHeight="1">
      <c r="A20" s="1196" t="s">
        <v>1035</v>
      </c>
      <c r="B20" s="347" t="s">
        <v>1433</v>
      </c>
      <c r="C20" s="24">
        <f ca="1">ROUND(C19*F20,0)</f>
        <v>101</v>
      </c>
      <c r="D20" s="369" t="s">
        <v>1434</v>
      </c>
      <c r="E20" s="347" t="s">
        <v>1416</v>
      </c>
      <c r="F20" s="367">
        <f>'数据-取费表'!B37</f>
        <v>2.5000000000000001E-2</v>
      </c>
      <c r="G20" s="1840"/>
      <c r="H20" s="1196" t="s">
        <v>1383</v>
      </c>
      <c r="I20" s="164" t="s">
        <v>1435</v>
      </c>
      <c r="J20" s="25">
        <f ca="1">ROUND(M20*M21/10000,2)</f>
        <v>0.66</v>
      </c>
      <c r="K20" s="370" t="s">
        <v>1436</v>
      </c>
      <c r="L20" s="347" t="s">
        <v>1437</v>
      </c>
      <c r="M20" s="371">
        <f>'数据-取费表'!B52</f>
        <v>3</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7" t="s">
        <v>1438</v>
      </c>
      <c r="C21" s="24" t="s">
        <v>18</v>
      </c>
      <c r="D21" s="369" t="s">
        <v>1439</v>
      </c>
      <c r="E21" s="347" t="s">
        <v>1440</v>
      </c>
      <c r="F21" s="367">
        <f>'数据-取费表'!B38</f>
        <v>0.02</v>
      </c>
      <c r="G21" s="1840"/>
      <c r="H21" s="372"/>
      <c r="I21" s="356"/>
      <c r="J21" s="29"/>
      <c r="K21" s="373"/>
      <c r="L21" s="347" t="s">
        <v>1441</v>
      </c>
      <c r="M21" s="348">
        <f ca="1">INDIRECT("'数据-取费表'!r"&amp;$G$1)</f>
        <v>2185.7800000000002</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956"/>
      <c r="F22" s="26"/>
      <c r="G22" s="1837"/>
      <c r="H22" s="1196" t="s">
        <v>1035</v>
      </c>
      <c r="I22" s="347" t="s">
        <v>1443</v>
      </c>
      <c r="J22" s="24">
        <f ca="1">ROUND(J14*M22,1)</f>
        <v>80.900000000000006</v>
      </c>
      <c r="K22" s="2962" t="s">
        <v>1444</v>
      </c>
      <c r="L22" s="347" t="s">
        <v>1416</v>
      </c>
      <c r="M22" s="374">
        <f ca="1">INDIRECT("'数据-取费表'!Ak"&amp;$G$1)</f>
        <v>1.4999999999999999E-2</v>
      </c>
    </row>
    <row r="23" spans="1:37" s="1844" customFormat="1" ht="18" customHeight="1">
      <c r="A23" s="1196" t="s">
        <v>1030</v>
      </c>
      <c r="B23" s="347" t="s">
        <v>1445</v>
      </c>
      <c r="C23" s="24">
        <f ca="1">IF('数据-取费表'!B22&lt;=1,ROUND(C19*F24*F23/2,0)+ROUND(C20*F24*F23/2,0),ROUND(C19*(POWER((1+F24),F23/2)-1),0)+ROUND(C20*(POWER((1+F24),F23/2)-1),0))</f>
        <v>198</v>
      </c>
      <c r="D23" s="375" t="str">
        <f>IF(F23&lt;=1,"(建造成本+管理费用)×利率×(建设周期÷2)","(建造成本+管理费用)×((1+利率)^(建设周期÷2)-1)")</f>
        <v>(建造成本+管理费用)×((1+利率)^(建设周期÷2)-1)</v>
      </c>
      <c r="E23" s="347" t="s">
        <v>1446</v>
      </c>
      <c r="F23" s="371">
        <f>'数据-取费表'!B20</f>
        <v>2</v>
      </c>
      <c r="G23" s="1840"/>
      <c r="H23" s="1196" t="s">
        <v>1071</v>
      </c>
      <c r="I23" s="347" t="s">
        <v>1447</v>
      </c>
      <c r="J23" s="24">
        <f ca="1">ROUND(J13*M23,1)</f>
        <v>0</v>
      </c>
      <c r="K23" s="2962" t="s">
        <v>1448</v>
      </c>
      <c r="L23" s="347" t="s">
        <v>1416</v>
      </c>
      <c r="M23" s="376">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0"/>
      <c r="H24" s="1334" t="s">
        <v>1386</v>
      </c>
      <c r="I24" s="1335" t="s">
        <v>1433</v>
      </c>
      <c r="J24" s="1336">
        <f ca="1">ROUND(J5*M24,1)</f>
        <v>0</v>
      </c>
      <c r="K24" s="1337" t="s">
        <v>1453</v>
      </c>
      <c r="L24" s="1335" t="s">
        <v>1416</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7" t="s">
        <v>1455</v>
      </c>
      <c r="C25" s="24"/>
      <c r="D25" s="140" t="s">
        <v>1456</v>
      </c>
      <c r="E25" s="2956"/>
      <c r="F25" s="26"/>
      <c r="G25" s="1837"/>
      <c r="H25" s="1324" t="s">
        <v>1027</v>
      </c>
      <c r="I25" s="1339" t="s">
        <v>1457</v>
      </c>
      <c r="J25" s="355">
        <f ca="1">J5-J16</f>
        <v>-82</v>
      </c>
      <c r="K25" s="1340" t="s">
        <v>1458</v>
      </c>
      <c r="L25" s="1341"/>
      <c r="M25" s="1342"/>
    </row>
    <row r="26" spans="1:37">
      <c r="A26" s="1196" t="s">
        <v>1030</v>
      </c>
      <c r="B26" s="347" t="s">
        <v>1459</v>
      </c>
      <c r="C26" s="24">
        <f ca="1">ROUND((C19+C20)*F26,0)</f>
        <v>623</v>
      </c>
      <c r="D26" s="369" t="s">
        <v>1460</v>
      </c>
      <c r="E26" s="358" t="s">
        <v>1461</v>
      </c>
      <c r="F26" s="357">
        <f ca="1">INDIRECT("'数据-取费表'!q"&amp;$G$1)</f>
        <v>0.15</v>
      </c>
      <c r="G26" s="1837"/>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3.0000000000000001E-3</v>
      </c>
      <c r="D27" s="369" t="s">
        <v>1466</v>
      </c>
      <c r="E27" s="365"/>
      <c r="F27" s="366"/>
      <c r="G27" s="1837"/>
      <c r="H27" s="349"/>
      <c r="I27" s="350"/>
      <c r="J27" s="351"/>
      <c r="K27" s="378" t="s">
        <v>1467</v>
      </c>
      <c r="L27" s="347" t="s">
        <v>1468</v>
      </c>
      <c r="M27" s="379">
        <f ca="1">INDIRECT("'数据-取费表'!ag"&amp;$G$1)</f>
        <v>0</v>
      </c>
    </row>
    <row r="28" spans="1:37" s="1844" customFormat="1" ht="18" customHeight="1">
      <c r="A28" s="1196" t="s">
        <v>1033</v>
      </c>
      <c r="B28" s="347" t="s">
        <v>1469</v>
      </c>
      <c r="C28" s="24">
        <f>ROUND(F28/(1+'数据-取费表'!C42),4)</f>
        <v>5.33E-2</v>
      </c>
      <c r="D28" s="369" t="s">
        <v>1470</v>
      </c>
      <c r="E28" s="347" t="s">
        <v>1416</v>
      </c>
      <c r="F28" s="367">
        <f>'数据-取费表'!B41</f>
        <v>5.6000000000000001E-2</v>
      </c>
      <c r="G28" s="1840"/>
      <c r="H28" s="353"/>
      <c r="I28" s="354"/>
      <c r="J28" s="355"/>
      <c r="K28" s="373"/>
      <c r="L28" s="347" t="s">
        <v>1471</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5392</v>
      </c>
      <c r="D29" s="1337"/>
      <c r="E29" s="1335"/>
      <c r="F29" s="1338"/>
      <c r="G29" s="1840"/>
      <c r="H29" s="380" t="s">
        <v>1029</v>
      </c>
      <c r="I29" s="381" t="s">
        <v>1473</v>
      </c>
      <c r="J29" s="382">
        <f ca="1">ROUND(J26/(1+F40)^F41,0)</f>
        <v>0</v>
      </c>
      <c r="K29" s="383" t="s">
        <v>1474</v>
      </c>
      <c r="L29" s="384"/>
      <c r="M29" s="385">
        <f ca="1">INDIRECT("'数据-取费表'!k"&amp;$G$1)</f>
        <v>7335.29</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5">
        <f ca="1">ROUND(C31+C36+C37+C38,0)</f>
        <v>432</v>
      </c>
      <c r="D30" s="1332" t="s">
        <v>1419</v>
      </c>
      <c r="E30" s="2963"/>
      <c r="F30" s="1289"/>
      <c r="G30" s="1837"/>
      <c r="H30" s="745"/>
      <c r="I30" s="746"/>
      <c r="J30" s="747"/>
      <c r="K30" s="748"/>
      <c r="L30" s="749"/>
      <c r="M30" s="750"/>
    </row>
    <row r="31" spans="1:37" ht="18" customHeight="1">
      <c r="A31" s="1196" t="s">
        <v>1031</v>
      </c>
      <c r="B31" s="347" t="s">
        <v>1423</v>
      </c>
      <c r="C31" s="24">
        <f ca="1">ROUND(IF(项目基本情况!B11="自然人",C6*F31/(1+'数据-取费表'!C42),C32+C33+C34),1)</f>
        <v>323.8</v>
      </c>
      <c r="D31" s="2961" t="s">
        <v>1424</v>
      </c>
      <c r="E31" s="2962" t="s">
        <v>1475</v>
      </c>
      <c r="F31" s="368">
        <f ca="1">IF(项目基本情况!B11="企业","",IF(INDIRECT("'数据-取费表'!c"&amp;$G$1)="住宅",5%,IF(F6*F7*F8/12/(1+'数据-取费表'!C42)&gt;20000,12%,7%)))</f>
        <v>0.12</v>
      </c>
      <c r="G31" s="1837"/>
      <c r="H31" s="745"/>
      <c r="I31" s="746"/>
      <c r="J31" s="747"/>
      <c r="K31" s="748"/>
      <c r="L31" s="749"/>
      <c r="M31" s="750"/>
    </row>
    <row r="32" spans="1:37" ht="18" customHeight="1">
      <c r="A32" s="1196" t="s">
        <v>1030</v>
      </c>
      <c r="B32" s="347" t="s">
        <v>1427</v>
      </c>
      <c r="C32" s="24">
        <f ca="1">IF(项目基本情况!B11="自然人","——",ROUND(C6*F32/(1+'数据-取费表'!C42),2))</f>
        <v>102.83</v>
      </c>
      <c r="D32" s="2962" t="s">
        <v>1428</v>
      </c>
      <c r="E32" s="347" t="s">
        <v>1416</v>
      </c>
      <c r="F32" s="377">
        <f>'数据-取费表'!B41</f>
        <v>5.6000000000000001E-2</v>
      </c>
      <c r="G32" s="1837"/>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220.34</v>
      </c>
      <c r="D33" s="1814" t="s">
        <v>3154</v>
      </c>
      <c r="E33" s="347" t="s">
        <v>1416</v>
      </c>
      <c r="F33" s="367">
        <f>IF(D33="按票据","——",IF(D33="按租金收入计税",'数据-取费表'!B51,'数据-取费表'!B50))</f>
        <v>0.12</v>
      </c>
      <c r="G33" s="1837"/>
      <c r="H33" s="1845"/>
      <c r="I33" s="1846"/>
      <c r="J33" s="1847"/>
      <c r="K33" s="1848"/>
      <c r="L33" s="1845"/>
      <c r="M33" s="1845"/>
    </row>
    <row r="34" spans="1:18" ht="18" customHeight="1">
      <c r="A34" s="1286" t="s">
        <v>1383</v>
      </c>
      <c r="B34" s="164" t="s">
        <v>1435</v>
      </c>
      <c r="C34" s="25">
        <f ca="1">IF(项目基本情况!B11="自然人","——",ROUND(F34*F35/10000,2))</f>
        <v>0.66</v>
      </c>
      <c r="D34" s="370" t="s">
        <v>1436</v>
      </c>
      <c r="E34" s="347" t="s">
        <v>1437</v>
      </c>
      <c r="F34" s="371">
        <f>'数据-取费表'!B52</f>
        <v>3</v>
      </c>
      <c r="G34" s="1837"/>
      <c r="H34" s="745"/>
      <c r="I34" s="1846"/>
      <c r="J34" s="1847"/>
      <c r="K34" s="1849"/>
      <c r="L34" s="1850"/>
      <c r="M34" s="1850"/>
    </row>
    <row r="35" spans="1:18" ht="18" customHeight="1">
      <c r="A35" s="1348"/>
      <c r="B35" s="1346"/>
      <c r="C35" s="29"/>
      <c r="D35" s="373"/>
      <c r="E35" s="347" t="s">
        <v>1441</v>
      </c>
      <c r="F35" s="348">
        <f ca="1">INDIRECT("'数据-取费表'!r"&amp;$G$1)</f>
        <v>2185.7800000000002</v>
      </c>
      <c r="G35" s="1837"/>
      <c r="H35" s="745"/>
      <c r="I35" s="1846"/>
      <c r="J35" s="1847"/>
      <c r="K35" s="1848"/>
      <c r="L35" s="1845"/>
      <c r="M35" s="1845"/>
    </row>
    <row r="36" spans="1:18" ht="18" customHeight="1">
      <c r="A36" s="1347" t="s">
        <v>1035</v>
      </c>
      <c r="B36" s="347" t="s">
        <v>1443</v>
      </c>
      <c r="C36" s="24">
        <f ca="1">ROUND(C29*F36,1)</f>
        <v>80.900000000000006</v>
      </c>
      <c r="D36" s="2962" t="s">
        <v>1476</v>
      </c>
      <c r="E36" s="347" t="s">
        <v>1416</v>
      </c>
      <c r="F36" s="374">
        <f ca="1">INDIRECT("'数据-取费表'!Ak"&amp;$G$1)</f>
        <v>1.4999999999999999E-2</v>
      </c>
      <c r="G36" s="1837"/>
      <c r="H36" s="1845"/>
      <c r="I36" s="1846"/>
      <c r="J36" s="1847"/>
      <c r="K36" s="751"/>
      <c r="L36" s="1845"/>
      <c r="M36" s="1845"/>
    </row>
    <row r="37" spans="1:18" ht="18" customHeight="1">
      <c r="A37" s="1196" t="s">
        <v>1071</v>
      </c>
      <c r="B37" s="347" t="s">
        <v>1447</v>
      </c>
      <c r="C37" s="24">
        <f ca="1">ROUND(C13*F37,1)</f>
        <v>7.8</v>
      </c>
      <c r="D37" s="2962" t="s">
        <v>1448</v>
      </c>
      <c r="E37" s="347" t="s">
        <v>1416</v>
      </c>
      <c r="F37" s="376">
        <f ca="1">INDIRECT("'数据-取费表'!Al"&amp;$G$1)</f>
        <v>1.5E-3</v>
      </c>
      <c r="G37" s="1837"/>
      <c r="H37" s="1845"/>
      <c r="I37" s="1846"/>
      <c r="J37" s="1847"/>
      <c r="K37" s="751"/>
      <c r="L37" s="1845"/>
      <c r="M37" s="1845"/>
    </row>
    <row r="38" spans="1:18" ht="18" customHeight="1" thickBot="1">
      <c r="A38" s="1334" t="s">
        <v>1386</v>
      </c>
      <c r="B38" s="1335" t="s">
        <v>1433</v>
      </c>
      <c r="C38" s="1336">
        <f ca="1">ROUND(C5*F38,1)</f>
        <v>19.3</v>
      </c>
      <c r="D38" s="1337" t="s">
        <v>1453</v>
      </c>
      <c r="E38" s="1335" t="s">
        <v>1416</v>
      </c>
      <c r="F38" s="1331">
        <f ca="1">INDIRECT("'数据-取费表'!Am"&amp;$G$1)</f>
        <v>0.01</v>
      </c>
      <c r="G38" s="1837"/>
      <c r="H38" s="1845"/>
      <c r="I38" s="1846"/>
      <c r="J38" s="1847"/>
      <c r="K38" s="1851"/>
      <c r="L38" s="1845"/>
      <c r="M38" s="1845"/>
    </row>
    <row r="39" spans="1:18" ht="24.6" customHeight="1" thickTop="1">
      <c r="A39" s="1324" t="s">
        <v>1027</v>
      </c>
      <c r="B39" s="1339" t="s">
        <v>1457</v>
      </c>
      <c r="C39" s="355">
        <f ca="1">C5-C30</f>
        <v>1498</v>
      </c>
      <c r="D39" s="1340" t="s">
        <v>1458</v>
      </c>
      <c r="E39" s="1341"/>
      <c r="F39" s="1342"/>
      <c r="G39" s="1837"/>
      <c r="H39" s="1845"/>
      <c r="I39" s="1846"/>
      <c r="J39" s="1847"/>
      <c r="K39" s="1851"/>
      <c r="L39" s="1845"/>
      <c r="M39" s="1845"/>
    </row>
    <row r="40" spans="1:18" ht="18" customHeight="1">
      <c r="A40" s="344" t="s">
        <v>1028</v>
      </c>
      <c r="B40" s="345" t="s">
        <v>1479</v>
      </c>
      <c r="C40" s="346">
        <f ca="1">ROUND(C39*(1-((1+F42)/(1+F40))^F41)/(F40-F42),0)</f>
        <v>25138</v>
      </c>
      <c r="D40" s="370" t="s">
        <v>1463</v>
      </c>
      <c r="E40" s="347" t="s">
        <v>1464</v>
      </c>
      <c r="F40" s="357">
        <f ca="1">INDIRECT("'数据-取费表'!I"&amp;$G$1)</f>
        <v>5.5E-2</v>
      </c>
      <c r="G40" s="1837"/>
      <c r="H40" s="1825"/>
      <c r="I40" s="1846"/>
      <c r="J40" s="1847"/>
      <c r="K40" s="1851"/>
      <c r="L40" s="1825"/>
      <c r="M40" s="1825"/>
    </row>
    <row r="41" spans="1:18" ht="18" customHeight="1">
      <c r="A41" s="349"/>
      <c r="B41" s="350"/>
      <c r="C41" s="351"/>
      <c r="D41" s="378" t="s">
        <v>1480</v>
      </c>
      <c r="E41" s="347" t="s">
        <v>1468</v>
      </c>
      <c r="F41" s="379">
        <f ca="1">IF(INDIRECT("'数据-取费表'!af"&amp;$G$1)=0,INDIRECT("'数据-取费表'!ae"&amp;$G$1),INDIRECT("'数据-取费表'!af"&amp;$G$1))</f>
        <v>22.68</v>
      </c>
      <c r="G41" s="1837"/>
      <c r="H41" s="732"/>
      <c r="I41" s="1846"/>
      <c r="J41" s="1847"/>
      <c r="K41" s="751"/>
      <c r="L41" s="732"/>
      <c r="M41" s="732"/>
    </row>
    <row r="42" spans="1:18" ht="18" customHeight="1">
      <c r="A42" s="353"/>
      <c r="B42" s="354"/>
      <c r="C42" s="355"/>
      <c r="D42" s="373"/>
      <c r="E42" s="347" t="s">
        <v>1471</v>
      </c>
      <c r="F42" s="357">
        <f ca="1">INDIRECT("'数据-取费表'!v"&amp;$G$1)</f>
        <v>0.03</v>
      </c>
      <c r="G42" s="1837"/>
      <c r="H42" s="732"/>
      <c r="I42" s="1846"/>
      <c r="J42" s="1847"/>
      <c r="K42" s="751"/>
      <c r="L42" s="732"/>
      <c r="M42" s="732"/>
    </row>
    <row r="43" spans="1:18" ht="18" customHeight="1" thickBot="1">
      <c r="A43" s="380" t="s">
        <v>1029</v>
      </c>
      <c r="B43" s="381" t="s">
        <v>1481</v>
      </c>
      <c r="C43" s="382">
        <f ca="1">ROUND(C40*10000/F43,0)</f>
        <v>34270</v>
      </c>
      <c r="D43" s="383" t="s">
        <v>1482</v>
      </c>
      <c r="E43" s="384" t="s">
        <v>1483</v>
      </c>
      <c r="F43" s="385">
        <f ca="1">INDIRECT("'数据-取费表'!k"&amp;$G$1)</f>
        <v>7335.29</v>
      </c>
      <c r="G43" s="1837"/>
      <c r="H43" s="732"/>
      <c r="I43" s="732"/>
      <c r="J43" s="732"/>
      <c r="K43" s="751"/>
      <c r="L43" s="732"/>
      <c r="M43" s="732"/>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6"/>
      <c r="O45" s="1855" t="s">
        <v>1513</v>
      </c>
      <c r="P45" s="1825"/>
      <c r="Q45" s="1825"/>
      <c r="R45" s="1825"/>
    </row>
    <row r="46" spans="1:18" s="1828" customFormat="1" ht="13.8" thickBot="1">
      <c r="A46" s="1856" t="s">
        <v>1514</v>
      </c>
      <c r="C46" s="1857">
        <f ca="1">C68-C40</f>
        <v>-32067</v>
      </c>
      <c r="D46" s="1858" t="str">
        <f>C2</f>
        <v>万元</v>
      </c>
      <c r="E46" s="1852"/>
      <c r="F46" s="1852"/>
      <c r="I46" s="1859" t="s">
        <v>1515</v>
      </c>
      <c r="J46" s="1860"/>
      <c r="K46" s="1861"/>
      <c r="L46" s="1862">
        <f ca="1">IF(M47="住宅",0,IF(L48&gt;J51,L60,J60))</f>
        <v>450</v>
      </c>
      <c r="O46" s="1863" t="s">
        <v>1516</v>
      </c>
      <c r="P46" s="1864" t="s">
        <v>1517</v>
      </c>
      <c r="Q46" s="1865" t="s">
        <v>1518</v>
      </c>
      <c r="R46" s="1865" t="s">
        <v>1519</v>
      </c>
    </row>
    <row r="47" spans="1:18" s="1828" customFormat="1" ht="13.8" thickBot="1">
      <c r="A47" s="1160" t="s">
        <v>1390</v>
      </c>
      <c r="B47" s="1192" t="s">
        <v>1391</v>
      </c>
      <c r="C47" s="1362" t="s">
        <v>1392</v>
      </c>
      <c r="D47" s="1192" t="s">
        <v>1393</v>
      </c>
      <c r="E47" s="1274" t="s">
        <v>1394</v>
      </c>
      <c r="F47" s="1275"/>
      <c r="G47" s="792"/>
      <c r="I47" s="1866" t="s">
        <v>1520</v>
      </c>
      <c r="J47" s="1867" t="s">
        <v>4205</v>
      </c>
      <c r="K47" s="1868" t="s">
        <v>1521</v>
      </c>
      <c r="L47" s="1869">
        <f ca="1">INDIRECT("'数据-取费表'!d"&amp;$G$1)</f>
        <v>40</v>
      </c>
      <c r="M47" s="1824" t="str">
        <f>IF(ISNUMBER(FIND("住宅",C1)),"住宅","非住宅")</f>
        <v>非住宅</v>
      </c>
      <c r="O47" s="1870" t="s">
        <v>1036</v>
      </c>
      <c r="P47" s="1871" t="s">
        <v>1522</v>
      </c>
      <c r="Q47" s="1872">
        <f ca="1">C40+J29</f>
        <v>25138</v>
      </c>
      <c r="R47" s="1872" t="s">
        <v>1523</v>
      </c>
    </row>
    <row r="48" spans="1:18" s="1828" customFormat="1" ht="40.200000000000003" thickBot="1">
      <c r="A48" s="1355" t="s">
        <v>1131</v>
      </c>
      <c r="B48" s="345" t="s">
        <v>1395</v>
      </c>
      <c r="C48" s="2955">
        <f ca="1">C49+C53+C55</f>
        <v>0</v>
      </c>
      <c r="D48" s="1357"/>
      <c r="E48" s="1358"/>
      <c r="F48" s="1176"/>
      <c r="G48" s="792"/>
      <c r="H48" s="793"/>
      <c r="I48" s="1873" t="s">
        <v>1524</v>
      </c>
      <c r="J48" s="1874" t="s">
        <v>4206</v>
      </c>
      <c r="K48" s="1875" t="s">
        <v>1525</v>
      </c>
      <c r="L48" s="1876">
        <f ca="1">INDIRECT("'数据-取费表'!f"&amp;$G$1)</f>
        <v>22.68</v>
      </c>
      <c r="O48" s="1870" t="s">
        <v>1037</v>
      </c>
      <c r="P48" s="1871" t="s">
        <v>1526</v>
      </c>
      <c r="Q48" s="1872">
        <f ca="1">J60</f>
        <v>450</v>
      </c>
      <c r="R48" s="1872" t="s">
        <v>1527</v>
      </c>
    </row>
    <row r="49" spans="1:18" s="1828" customFormat="1" ht="13.8" thickBot="1">
      <c r="A49" s="1189" t="s">
        <v>1132</v>
      </c>
      <c r="B49" s="1815" t="s">
        <v>1484</v>
      </c>
      <c r="C49" s="1359">
        <f ca="1">ROUND(F49*F51*F50*(1-F52)/10000,0)</f>
        <v>0</v>
      </c>
      <c r="D49" s="1271" t="s">
        <v>3021</v>
      </c>
      <c r="E49" s="1816" t="s">
        <v>1485</v>
      </c>
      <c r="F49" s="1276"/>
      <c r="G49" s="1877"/>
      <c r="H49" s="793"/>
      <c r="I49" s="1873" t="s">
        <v>1528</v>
      </c>
      <c r="J49" s="1878">
        <v>2018</v>
      </c>
      <c r="K49" s="1875" t="s">
        <v>1529</v>
      </c>
      <c r="L49" s="1879"/>
      <c r="O49" s="1880" t="s">
        <v>1038</v>
      </c>
      <c r="P49" s="1871" t="s">
        <v>1530</v>
      </c>
      <c r="Q49" s="1872">
        <f ca="1">C29</f>
        <v>5392</v>
      </c>
      <c r="R49" s="1872" t="s">
        <v>1523</v>
      </c>
    </row>
    <row r="50" spans="1:18" s="1828" customFormat="1" ht="13.8" thickBot="1">
      <c r="A50" s="1190"/>
      <c r="B50" s="1193"/>
      <c r="C50" s="1363"/>
      <c r="D50" s="1167"/>
      <c r="E50" s="1272" t="s">
        <v>1400</v>
      </c>
      <c r="F50" s="1273">
        <f ca="1">F7</f>
        <v>7335.29</v>
      </c>
      <c r="H50" s="793"/>
      <c r="I50" s="1873" t="s">
        <v>1531</v>
      </c>
      <c r="J50" s="1881">
        <f>SUMPRODUCT((I63:I65=J47)*(J62:L62=J48)*(J63:L65))</f>
        <v>60</v>
      </c>
      <c r="K50" s="1875" t="s">
        <v>1532</v>
      </c>
      <c r="L50" s="1879"/>
      <c r="M50" s="1882"/>
      <c r="O50" s="1880" t="s">
        <v>1039</v>
      </c>
      <c r="P50" s="1871" t="s">
        <v>1533</v>
      </c>
      <c r="Q50" s="1883">
        <f ca="1">J58</f>
        <v>0.58899999999999997</v>
      </c>
      <c r="R50" s="1872"/>
    </row>
    <row r="51" spans="1:18" s="1828" customFormat="1" ht="13.8" thickBot="1">
      <c r="A51" s="1191"/>
      <c r="B51" s="1193"/>
      <c r="C51" s="1194"/>
      <c r="D51" s="1167"/>
      <c r="E51" s="1195" t="s">
        <v>1401</v>
      </c>
      <c r="F51" s="348">
        <f ca="1">F8</f>
        <v>365</v>
      </c>
      <c r="I51" s="1884" t="s">
        <v>1534</v>
      </c>
      <c r="J51" s="1885">
        <f>IF(J49="",J50,J49+J50-YEAR('数据-取费表'!B2))</f>
        <v>58</v>
      </c>
      <c r="K51" s="1886" t="s">
        <v>1535</v>
      </c>
      <c r="L51" s="1887">
        <f ca="1">ROUND(-PV(INDIRECT("'数据-取费表'!h"&amp;$G$1),J51,(C39-C13*C76),0),0)</f>
        <v>19825</v>
      </c>
      <c r="M51" s="1888"/>
      <c r="O51" s="1880" t="s">
        <v>1040</v>
      </c>
      <c r="P51" s="1871" t="s">
        <v>1536</v>
      </c>
      <c r="Q51" s="1883">
        <f>J52</f>
        <v>0.09</v>
      </c>
      <c r="R51" s="1872"/>
    </row>
    <row r="52" spans="1:18" s="1828" customFormat="1" ht="13.8" thickBot="1">
      <c r="A52" s="1191"/>
      <c r="B52" s="1193"/>
      <c r="C52" s="1194"/>
      <c r="D52" s="1167"/>
      <c r="E52" s="1195" t="s">
        <v>1402</v>
      </c>
      <c r="F52" s="1270"/>
      <c r="I52" s="1889" t="s">
        <v>1537</v>
      </c>
      <c r="J52" s="1890">
        <v>0.09</v>
      </c>
      <c r="K52" s="1889" t="s">
        <v>1538</v>
      </c>
      <c r="L52" s="1890"/>
      <c r="O52" s="1880" t="s">
        <v>1041</v>
      </c>
      <c r="P52" s="1871" t="s">
        <v>1539</v>
      </c>
      <c r="Q52" s="1872">
        <f ca="1">J53</f>
        <v>22.68</v>
      </c>
      <c r="R52" s="1872" t="s">
        <v>1540</v>
      </c>
    </row>
    <row r="53" spans="1:18" s="1828" customFormat="1" ht="36.6" thickBot="1">
      <c r="A53" s="1400" t="s">
        <v>1133</v>
      </c>
      <c r="B53" s="1817" t="s">
        <v>1403</v>
      </c>
      <c r="C53" s="361">
        <f ca="1">ROUND(IF(F53="押一",C49/12*F11,IF(F53="押二",C49/12*2*F11,IF(F53="押三",C49/12*3*F11,C54*F11))),0)</f>
        <v>0</v>
      </c>
      <c r="D53" s="1810" t="s">
        <v>3030</v>
      </c>
      <c r="E53" s="358" t="s">
        <v>1404</v>
      </c>
      <c r="F53" s="1361"/>
      <c r="I53" s="1891" t="s">
        <v>1541</v>
      </c>
      <c r="J53" s="2938">
        <f ca="1">IF(M47="住宅",IF(D1="——",MAX(J51,L48),MAX(J51,L48-'数据-取费表'!B24)),IF(D1="——",MIN(J51,L48),MIN(J51,L48-'数据-取费表'!B24)))</f>
        <v>22.68</v>
      </c>
      <c r="K53" s="3221" t="s">
        <v>1542</v>
      </c>
      <c r="L53" s="3222"/>
      <c r="O53" s="1870" t="s">
        <v>1042</v>
      </c>
      <c r="P53" s="1871" t="s">
        <v>1543</v>
      </c>
      <c r="Q53" s="1872">
        <f ca="1">Q47+Q48</f>
        <v>25588</v>
      </c>
      <c r="R53" s="1872" t="s">
        <v>1043</v>
      </c>
    </row>
    <row r="54" spans="1:18" s="1828" customFormat="1" ht="24.6" thickBot="1">
      <c r="A54" s="1401"/>
      <c r="B54" s="1811" t="s">
        <v>1382</v>
      </c>
      <c r="C54" s="1173"/>
      <c r="D54" s="1810"/>
      <c r="E54" s="2959"/>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8" thickBot="1">
      <c r="A55" s="1328" t="s">
        <v>1071</v>
      </c>
      <c r="B55" s="1813" t="s">
        <v>1407</v>
      </c>
      <c r="C55" s="1329"/>
      <c r="D55" s="1810"/>
      <c r="E55" s="2959"/>
      <c r="F55" s="1892"/>
      <c r="I55" s="1895" t="s">
        <v>1545</v>
      </c>
      <c r="J55" s="1896">
        <f ca="1">ROUND(IF(J47="钢混",J57/J50,1-(1-2%)*(J50-J57)/J50),3)</f>
        <v>0.58899999999999997</v>
      </c>
      <c r="K55" s="1897" t="s">
        <v>1546</v>
      </c>
      <c r="L55" s="1898" t="s">
        <v>1547</v>
      </c>
      <c r="O55" s="1863" t="s">
        <v>1516</v>
      </c>
      <c r="P55" s="1864" t="s">
        <v>1517</v>
      </c>
      <c r="Q55" s="1865" t="s">
        <v>1518</v>
      </c>
      <c r="R55" s="1865" t="s">
        <v>1519</v>
      </c>
    </row>
    <row r="56" spans="1:18" s="1828" customFormat="1" ht="37.200000000000003" thickTop="1" thickBot="1">
      <c r="A56" s="1171">
        <v>2</v>
      </c>
      <c r="B56" s="1172" t="s">
        <v>1408</v>
      </c>
      <c r="C56" s="276">
        <f ca="1">C13</f>
        <v>5230</v>
      </c>
      <c r="D56" s="1899"/>
      <c r="E56" s="1900"/>
      <c r="F56" s="1892"/>
      <c r="I56" s="1901" t="s">
        <v>1548</v>
      </c>
      <c r="J56" s="1902" t="s">
        <v>3152</v>
      </c>
      <c r="K56" s="1873" t="s">
        <v>1549</v>
      </c>
      <c r="L56" s="1876" t="str">
        <f ca="1">IF(L48&lt;J51,"——",L48-J53)</f>
        <v>——</v>
      </c>
      <c r="O56" s="1870" t="s">
        <v>1036</v>
      </c>
      <c r="P56" s="1871" t="s">
        <v>1522</v>
      </c>
      <c r="Q56" s="1872">
        <f ca="1">C40+J29</f>
        <v>25138</v>
      </c>
      <c r="R56" s="1872" t="s">
        <v>1523</v>
      </c>
    </row>
    <row r="57" spans="1:18" s="1828" customFormat="1" ht="24.6" thickBot="1">
      <c r="A57" s="1903"/>
      <c r="B57" s="1164" t="s">
        <v>1472</v>
      </c>
      <c r="C57" s="282">
        <f ca="1">C29</f>
        <v>5392</v>
      </c>
      <c r="D57" s="1904"/>
      <c r="E57" s="1905"/>
      <c r="F57" s="1906"/>
      <c r="I57" s="1907" t="s">
        <v>1550</v>
      </c>
      <c r="J57" s="1908">
        <f ca="1">IF(OR(M47="住宅",J51&lt;L48,J56="是"),"——",J51-L48)</f>
        <v>35.32</v>
      </c>
      <c r="K57" s="1873" t="s">
        <v>1551</v>
      </c>
      <c r="L57" s="1876" t="str">
        <f ca="1">IF(L48&lt;J51,"——",IF(L55="比较法",L49,IF(L55="基准地价",L50,L51)))</f>
        <v>——</v>
      </c>
      <c r="O57" s="1870" t="s">
        <v>1037</v>
      </c>
      <c r="P57" s="1871" t="s">
        <v>1552</v>
      </c>
      <c r="Q57" s="1872">
        <f ca="1">L60</f>
        <v>0</v>
      </c>
      <c r="R57" s="1872" t="s">
        <v>1553</v>
      </c>
    </row>
    <row r="58" spans="1:18" s="1828" customFormat="1" ht="24.6" thickBot="1">
      <c r="A58" s="360" t="s">
        <v>1026</v>
      </c>
      <c r="B58" s="1172" t="s">
        <v>1418</v>
      </c>
      <c r="C58" s="361">
        <f ca="1">ROUND(C59+C64+C65+C66,0)</f>
        <v>542</v>
      </c>
      <c r="D58" s="1174" t="s">
        <v>1419</v>
      </c>
      <c r="E58" s="1175"/>
      <c r="F58" s="1176"/>
      <c r="I58" s="1907" t="s">
        <v>1554</v>
      </c>
      <c r="J58" s="1909">
        <f ca="1">IF(J55&lt;0.4,0.4,J55)</f>
        <v>0.58899999999999997</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6" thickBot="1">
      <c r="A59" s="1196" t="s">
        <v>1031</v>
      </c>
      <c r="B59" s="1164" t="s">
        <v>1423</v>
      </c>
      <c r="C59" s="24">
        <f ca="1">ROUND(IF(项目基本情况!B11="自然人",C48*F59,C60+C61+C62),1)</f>
        <v>453.6</v>
      </c>
      <c r="D59" s="1177" t="s">
        <v>1424</v>
      </c>
      <c r="E59" s="1178" t="s">
        <v>1425</v>
      </c>
      <c r="F59" s="368">
        <f ca="1">IF(项目基本情况!B11="企业","",IF(INDIRECT("'数据-取费表'!c"&amp;$G$1)="住宅",5%,IF(F49*F50*F51/12/(1+'数据-取费表'!C42)&gt;20000,12%,7%)))</f>
        <v>7.0000000000000007E-2</v>
      </c>
      <c r="I59" s="1907" t="s">
        <v>1557</v>
      </c>
      <c r="J59" s="1908">
        <f ca="1">IF(OR(M47="住宅",J51&lt;L48,J56="是"),"——",ROUND(C29*J58,0))</f>
        <v>3176</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0" t="s">
        <v>1559</v>
      </c>
      <c r="J60" s="1911">
        <f ca="1">IF(OR(M47="住宅",J51&lt;L48,J56="是"),"0",ROUND(J59/(1+J52)^J53,0))</f>
        <v>450</v>
      </c>
      <c r="K60" s="1912" t="s">
        <v>1560</v>
      </c>
      <c r="L60" s="1911">
        <f ca="1">IF(OR(M47="住宅",L48&lt;J51),0,ROUND(L57*(L58/L59-1),0))</f>
        <v>0</v>
      </c>
      <c r="O60" s="1880" t="s">
        <v>1040</v>
      </c>
      <c r="P60" s="1871" t="s">
        <v>1561</v>
      </c>
      <c r="Q60" s="1872" t="e">
        <f ca="1">L58</f>
        <v>#DIV/0!</v>
      </c>
      <c r="R60" s="1872" t="s">
        <v>1562</v>
      </c>
    </row>
    <row r="61" spans="1:18" s="1828" customFormat="1" ht="13.8" thickBot="1">
      <c r="A61" s="1196" t="s">
        <v>1486</v>
      </c>
      <c r="B61" s="1164" t="s">
        <v>1431</v>
      </c>
      <c r="C61" s="24">
        <f ca="1">IF(项目基本情况!B11="自然人","——",IF(D61="按租金收入计税",ROUND(C48*F61,2),IF(D61="按房产原值计税",ROUND(C57*F61*0.7,2),INDIRECT("'数据-取费表'!Aj"&amp;$G$1))))</f>
        <v>452.93</v>
      </c>
      <c r="D61" s="1814" t="s">
        <v>1432</v>
      </c>
      <c r="E61" s="1164" t="s">
        <v>1416</v>
      </c>
      <c r="F61" s="367">
        <f t="shared" si="0"/>
        <v>0.12</v>
      </c>
      <c r="I61" s="1913"/>
      <c r="J61" s="1913"/>
      <c r="K61" s="1913"/>
      <c r="L61" s="1913"/>
      <c r="O61" s="1880" t="s">
        <v>1041</v>
      </c>
      <c r="P61" s="1871" t="str">
        <f>K59</f>
        <v>建筑物剩余耐用年限下的土地年期修正系数Kn</v>
      </c>
      <c r="Q61" s="1872" t="e">
        <f ca="1">L59</f>
        <v>#DIV/0!</v>
      </c>
      <c r="R61" s="1872" t="s">
        <v>1563</v>
      </c>
    </row>
    <row r="62" spans="1:18" s="1828" customFormat="1" ht="13.8" thickBot="1">
      <c r="A62" s="1196" t="s">
        <v>1489</v>
      </c>
      <c r="B62" s="1163" t="s">
        <v>1435</v>
      </c>
      <c r="C62" s="25">
        <f ca="1">IF(项目基本情况!B11="自然人","——",ROUND(F62*F63/10000,2))</f>
        <v>0.66</v>
      </c>
      <c r="D62" s="1179" t="s">
        <v>1436</v>
      </c>
      <c r="E62" s="1164" t="s">
        <v>1437</v>
      </c>
      <c r="F62" s="371">
        <f t="shared" si="0"/>
        <v>3</v>
      </c>
      <c r="I62" s="1914" t="s">
        <v>1564</v>
      </c>
      <c r="J62" s="1915" t="s">
        <v>1565</v>
      </c>
      <c r="K62" s="1915" t="s">
        <v>1566</v>
      </c>
      <c r="L62" s="1915" t="s">
        <v>1567</v>
      </c>
      <c r="M62" s="1916" t="s">
        <v>1568</v>
      </c>
      <c r="O62" s="1870" t="s">
        <v>1042</v>
      </c>
      <c r="P62" s="1871" t="s">
        <v>1543</v>
      </c>
      <c r="Q62" s="1872">
        <f ca="1">Q56+Q57</f>
        <v>25138</v>
      </c>
      <c r="R62" s="1872" t="s">
        <v>1043</v>
      </c>
    </row>
    <row r="63" spans="1:18" s="1828" customFormat="1" ht="13.8" thickBot="1">
      <c r="A63" s="372"/>
      <c r="B63" s="1170"/>
      <c r="C63" s="29"/>
      <c r="D63" s="1180"/>
      <c r="E63" s="1164" t="s">
        <v>1441</v>
      </c>
      <c r="F63" s="348">
        <f t="shared" ca="1" si="0"/>
        <v>2185.7800000000002</v>
      </c>
      <c r="I63" s="1914" t="s">
        <v>1570</v>
      </c>
      <c r="J63" s="1915">
        <v>70</v>
      </c>
      <c r="K63" s="1915">
        <v>50</v>
      </c>
      <c r="L63" s="1915">
        <v>80</v>
      </c>
      <c r="M63" s="1917">
        <v>0.02</v>
      </c>
      <c r="O63" s="1855" t="s">
        <v>1571</v>
      </c>
      <c r="P63" s="1825"/>
      <c r="Q63" s="1825"/>
      <c r="R63" s="1825"/>
    </row>
    <row r="64" spans="1:18" s="1828" customFormat="1" ht="13.8" thickBot="1">
      <c r="A64" s="1196" t="s">
        <v>1035</v>
      </c>
      <c r="B64" s="1164" t="s">
        <v>1443</v>
      </c>
      <c r="C64" s="24">
        <f ca="1">ROUND(C57*F64,1)</f>
        <v>80.900000000000006</v>
      </c>
      <c r="D64" s="1178" t="s">
        <v>1476</v>
      </c>
      <c r="E64" s="1164" t="s">
        <v>1416</v>
      </c>
      <c r="F64" s="374">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8" thickBot="1">
      <c r="A65" s="1196" t="s">
        <v>1497</v>
      </c>
      <c r="B65" s="1164" t="s">
        <v>1447</v>
      </c>
      <c r="C65" s="24">
        <f ca="1">ROUND(C56*F65,1)</f>
        <v>7.8</v>
      </c>
      <c r="D65" s="1178" t="s">
        <v>1448</v>
      </c>
      <c r="E65" s="1164" t="s">
        <v>1416</v>
      </c>
      <c r="F65" s="376">
        <f t="shared" ca="1" si="0"/>
        <v>1.5E-3</v>
      </c>
      <c r="I65" s="1914" t="s">
        <v>1573</v>
      </c>
      <c r="J65" s="1915">
        <v>40</v>
      </c>
      <c r="K65" s="1915">
        <v>30</v>
      </c>
      <c r="L65" s="1915">
        <v>50</v>
      </c>
      <c r="M65" s="1917">
        <v>0.02</v>
      </c>
      <c r="O65" s="1870" t="s">
        <v>1036</v>
      </c>
      <c r="P65" s="1871" t="s">
        <v>1522</v>
      </c>
      <c r="Q65" s="1872">
        <f ca="1">C40+J29</f>
        <v>25138</v>
      </c>
      <c r="R65" s="1872" t="s">
        <v>1523</v>
      </c>
    </row>
    <row r="66" spans="1:18" s="1828" customFormat="1" ht="16.2" thickBot="1">
      <c r="A66" s="1196" t="s">
        <v>1498</v>
      </c>
      <c r="B66" s="1164" t="s">
        <v>1433</v>
      </c>
      <c r="C66" s="24">
        <f ca="1">ROUND(C48*F66,1)</f>
        <v>0</v>
      </c>
      <c r="D66" s="1178" t="s">
        <v>1453</v>
      </c>
      <c r="E66" s="1164" t="s">
        <v>1416</v>
      </c>
      <c r="F66" s="357">
        <f t="shared" ca="1" si="0"/>
        <v>0.01</v>
      </c>
      <c r="O66" s="1870" t="s">
        <v>1037</v>
      </c>
      <c r="P66" s="1871" t="s">
        <v>1552</v>
      </c>
      <c r="Q66" s="1872">
        <f ca="1">L60</f>
        <v>0</v>
      </c>
      <c r="R66" s="1872" t="s">
        <v>1575</v>
      </c>
    </row>
    <row r="67" spans="1:18" s="1828" customFormat="1" ht="24.6" thickBot="1">
      <c r="A67" s="1171" t="s">
        <v>1027</v>
      </c>
      <c r="B67" s="1181" t="s">
        <v>1457</v>
      </c>
      <c r="C67" s="361">
        <f ca="1">C48-C58</f>
        <v>-542</v>
      </c>
      <c r="D67" s="1177" t="s">
        <v>1458</v>
      </c>
      <c r="E67" s="1182"/>
      <c r="F67" s="1183"/>
      <c r="O67" s="1880" t="s">
        <v>1038</v>
      </c>
      <c r="P67" s="1871" t="s">
        <v>1556</v>
      </c>
      <c r="Q67" s="1918">
        <f ca="1">L51</f>
        <v>19825</v>
      </c>
      <c r="R67" s="1872" t="s">
        <v>1576</v>
      </c>
    </row>
    <row r="68" spans="1:18" s="1828" customFormat="1" ht="16.2" thickBot="1">
      <c r="A68" s="1161" t="s">
        <v>1028</v>
      </c>
      <c r="B68" s="1162" t="s">
        <v>1479</v>
      </c>
      <c r="C68" s="346">
        <f ca="1">ROUND(C67*(1-((1+F70)/(1+F68))^F69)/(F68-F70),0)</f>
        <v>-6929</v>
      </c>
      <c r="D68" s="1179" t="s">
        <v>1463</v>
      </c>
      <c r="E68" s="1164" t="s">
        <v>1464</v>
      </c>
      <c r="F68" s="357">
        <f ca="1">F40</f>
        <v>5.5E-2</v>
      </c>
      <c r="O68" s="1880" t="s">
        <v>1039</v>
      </c>
      <c r="P68" s="1919" t="s">
        <v>1577</v>
      </c>
      <c r="Q68" s="1872">
        <f ca="1">ROUND(Q69-Q70*Q71,0)</f>
        <v>1053</v>
      </c>
      <c r="R68" s="1872" t="s">
        <v>1047</v>
      </c>
    </row>
    <row r="69" spans="1:18" s="1828" customFormat="1" ht="13.8" thickBot="1">
      <c r="A69" s="1165"/>
      <c r="B69" s="1166"/>
      <c r="C69" s="351"/>
      <c r="D69" s="1184" t="s">
        <v>1467</v>
      </c>
      <c r="E69" s="1164" t="s">
        <v>1468</v>
      </c>
      <c r="F69" s="379">
        <f ca="1">F41</f>
        <v>22.68</v>
      </c>
      <c r="O69" s="1880" t="s">
        <v>1044</v>
      </c>
      <c r="P69" s="1919" t="s">
        <v>1578</v>
      </c>
      <c r="Q69" s="1872">
        <f ca="1">C39</f>
        <v>1498</v>
      </c>
      <c r="R69" s="1872" t="s">
        <v>1523</v>
      </c>
    </row>
    <row r="70" spans="1:18" s="1828" customFormat="1" ht="13.8" thickBot="1">
      <c r="A70" s="1168"/>
      <c r="B70" s="1169"/>
      <c r="C70" s="355"/>
      <c r="D70" s="1180"/>
      <c r="E70" s="1164" t="s">
        <v>1471</v>
      </c>
      <c r="F70" s="1270"/>
      <c r="O70" s="1880" t="s">
        <v>1045</v>
      </c>
      <c r="P70" s="1919" t="s">
        <v>1579</v>
      </c>
      <c r="Q70" s="1872">
        <f ca="1">C13</f>
        <v>5230</v>
      </c>
      <c r="R70" s="1872" t="s">
        <v>1523</v>
      </c>
    </row>
    <row r="71" spans="1:18" s="1828" customFormat="1" ht="13.8" thickBot="1">
      <c r="A71" s="1185" t="s">
        <v>1029</v>
      </c>
      <c r="B71" s="1186" t="s">
        <v>1481</v>
      </c>
      <c r="C71" s="382">
        <f ca="1">ROUND(C68*10000/F71,0)</f>
        <v>-9446</v>
      </c>
      <c r="D71" s="1187" t="s">
        <v>1482</v>
      </c>
      <c r="E71" s="1188" t="s">
        <v>1483</v>
      </c>
      <c r="F71" s="385">
        <f ca="1">F43</f>
        <v>7335.29</v>
      </c>
      <c r="O71" s="1880" t="s">
        <v>1046</v>
      </c>
      <c r="P71" s="1919" t="s">
        <v>1580</v>
      </c>
      <c r="Q71" s="1883">
        <f ca="1">C76</f>
        <v>8.5000000000000006E-2</v>
      </c>
      <c r="R71" s="1872"/>
    </row>
    <row r="72" spans="1:18" s="1828" customFormat="1" ht="13.8" thickBot="1">
      <c r="B72" s="796"/>
      <c r="C72" s="796"/>
      <c r="O72" s="1880" t="s">
        <v>1040</v>
      </c>
      <c r="P72" s="1871" t="s">
        <v>1558</v>
      </c>
      <c r="Q72" s="1883">
        <f>L52</f>
        <v>0</v>
      </c>
      <c r="R72" s="1872"/>
    </row>
    <row r="73" spans="1:18" ht="16.2" thickBot="1">
      <c r="A73" s="1828"/>
      <c r="B73" s="796"/>
      <c r="C73" s="796"/>
      <c r="D73" s="1828"/>
      <c r="E73" s="1828"/>
      <c r="F73" s="1828"/>
      <c r="O73" s="1880" t="s">
        <v>1041</v>
      </c>
      <c r="P73" s="1871" t="s">
        <v>1561</v>
      </c>
      <c r="Q73" s="1872" t="e">
        <f ca="1">L58</f>
        <v>#DIV/0!</v>
      </c>
      <c r="R73" s="1872" t="s">
        <v>1562</v>
      </c>
    </row>
    <row r="74" spans="1:18" ht="13.8" thickBot="1">
      <c r="A74" s="1828"/>
      <c r="B74" s="317" t="s">
        <v>1581</v>
      </c>
      <c r="C74" s="1921"/>
      <c r="D74" s="1828"/>
      <c r="E74" s="1828"/>
      <c r="F74" s="1828"/>
      <c r="O74" s="1880" t="s">
        <v>1048</v>
      </c>
      <c r="P74" s="1871" t="str">
        <f>K59</f>
        <v>建筑物剩余耐用年限下的土地年期修正系数Kn</v>
      </c>
      <c r="Q74" s="1872" t="e">
        <f ca="1">L59</f>
        <v>#DIV/0!</v>
      </c>
      <c r="R74" s="1872" t="s">
        <v>1563</v>
      </c>
    </row>
    <row r="75" spans="1:18" ht="13.8" thickBot="1">
      <c r="A75" s="1828"/>
      <c r="B75" s="386" t="s">
        <v>1500</v>
      </c>
      <c r="C75" s="387">
        <f ca="1">ROUND(C13*C76,0)</f>
        <v>445</v>
      </c>
      <c r="D75" s="1828"/>
      <c r="E75" s="1828"/>
      <c r="F75" s="1828"/>
      <c r="K75" s="1854"/>
      <c r="L75" s="1828"/>
      <c r="O75" s="1870" t="s">
        <v>1042</v>
      </c>
      <c r="P75" s="1871" t="s">
        <v>1543</v>
      </c>
      <c r="Q75" s="1872">
        <f ca="1">Q65+Q66</f>
        <v>25138</v>
      </c>
      <c r="R75" s="1872" t="s">
        <v>1043</v>
      </c>
    </row>
    <row r="76" spans="1:18">
      <c r="B76" s="388" t="s">
        <v>1501</v>
      </c>
      <c r="C76" s="389">
        <f ca="1">INDIRECT("'数据-取费表'!j"&amp;$G$1)</f>
        <v>8.5000000000000006E-2</v>
      </c>
      <c r="I76" s="1828"/>
      <c r="J76" s="1828"/>
      <c r="K76" s="1854"/>
      <c r="L76" s="1828"/>
    </row>
    <row r="77" spans="1:18">
      <c r="B77" s="390" t="s">
        <v>1502</v>
      </c>
      <c r="C77" s="391"/>
      <c r="I77" s="1828"/>
      <c r="J77" s="1828"/>
      <c r="K77" s="1854"/>
      <c r="L77" s="1828"/>
    </row>
    <row r="78" spans="1:18">
      <c r="B78" s="314" t="s">
        <v>1503</v>
      </c>
      <c r="C78" s="392"/>
    </row>
    <row r="79" spans="1:18">
      <c r="B79" s="386" t="s">
        <v>1504</v>
      </c>
      <c r="C79" s="318">
        <f ca="1">1-C80</f>
        <v>0.70300000000000007</v>
      </c>
    </row>
    <row r="80" spans="1:18">
      <c r="B80" s="386" t="s">
        <v>1505</v>
      </c>
      <c r="C80" s="318">
        <f ca="1">ROUND(C75/C39,3)</f>
        <v>0.29699999999999999</v>
      </c>
    </row>
    <row r="81" spans="2:3">
      <c r="B81" s="314" t="s">
        <v>1506</v>
      </c>
      <c r="C81" s="282"/>
    </row>
    <row r="82" spans="2:3">
      <c r="B82" s="317" t="s">
        <v>1507</v>
      </c>
      <c r="C82" s="319">
        <f ca="1">1-C83</f>
        <v>0.79200000000000004</v>
      </c>
    </row>
    <row r="83" spans="2:3">
      <c r="B83" s="317" t="s">
        <v>1508</v>
      </c>
      <c r="C83" s="318">
        <f ca="1">ROUND(C13/C40,3)</f>
        <v>0.20799999999999999</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0" customWidth="1"/>
    <col min="12" max="12" width="16.33203125" style="302" customWidth="1"/>
    <col min="13" max="13" width="13" style="302" customWidth="1"/>
    <col min="14" max="14" width="13.77734375" style="1828" customWidth="1"/>
    <col min="15" max="15" width="5.109375" style="1828" customWidth="1"/>
    <col min="16" max="16" width="25.77734375" style="1828" customWidth="1"/>
    <col min="17" max="17" width="13.77734375" style="1828" customWidth="1"/>
    <col min="18" max="18" width="20.44140625" style="1828" customWidth="1"/>
    <col min="19" max="19" width="13.21875" style="1828" customWidth="1"/>
    <col min="20" max="37" width="9" style="1828"/>
    <col min="38" max="16384" width="9" style="302"/>
  </cols>
  <sheetData>
    <row r="1" spans="1:37" s="337" customFormat="1" ht="21.6">
      <c r="A1" s="1819" t="s">
        <v>1583</v>
      </c>
      <c r="B1" s="782"/>
      <c r="C1" s="1823" t="s">
        <v>3157</v>
      </c>
      <c r="D1" s="1806" t="s">
        <v>70</v>
      </c>
      <c r="E1" s="1807" t="s">
        <v>1381</v>
      </c>
      <c r="F1" s="1278">
        <f ca="1">J53</f>
        <v>22.68</v>
      </c>
      <c r="G1" s="182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29" t="s">
        <v>1509</v>
      </c>
      <c r="B2" s="1830">
        <f ca="1">C40+J29+L46</f>
        <v>12159</v>
      </c>
      <c r="C2" s="1831" t="s">
        <v>1510</v>
      </c>
      <c r="D2" s="1831"/>
      <c r="E2" s="1832"/>
      <c r="F2" s="1833"/>
      <c r="G2" s="1834"/>
      <c r="H2" s="1826"/>
      <c r="I2" s="1826"/>
      <c r="J2" s="1826"/>
      <c r="K2" s="1827"/>
      <c r="L2" s="1826"/>
      <c r="M2" s="1826"/>
    </row>
    <row r="3" spans="1:37" ht="18" customHeight="1" thickBot="1">
      <c r="A3" s="1835" t="s">
        <v>1511</v>
      </c>
      <c r="B3" s="1836">
        <f ca="1">IF(ISERROR(B2*10000/F43),0,ROUND(B2*10000/F43,0))</f>
        <v>16728</v>
      </c>
      <c r="C3" s="1831" t="s">
        <v>1512</v>
      </c>
      <c r="D3" s="1831"/>
      <c r="E3" s="1832"/>
      <c r="F3" s="1833"/>
      <c r="G3" s="1834"/>
      <c r="H3" s="744" t="s">
        <v>1582</v>
      </c>
      <c r="I3" s="1826"/>
      <c r="J3" s="1826"/>
      <c r="K3" s="1827"/>
      <c r="L3" s="1826"/>
      <c r="M3" s="1826"/>
    </row>
    <row r="4" spans="1:37" ht="18" customHeight="1">
      <c r="A4" s="340" t="s">
        <v>1390</v>
      </c>
      <c r="B4" s="341" t="s">
        <v>1391</v>
      </c>
      <c r="C4" s="341" t="s">
        <v>1392</v>
      </c>
      <c r="D4" s="341" t="s">
        <v>1393</v>
      </c>
      <c r="E4" s="342" t="s">
        <v>1394</v>
      </c>
      <c r="F4" s="343"/>
      <c r="G4" s="1837"/>
      <c r="H4" s="340" t="s">
        <v>1390</v>
      </c>
      <c r="I4" s="341" t="s">
        <v>1391</v>
      </c>
      <c r="J4" s="341" t="s">
        <v>1392</v>
      </c>
      <c r="K4" s="341" t="s">
        <v>1393</v>
      </c>
      <c r="L4" s="342" t="s">
        <v>1394</v>
      </c>
      <c r="M4" s="343"/>
    </row>
    <row r="5" spans="1:37" ht="18" customHeight="1">
      <c r="A5" s="344">
        <v>1</v>
      </c>
      <c r="B5" s="345" t="s">
        <v>1395</v>
      </c>
      <c r="C5" s="1287">
        <f ca="1">C6+C10+C12</f>
        <v>956</v>
      </c>
      <c r="D5" s="1808" t="s">
        <v>1396</v>
      </c>
      <c r="E5" s="1288"/>
      <c r="F5" s="1289"/>
      <c r="G5" s="1837"/>
      <c r="H5" s="344">
        <v>1</v>
      </c>
      <c r="I5" s="345" t="s">
        <v>1395</v>
      </c>
      <c r="J5" s="1287">
        <f ca="1">J6+J10+J12</f>
        <v>0</v>
      </c>
      <c r="K5" s="1808" t="s">
        <v>1396</v>
      </c>
      <c r="L5" s="1288"/>
      <c r="M5" s="1289"/>
    </row>
    <row r="6" spans="1:37" ht="18" customHeight="1">
      <c r="A6" s="1286" t="s">
        <v>1031</v>
      </c>
      <c r="B6" s="3223" t="s">
        <v>1397</v>
      </c>
      <c r="C6" s="1291">
        <f ca="1">ROUND(F6*F8*F7*(1-F9)/10000,0)</f>
        <v>955</v>
      </c>
      <c r="D6" s="164" t="s">
        <v>3022</v>
      </c>
      <c r="E6" s="347" t="s">
        <v>1399</v>
      </c>
      <c r="F6" s="348">
        <f ca="1">INDIRECT("'数据-取费表'!u"&amp;$G$1)</f>
        <v>4</v>
      </c>
      <c r="G6" s="1837"/>
      <c r="H6" s="1286" t="s">
        <v>1031</v>
      </c>
      <c r="I6" s="3223" t="s">
        <v>1397</v>
      </c>
      <c r="J6" s="346">
        <f ca="1">ROUND(M6*M8*M7*(1-M9)/10000,0)</f>
        <v>0</v>
      </c>
      <c r="K6" s="164" t="s">
        <v>3021</v>
      </c>
      <c r="L6" s="347" t="s">
        <v>1399</v>
      </c>
      <c r="M6" s="348">
        <f ca="1">INDIRECT("'数据-取费表'!z"&amp;$G$1)</f>
        <v>0</v>
      </c>
    </row>
    <row r="7" spans="1:37" ht="18" customHeight="1">
      <c r="A7" s="1290"/>
      <c r="B7" s="3224"/>
      <c r="C7" s="1292"/>
      <c r="D7" s="352"/>
      <c r="E7" s="2958" t="s">
        <v>1400</v>
      </c>
      <c r="F7" s="348">
        <f ca="1">IF(INDIRECT("'数据-取费表'!ah"&amp;$G$1)="",INDIRECT("'数据-取费表'!k"&amp;$G$1),INDIRECT("'数据-取费表'!ah"&amp;$G$1))</f>
        <v>7268.6</v>
      </c>
      <c r="G7" s="1837"/>
      <c r="H7" s="349"/>
      <c r="I7" s="3224"/>
      <c r="J7" s="351"/>
      <c r="K7" s="352"/>
      <c r="L7" s="347" t="s">
        <v>1400</v>
      </c>
      <c r="M7" s="348">
        <f ca="1">F7</f>
        <v>7268.6</v>
      </c>
    </row>
    <row r="8" spans="1:37" ht="18" customHeight="1">
      <c r="A8" s="349"/>
      <c r="B8" s="3224"/>
      <c r="C8" s="351"/>
      <c r="D8" s="352"/>
      <c r="E8" s="347" t="s">
        <v>1401</v>
      </c>
      <c r="F8" s="348">
        <f ca="1">INDIRECT("'数据-取费表'!ai"&amp;$G$1)</f>
        <v>365</v>
      </c>
      <c r="G8" s="1837"/>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37"/>
      <c r="H9" s="349"/>
      <c r="I9" s="3225"/>
      <c r="J9" s="351"/>
      <c r="K9" s="352"/>
      <c r="L9" s="358" t="s">
        <v>1402</v>
      </c>
      <c r="M9" s="359">
        <f ca="1">INDIRECT("'数据-取费表'!ab"&amp;$G$1)</f>
        <v>0</v>
      </c>
    </row>
    <row r="10" spans="1:37" ht="18" customHeight="1">
      <c r="A10" s="1286" t="s">
        <v>1035</v>
      </c>
      <c r="B10" s="1809" t="s">
        <v>1403</v>
      </c>
      <c r="C10" s="361">
        <f ca="1">ROUND(IF(F10="押一",C6/12*F11,IF(F10="押二",C6/12*2*F11,IF(F10="押三",C6/12*3*F11,C11*F11))),0)</f>
        <v>1</v>
      </c>
      <c r="D10" s="1810" t="s">
        <v>3030</v>
      </c>
      <c r="E10" s="358" t="s">
        <v>1404</v>
      </c>
      <c r="F10" s="1361" t="s">
        <v>3153</v>
      </c>
      <c r="G10" s="1837"/>
      <c r="H10" s="1286" t="s">
        <v>1035</v>
      </c>
      <c r="I10" s="1809" t="s">
        <v>1403</v>
      </c>
      <c r="J10" s="346">
        <f ca="1">ROUND(IF(M10="押一",J6/12*M11,IF(M10="押二",J6/12*2*M11,IF(M10="押三",J6/12*3*M11,J11*M11))),0)</f>
        <v>0</v>
      </c>
      <c r="K10" s="1810" t="s">
        <v>3030</v>
      </c>
      <c r="L10" s="358" t="s">
        <v>1404</v>
      </c>
      <c r="M10" s="1361" t="s">
        <v>1405</v>
      </c>
    </row>
    <row r="11" spans="1:37" ht="18" customHeight="1">
      <c r="A11" s="353"/>
      <c r="B11" s="1811" t="s">
        <v>1382</v>
      </c>
      <c r="C11" s="1173"/>
      <c r="D11" s="1812"/>
      <c r="E11" s="358" t="s">
        <v>1406</v>
      </c>
      <c r="F11" s="359">
        <f ca="1">'数据-取费表'!B39</f>
        <v>1.4999999999999999E-2</v>
      </c>
      <c r="G11" s="1837"/>
      <c r="H11" s="1294"/>
      <c r="I11" s="1811" t="s">
        <v>1382</v>
      </c>
      <c r="J11" s="1173"/>
      <c r="K11" s="748"/>
      <c r="L11" s="358"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5">
        <f ca="1">ROUND(C29*F13,0)</f>
        <v>5182</v>
      </c>
      <c r="D13" s="1326" t="s">
        <v>1409</v>
      </c>
      <c r="E13" s="1326" t="s">
        <v>1410</v>
      </c>
      <c r="F13" s="1327">
        <f ca="1">INDIRECT("'数据-取费表'!y"&amp;$G$1)</f>
        <v>0.97</v>
      </c>
      <c r="G13" s="1837"/>
      <c r="H13" s="1324">
        <v>2</v>
      </c>
      <c r="I13" s="1325" t="s">
        <v>1408</v>
      </c>
      <c r="J13" s="1285">
        <f ca="1">ROUND(J14*J15,0)</f>
        <v>0</v>
      </c>
      <c r="K13" s="1332" t="s">
        <v>1409</v>
      </c>
      <c r="L13" s="1838"/>
      <c r="M13" s="1839"/>
    </row>
    <row r="14" spans="1:37" ht="18" customHeight="1">
      <c r="A14" s="1196" t="s">
        <v>1030</v>
      </c>
      <c r="B14" s="347" t="s">
        <v>1411</v>
      </c>
      <c r="C14" s="363">
        <f ca="1">INDIRECT("'数据-取费表'!m"&amp;$G$1)+INDIRECT("'数据-取费表'!t"&amp;$G$1)</f>
        <v>3634</v>
      </c>
      <c r="D14" s="2961" t="s">
        <v>1412</v>
      </c>
      <c r="E14" s="2960"/>
      <c r="F14" s="364"/>
      <c r="G14" s="1837"/>
      <c r="H14" s="1196" t="s">
        <v>1031</v>
      </c>
      <c r="I14" s="347" t="s">
        <v>1413</v>
      </c>
      <c r="J14" s="24">
        <f ca="1">C29</f>
        <v>5342</v>
      </c>
      <c r="K14" s="2957"/>
      <c r="L14" s="974"/>
      <c r="M14" s="975"/>
    </row>
    <row r="15" spans="1:37" s="1844" customFormat="1" ht="18" customHeight="1" thickBot="1">
      <c r="A15" s="1196" t="s">
        <v>1032</v>
      </c>
      <c r="B15" s="347" t="s">
        <v>1414</v>
      </c>
      <c r="C15" s="24">
        <f ca="1">ROUND(C14*F15,0)</f>
        <v>182</v>
      </c>
      <c r="D15" s="365" t="s">
        <v>1415</v>
      </c>
      <c r="E15" s="365" t="s">
        <v>1416</v>
      </c>
      <c r="F15" s="366">
        <f>'数据-取费表'!B33</f>
        <v>0.05</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7"/>
      <c r="H16" s="1324" t="s">
        <v>1026</v>
      </c>
      <c r="I16" s="1325" t="s">
        <v>1418</v>
      </c>
      <c r="J16" s="355">
        <f ca="1">ROUND(J17+J22+J23+J24,0)</f>
        <v>81</v>
      </c>
      <c r="K16" s="1332" t="s">
        <v>1419</v>
      </c>
      <c r="L16" s="2963"/>
      <c r="M16" s="1289"/>
    </row>
    <row r="17" spans="1:37" s="1844" customFormat="1" ht="18" customHeight="1">
      <c r="A17" s="1196" t="s">
        <v>1384</v>
      </c>
      <c r="B17" s="347" t="s">
        <v>1420</v>
      </c>
      <c r="C17" s="24">
        <f ca="1">ROUND(F17*(F43+INDIRECT("'数据-取费表'!S"&amp;$G$1))/10000,0)</f>
        <v>145</v>
      </c>
      <c r="D17" s="347" t="s">
        <v>1421</v>
      </c>
      <c r="E17" s="347" t="s">
        <v>1422</v>
      </c>
      <c r="F17" s="26">
        <f>'数据-取费表'!B35</f>
        <v>200</v>
      </c>
      <c r="G17" s="1840"/>
      <c r="H17" s="1196" t="s">
        <v>1031</v>
      </c>
      <c r="I17" s="347" t="s">
        <v>1423</v>
      </c>
      <c r="J17" s="24">
        <f ca="1">ROUND(IF(项目基本情况!B11="自然人",J6*M17/(1+'数据-取费表'!C42),J18+J19+J20),1)</f>
        <v>0.7</v>
      </c>
      <c r="K17" s="2961" t="s">
        <v>1424</v>
      </c>
      <c r="L17" s="2962" t="s">
        <v>1425</v>
      </c>
      <c r="M17" s="368">
        <f ca="1">IF(项目基本情况!B11="企业","",IF(INDIRECT("'数据-取费表'!c"&amp;$G$1)="住宅",5%,IF(M6*M7*M8/12/(1+'数据-取费表'!C42)&gt;20000,12%,7%)))</f>
        <v>7.0000000000000007E-2</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7" t="s">
        <v>1426</v>
      </c>
      <c r="C18" s="24">
        <f ca="1">ROUND(C14*F18,0)</f>
        <v>55</v>
      </c>
      <c r="D18" s="347" t="s">
        <v>1415</v>
      </c>
      <c r="E18" s="347" t="s">
        <v>1416</v>
      </c>
      <c r="F18" s="367">
        <f>'数据-取费表'!B36</f>
        <v>1.4999999999999999E-2</v>
      </c>
      <c r="G18" s="1840"/>
      <c r="H18" s="1196" t="s">
        <v>1030</v>
      </c>
      <c r="I18" s="347" t="s">
        <v>1427</v>
      </c>
      <c r="J18" s="24">
        <f ca="1">ROUND(J6*M18/(1+'数据-取费表'!C42),2)</f>
        <v>0</v>
      </c>
      <c r="K18" s="2962" t="s">
        <v>1428</v>
      </c>
      <c r="L18" s="347" t="s">
        <v>1416</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7" t="s">
        <v>1429</v>
      </c>
      <c r="C19" s="24">
        <f ca="1">SUM(C14:C18)</f>
        <v>4016</v>
      </c>
      <c r="D19" s="140" t="s">
        <v>1430</v>
      </c>
      <c r="E19" s="2956"/>
      <c r="F19" s="26"/>
      <c r="G19" s="1837"/>
      <c r="H19" s="1196" t="s">
        <v>1032</v>
      </c>
      <c r="I19" s="347" t="s">
        <v>1431</v>
      </c>
      <c r="J19" s="24">
        <f ca="1">IF(K19="按租金收入计税",ROUND(J6*M19/(1+'数据-取费表'!C42),2),ROUND(C29*M19*0.7,2))</f>
        <v>0</v>
      </c>
      <c r="K19" s="1814" t="s">
        <v>3154</v>
      </c>
      <c r="L19" s="347" t="s">
        <v>1416</v>
      </c>
      <c r="M19" s="367">
        <f>IF(K19="按租金收入计税",'数据-取费表'!B51,'数据-取费表'!B50)</f>
        <v>0.12</v>
      </c>
    </row>
    <row r="20" spans="1:37" s="1844" customFormat="1" ht="18" customHeight="1">
      <c r="A20" s="1196" t="s">
        <v>1035</v>
      </c>
      <c r="B20" s="347" t="s">
        <v>1433</v>
      </c>
      <c r="C20" s="24">
        <f ca="1">ROUND(C19*F20,0)</f>
        <v>100</v>
      </c>
      <c r="D20" s="369" t="s">
        <v>1434</v>
      </c>
      <c r="E20" s="347" t="s">
        <v>1416</v>
      </c>
      <c r="F20" s="367">
        <f>'数据-取费表'!B37</f>
        <v>2.5000000000000001E-2</v>
      </c>
      <c r="G20" s="1840"/>
      <c r="H20" s="1196" t="s">
        <v>1383</v>
      </c>
      <c r="I20" s="164" t="s">
        <v>1435</v>
      </c>
      <c r="J20" s="25">
        <f ca="1">ROUND(M20*M21/10000,2)</f>
        <v>0.65</v>
      </c>
      <c r="K20" s="370" t="s">
        <v>1436</v>
      </c>
      <c r="L20" s="347" t="s">
        <v>1437</v>
      </c>
      <c r="M20" s="371">
        <f>'数据-取费表'!B52</f>
        <v>3</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7" t="s">
        <v>1438</v>
      </c>
      <c r="C21" s="24" t="s">
        <v>18</v>
      </c>
      <c r="D21" s="369" t="s">
        <v>1439</v>
      </c>
      <c r="E21" s="347" t="s">
        <v>1440</v>
      </c>
      <c r="F21" s="367">
        <f>'数据-取费表'!B38</f>
        <v>0.02</v>
      </c>
      <c r="G21" s="1840"/>
      <c r="H21" s="372"/>
      <c r="I21" s="356"/>
      <c r="J21" s="29"/>
      <c r="K21" s="373"/>
      <c r="L21" s="347" t="s">
        <v>1441</v>
      </c>
      <c r="M21" s="348">
        <f ca="1">INDIRECT("'数据-取费表'!r"&amp;$G$1)</f>
        <v>2165.91</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956"/>
      <c r="F22" s="26"/>
      <c r="G22" s="1837"/>
      <c r="H22" s="1196" t="s">
        <v>1035</v>
      </c>
      <c r="I22" s="347" t="s">
        <v>1443</v>
      </c>
      <c r="J22" s="24">
        <f ca="1">ROUND(J14*M22,1)</f>
        <v>80.099999999999994</v>
      </c>
      <c r="K22" s="2962" t="s">
        <v>1444</v>
      </c>
      <c r="L22" s="347" t="s">
        <v>1416</v>
      </c>
      <c r="M22" s="374">
        <f ca="1">INDIRECT("'数据-取费表'!Ak"&amp;$G$1)</f>
        <v>1.4999999999999999E-2</v>
      </c>
    </row>
    <row r="23" spans="1:37" s="1844" customFormat="1" ht="18" customHeight="1">
      <c r="A23" s="1196" t="s">
        <v>1030</v>
      </c>
      <c r="B23" s="347" t="s">
        <v>1445</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1446</v>
      </c>
      <c r="F23" s="371">
        <f>'数据-取费表'!B20</f>
        <v>2</v>
      </c>
      <c r="G23" s="1840"/>
      <c r="H23" s="1196" t="s">
        <v>1071</v>
      </c>
      <c r="I23" s="347" t="s">
        <v>1447</v>
      </c>
      <c r="J23" s="24">
        <f ca="1">ROUND(J13*M23,1)</f>
        <v>0</v>
      </c>
      <c r="K23" s="2962" t="s">
        <v>1448</v>
      </c>
      <c r="L23" s="347" t="s">
        <v>1416</v>
      </c>
      <c r="M23" s="376">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0"/>
      <c r="H24" s="1334" t="s">
        <v>1386</v>
      </c>
      <c r="I24" s="1335" t="s">
        <v>1433</v>
      </c>
      <c r="J24" s="1336">
        <f ca="1">ROUND(J5*M24,1)</f>
        <v>0</v>
      </c>
      <c r="K24" s="1337" t="s">
        <v>1453</v>
      </c>
      <c r="L24" s="1335" t="s">
        <v>1416</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7" t="s">
        <v>1455</v>
      </c>
      <c r="C25" s="24"/>
      <c r="D25" s="140" t="s">
        <v>1456</v>
      </c>
      <c r="E25" s="2956"/>
      <c r="F25" s="26"/>
      <c r="G25" s="1837"/>
      <c r="H25" s="1324" t="s">
        <v>1027</v>
      </c>
      <c r="I25" s="1339" t="s">
        <v>1457</v>
      </c>
      <c r="J25" s="355">
        <f ca="1">J5-J16</f>
        <v>-81</v>
      </c>
      <c r="K25" s="1340" t="s">
        <v>1458</v>
      </c>
      <c r="L25" s="1341"/>
      <c r="M25" s="1342"/>
    </row>
    <row r="26" spans="1:37">
      <c r="A26" s="1196" t="s">
        <v>1030</v>
      </c>
      <c r="B26" s="347" t="s">
        <v>1459</v>
      </c>
      <c r="C26" s="24">
        <f ca="1">ROUND((C19+C20)*F26,0)</f>
        <v>617</v>
      </c>
      <c r="D26" s="369" t="s">
        <v>1460</v>
      </c>
      <c r="E26" s="358" t="s">
        <v>1461</v>
      </c>
      <c r="F26" s="357">
        <f ca="1">INDIRECT("'数据-取费表'!q"&amp;$G$1)</f>
        <v>0.15</v>
      </c>
      <c r="G26" s="1837"/>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3.0000000000000001E-3</v>
      </c>
      <c r="D27" s="369" t="s">
        <v>1466</v>
      </c>
      <c r="E27" s="365"/>
      <c r="F27" s="366"/>
      <c r="G27" s="1837"/>
      <c r="H27" s="349"/>
      <c r="I27" s="350"/>
      <c r="J27" s="351"/>
      <c r="K27" s="378" t="s">
        <v>1467</v>
      </c>
      <c r="L27" s="347" t="s">
        <v>1468</v>
      </c>
      <c r="M27" s="379">
        <f ca="1">INDIRECT("'数据-取费表'!ag"&amp;$G$1)</f>
        <v>0</v>
      </c>
    </row>
    <row r="28" spans="1:37" s="1844" customFormat="1" ht="18" customHeight="1">
      <c r="A28" s="1196" t="s">
        <v>1033</v>
      </c>
      <c r="B28" s="347" t="s">
        <v>1469</v>
      </c>
      <c r="C28" s="24">
        <f>ROUND(F28/(1+'数据-取费表'!C42),4)</f>
        <v>5.33E-2</v>
      </c>
      <c r="D28" s="369" t="s">
        <v>1470</v>
      </c>
      <c r="E28" s="347" t="s">
        <v>1416</v>
      </c>
      <c r="F28" s="367">
        <f>'数据-取费表'!B41</f>
        <v>5.6000000000000001E-2</v>
      </c>
      <c r="G28" s="1840"/>
      <c r="H28" s="353"/>
      <c r="I28" s="354"/>
      <c r="J28" s="355"/>
      <c r="K28" s="373"/>
      <c r="L28" s="347" t="s">
        <v>1471</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5342</v>
      </c>
      <c r="D29" s="1337"/>
      <c r="E29" s="1335"/>
      <c r="F29" s="1338"/>
      <c r="G29" s="1840"/>
      <c r="H29" s="380" t="s">
        <v>1029</v>
      </c>
      <c r="I29" s="381" t="s">
        <v>1473</v>
      </c>
      <c r="J29" s="382">
        <f ca="1">ROUND(J26/(1+F40)^F41,0)</f>
        <v>0</v>
      </c>
      <c r="K29" s="383" t="s">
        <v>1474</v>
      </c>
      <c r="L29" s="384"/>
      <c r="M29" s="385">
        <f ca="1">INDIRECT("'数据-取费表'!k"&amp;$G$1)</f>
        <v>7268.6</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5">
        <f ca="1">ROUND(C31+C36+C37+C38,0)</f>
        <v>258</v>
      </c>
      <c r="D30" s="1332" t="s">
        <v>1419</v>
      </c>
      <c r="E30" s="2963"/>
      <c r="F30" s="1289"/>
      <c r="G30" s="1837"/>
      <c r="H30" s="745"/>
      <c r="I30" s="746"/>
      <c r="J30" s="747"/>
      <c r="K30" s="748"/>
      <c r="L30" s="749"/>
      <c r="M30" s="750"/>
    </row>
    <row r="31" spans="1:37" ht="18" customHeight="1">
      <c r="A31" s="1196" t="s">
        <v>1031</v>
      </c>
      <c r="B31" s="347" t="s">
        <v>1423</v>
      </c>
      <c r="C31" s="24">
        <f ca="1">ROUND(IF(项目基本情况!B11="自然人",C6*F31/(1+'数据-取费表'!C42),C32+C33+C34),1)</f>
        <v>160.69999999999999</v>
      </c>
      <c r="D31" s="2961" t="s">
        <v>1424</v>
      </c>
      <c r="E31" s="2962" t="s">
        <v>1475</v>
      </c>
      <c r="F31" s="368">
        <f ca="1">IF(项目基本情况!B11="企业","",IF(INDIRECT("'数据-取费表'!c"&amp;$G$1)="住宅",5%,IF(F6*F7*F8/12/(1+'数据-取费表'!C42)&gt;20000,12%,7%)))</f>
        <v>0.12</v>
      </c>
      <c r="G31" s="1837"/>
      <c r="H31" s="745"/>
      <c r="I31" s="746"/>
      <c r="J31" s="747"/>
      <c r="K31" s="748"/>
      <c r="L31" s="749"/>
      <c r="M31" s="750"/>
    </row>
    <row r="32" spans="1:37" ht="18" customHeight="1">
      <c r="A32" s="1196" t="s">
        <v>1030</v>
      </c>
      <c r="B32" s="347" t="s">
        <v>1427</v>
      </c>
      <c r="C32" s="24">
        <f ca="1">IF(项目基本情况!B11="自然人","——",ROUND(C6*F32/(1+'数据-取费表'!C42),2))</f>
        <v>50.93</v>
      </c>
      <c r="D32" s="2962" t="s">
        <v>1428</v>
      </c>
      <c r="E32" s="347" t="s">
        <v>1416</v>
      </c>
      <c r="F32" s="377">
        <f>'数据-取费表'!B41</f>
        <v>5.6000000000000001E-2</v>
      </c>
      <c r="G32" s="1837"/>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109.14</v>
      </c>
      <c r="D33" s="1814" t="s">
        <v>3154</v>
      </c>
      <c r="E33" s="347" t="s">
        <v>1416</v>
      </c>
      <c r="F33" s="367">
        <f>IF(D33="按票据","——",IF(D33="按租金收入计税",'数据-取费表'!B51,'数据-取费表'!B50))</f>
        <v>0.12</v>
      </c>
      <c r="G33" s="1837"/>
      <c r="H33" s="1845"/>
      <c r="I33" s="1846"/>
      <c r="J33" s="1847"/>
      <c r="K33" s="1848"/>
      <c r="L33" s="1845"/>
      <c r="M33" s="1845"/>
    </row>
    <row r="34" spans="1:18" ht="18" customHeight="1">
      <c r="A34" s="1286" t="s">
        <v>1383</v>
      </c>
      <c r="B34" s="164" t="s">
        <v>1435</v>
      </c>
      <c r="C34" s="25">
        <f ca="1">IF(项目基本情况!B11="自然人","——",ROUND(F34*F35/10000,2))</f>
        <v>0.65</v>
      </c>
      <c r="D34" s="370" t="s">
        <v>1436</v>
      </c>
      <c r="E34" s="347" t="s">
        <v>1437</v>
      </c>
      <c r="F34" s="371">
        <f>'数据-取费表'!B52</f>
        <v>3</v>
      </c>
      <c r="G34" s="1837"/>
      <c r="H34" s="745"/>
      <c r="I34" s="1846"/>
      <c r="J34" s="1847"/>
      <c r="K34" s="1849"/>
      <c r="L34" s="1850"/>
      <c r="M34" s="1850"/>
    </row>
    <row r="35" spans="1:18" ht="18" customHeight="1">
      <c r="A35" s="1348"/>
      <c r="B35" s="1346"/>
      <c r="C35" s="29"/>
      <c r="D35" s="373"/>
      <c r="E35" s="347" t="s">
        <v>1441</v>
      </c>
      <c r="F35" s="348">
        <f ca="1">INDIRECT("'数据-取费表'!r"&amp;$G$1)</f>
        <v>2165.91</v>
      </c>
      <c r="G35" s="1837"/>
      <c r="H35" s="745"/>
      <c r="I35" s="1846"/>
      <c r="J35" s="1847"/>
      <c r="K35" s="1848"/>
      <c r="L35" s="1845"/>
      <c r="M35" s="1845"/>
    </row>
    <row r="36" spans="1:18" ht="18" customHeight="1">
      <c r="A36" s="1347" t="s">
        <v>1035</v>
      </c>
      <c r="B36" s="347" t="s">
        <v>1443</v>
      </c>
      <c r="C36" s="24">
        <f ca="1">ROUND(C29*F36,1)</f>
        <v>80.099999999999994</v>
      </c>
      <c r="D36" s="2962" t="s">
        <v>1476</v>
      </c>
      <c r="E36" s="347" t="s">
        <v>1416</v>
      </c>
      <c r="F36" s="374">
        <f ca="1">INDIRECT("'数据-取费表'!Ak"&amp;$G$1)</f>
        <v>1.4999999999999999E-2</v>
      </c>
      <c r="G36" s="1837"/>
      <c r="H36" s="1845"/>
      <c r="I36" s="1846"/>
      <c r="J36" s="1847"/>
      <c r="K36" s="751"/>
      <c r="L36" s="1845"/>
      <c r="M36" s="1845"/>
    </row>
    <row r="37" spans="1:18" ht="18" customHeight="1">
      <c r="A37" s="1196" t="s">
        <v>1071</v>
      </c>
      <c r="B37" s="347" t="s">
        <v>1447</v>
      </c>
      <c r="C37" s="24">
        <f ca="1">ROUND(C13*F37,1)</f>
        <v>7.8</v>
      </c>
      <c r="D37" s="2962" t="s">
        <v>1448</v>
      </c>
      <c r="E37" s="347" t="s">
        <v>1416</v>
      </c>
      <c r="F37" s="376">
        <f ca="1">INDIRECT("'数据-取费表'!Al"&amp;$G$1)</f>
        <v>1.5E-3</v>
      </c>
      <c r="G37" s="1837"/>
      <c r="H37" s="1845"/>
      <c r="I37" s="1846"/>
      <c r="J37" s="1847"/>
      <c r="K37" s="751"/>
      <c r="L37" s="1845"/>
      <c r="M37" s="1845"/>
    </row>
    <row r="38" spans="1:18" ht="18" customHeight="1" thickBot="1">
      <c r="A38" s="1334" t="s">
        <v>1386</v>
      </c>
      <c r="B38" s="1335" t="s">
        <v>1433</v>
      </c>
      <c r="C38" s="1336">
        <f ca="1">ROUND(C5*F38,1)</f>
        <v>9.6</v>
      </c>
      <c r="D38" s="1337" t="s">
        <v>1453</v>
      </c>
      <c r="E38" s="1335" t="s">
        <v>1416</v>
      </c>
      <c r="F38" s="1331">
        <f ca="1">INDIRECT("'数据-取费表'!Am"&amp;$G$1)</f>
        <v>0.01</v>
      </c>
      <c r="G38" s="1837"/>
      <c r="H38" s="1845"/>
      <c r="I38" s="1846"/>
      <c r="J38" s="1847"/>
      <c r="K38" s="1851"/>
      <c r="L38" s="1845"/>
      <c r="M38" s="1845"/>
    </row>
    <row r="39" spans="1:18" ht="24.6" customHeight="1" thickTop="1">
      <c r="A39" s="1324" t="s">
        <v>1027</v>
      </c>
      <c r="B39" s="1339" t="s">
        <v>1457</v>
      </c>
      <c r="C39" s="355">
        <f ca="1">C5-C30</f>
        <v>698</v>
      </c>
      <c r="D39" s="1340" t="s">
        <v>1458</v>
      </c>
      <c r="E39" s="1341"/>
      <c r="F39" s="1342"/>
      <c r="G39" s="1837"/>
      <c r="H39" s="1845"/>
      <c r="I39" s="1846"/>
      <c r="J39" s="1847"/>
      <c r="K39" s="1851"/>
      <c r="L39" s="1845"/>
      <c r="M39" s="1845"/>
    </row>
    <row r="40" spans="1:18" ht="18" customHeight="1">
      <c r="A40" s="344" t="s">
        <v>1028</v>
      </c>
      <c r="B40" s="345" t="s">
        <v>1479</v>
      </c>
      <c r="C40" s="346">
        <f ca="1">ROUND(C39*(1-((1+F42)/(1+F40))^F41)/(F40-F42),0)</f>
        <v>11713</v>
      </c>
      <c r="D40" s="370" t="s">
        <v>1463</v>
      </c>
      <c r="E40" s="347" t="s">
        <v>1464</v>
      </c>
      <c r="F40" s="357">
        <f ca="1">INDIRECT("'数据-取费表'!I"&amp;$G$1)</f>
        <v>5.5E-2</v>
      </c>
      <c r="G40" s="1837"/>
      <c r="H40" s="1825"/>
      <c r="I40" s="1846"/>
      <c r="J40" s="1847"/>
      <c r="K40" s="1851"/>
      <c r="L40" s="1825"/>
      <c r="M40" s="1825"/>
    </row>
    <row r="41" spans="1:18" ht="18" customHeight="1">
      <c r="A41" s="349"/>
      <c r="B41" s="350"/>
      <c r="C41" s="351"/>
      <c r="D41" s="378" t="s">
        <v>1480</v>
      </c>
      <c r="E41" s="347" t="s">
        <v>1468</v>
      </c>
      <c r="F41" s="379">
        <f ca="1">IF(INDIRECT("'数据-取费表'!af"&amp;$G$1)=0,INDIRECT("'数据-取费表'!ae"&amp;$G$1),INDIRECT("'数据-取费表'!af"&amp;$G$1))</f>
        <v>22.68</v>
      </c>
      <c r="G41" s="1837"/>
      <c r="H41" s="732"/>
      <c r="I41" s="1846"/>
      <c r="J41" s="1847"/>
      <c r="K41" s="751"/>
      <c r="L41" s="732"/>
      <c r="M41" s="732"/>
    </row>
    <row r="42" spans="1:18" ht="18" customHeight="1">
      <c r="A42" s="353"/>
      <c r="B42" s="354"/>
      <c r="C42" s="355"/>
      <c r="D42" s="373"/>
      <c r="E42" s="347" t="s">
        <v>1471</v>
      </c>
      <c r="F42" s="357">
        <f ca="1">INDIRECT("'数据-取费表'!v"&amp;$G$1)</f>
        <v>0.03</v>
      </c>
      <c r="G42" s="1837"/>
      <c r="H42" s="732"/>
      <c r="I42" s="1846"/>
      <c r="J42" s="1847"/>
      <c r="K42" s="751"/>
      <c r="L42" s="732"/>
      <c r="M42" s="732"/>
    </row>
    <row r="43" spans="1:18" ht="18" customHeight="1" thickBot="1">
      <c r="A43" s="380" t="s">
        <v>1029</v>
      </c>
      <c r="B43" s="381" t="s">
        <v>1481</v>
      </c>
      <c r="C43" s="382">
        <f ca="1">ROUND(C40*10000/F43,0)</f>
        <v>16115</v>
      </c>
      <c r="D43" s="383" t="s">
        <v>1482</v>
      </c>
      <c r="E43" s="384" t="s">
        <v>1483</v>
      </c>
      <c r="F43" s="385">
        <f ca="1">INDIRECT("'数据-取费表'!k"&amp;$G$1)</f>
        <v>7268.6</v>
      </c>
      <c r="G43" s="1837"/>
      <c r="H43" s="732"/>
      <c r="I43" s="732"/>
      <c r="J43" s="732"/>
      <c r="K43" s="751"/>
      <c r="L43" s="732"/>
      <c r="M43" s="732"/>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6"/>
      <c r="O45" s="1855" t="s">
        <v>1513</v>
      </c>
      <c r="P45" s="1825"/>
      <c r="Q45" s="1825"/>
      <c r="R45" s="1825"/>
    </row>
    <row r="46" spans="1:18" s="1828" customFormat="1" ht="13.8" thickBot="1">
      <c r="A46" s="1856" t="s">
        <v>1514</v>
      </c>
      <c r="C46" s="1857">
        <f ca="1">C68-C40</f>
        <v>-18578</v>
      </c>
      <c r="D46" s="1858" t="str">
        <f>C2</f>
        <v>万元</v>
      </c>
      <c r="E46" s="1852"/>
      <c r="F46" s="1852"/>
      <c r="I46" s="1859" t="s">
        <v>1515</v>
      </c>
      <c r="J46" s="1860"/>
      <c r="K46" s="1861"/>
      <c r="L46" s="1862">
        <f ca="1">IF(M47="住宅",0,IF(L48&gt;J51,L60,J60))</f>
        <v>446</v>
      </c>
      <c r="O46" s="1863" t="s">
        <v>1516</v>
      </c>
      <c r="P46" s="1864" t="s">
        <v>1517</v>
      </c>
      <c r="Q46" s="1865" t="s">
        <v>1518</v>
      </c>
      <c r="R46" s="1865" t="s">
        <v>1519</v>
      </c>
    </row>
    <row r="47" spans="1:18" s="1828" customFormat="1" ht="13.8" thickBot="1">
      <c r="A47" s="1160" t="s">
        <v>1390</v>
      </c>
      <c r="B47" s="1192" t="s">
        <v>1391</v>
      </c>
      <c r="C47" s="1362" t="s">
        <v>1392</v>
      </c>
      <c r="D47" s="1192" t="s">
        <v>1393</v>
      </c>
      <c r="E47" s="1274" t="s">
        <v>1394</v>
      </c>
      <c r="F47" s="1275"/>
      <c r="G47" s="792"/>
      <c r="I47" s="1866" t="s">
        <v>1520</v>
      </c>
      <c r="J47" s="1867" t="s">
        <v>4205</v>
      </c>
      <c r="K47" s="1868" t="s">
        <v>1521</v>
      </c>
      <c r="L47" s="1869">
        <f ca="1">INDIRECT("'数据-取费表'!d"&amp;$G$1)</f>
        <v>40</v>
      </c>
      <c r="M47" s="1824" t="str">
        <f>IF(ISNUMBER(FIND("住宅",C1)),"住宅","非住宅")</f>
        <v>非住宅</v>
      </c>
      <c r="O47" s="1870" t="s">
        <v>1036</v>
      </c>
      <c r="P47" s="1871" t="s">
        <v>1522</v>
      </c>
      <c r="Q47" s="1872">
        <f ca="1">C40+J29</f>
        <v>11713</v>
      </c>
      <c r="R47" s="1872" t="s">
        <v>1523</v>
      </c>
    </row>
    <row r="48" spans="1:18" s="1828" customFormat="1" ht="40.200000000000003" thickBot="1">
      <c r="A48" s="1355" t="s">
        <v>1131</v>
      </c>
      <c r="B48" s="345" t="s">
        <v>1395</v>
      </c>
      <c r="C48" s="2955">
        <f ca="1">C49+C53+C55</f>
        <v>0</v>
      </c>
      <c r="D48" s="1357"/>
      <c r="E48" s="1358"/>
      <c r="F48" s="1176"/>
      <c r="G48" s="792"/>
      <c r="H48" s="793"/>
      <c r="I48" s="1873" t="s">
        <v>1524</v>
      </c>
      <c r="J48" s="1874" t="s">
        <v>4206</v>
      </c>
      <c r="K48" s="1875" t="s">
        <v>1525</v>
      </c>
      <c r="L48" s="1876">
        <f ca="1">INDIRECT("'数据-取费表'!f"&amp;$G$1)</f>
        <v>22.68</v>
      </c>
      <c r="O48" s="1870" t="s">
        <v>1037</v>
      </c>
      <c r="P48" s="1871" t="s">
        <v>1526</v>
      </c>
      <c r="Q48" s="1872">
        <f ca="1">J60</f>
        <v>446</v>
      </c>
      <c r="R48" s="1872" t="s">
        <v>1527</v>
      </c>
    </row>
    <row r="49" spans="1:18" s="1828" customFormat="1" ht="13.8" thickBot="1">
      <c r="A49" s="1189" t="s">
        <v>1132</v>
      </c>
      <c r="B49" s="1815" t="s">
        <v>1484</v>
      </c>
      <c r="C49" s="1359">
        <f ca="1">ROUND(F49*F51*F50*(1-F52)/10000,0)</f>
        <v>0</v>
      </c>
      <c r="D49" s="1271" t="s">
        <v>3021</v>
      </c>
      <c r="E49" s="1816" t="s">
        <v>1485</v>
      </c>
      <c r="F49" s="1276"/>
      <c r="G49" s="1877"/>
      <c r="H49" s="793"/>
      <c r="I49" s="1873" t="s">
        <v>1528</v>
      </c>
      <c r="J49" s="1878">
        <v>2018</v>
      </c>
      <c r="K49" s="1875" t="s">
        <v>1529</v>
      </c>
      <c r="L49" s="1879"/>
      <c r="O49" s="1880" t="s">
        <v>1038</v>
      </c>
      <c r="P49" s="1871" t="s">
        <v>1530</v>
      </c>
      <c r="Q49" s="1872">
        <f ca="1">C29</f>
        <v>5342</v>
      </c>
      <c r="R49" s="1872" t="s">
        <v>1523</v>
      </c>
    </row>
    <row r="50" spans="1:18" s="1828" customFormat="1" ht="13.8" thickBot="1">
      <c r="A50" s="1190"/>
      <c r="B50" s="1193"/>
      <c r="C50" s="1363"/>
      <c r="D50" s="1167"/>
      <c r="E50" s="1272" t="s">
        <v>1400</v>
      </c>
      <c r="F50" s="1273">
        <f ca="1">F7</f>
        <v>7268.6</v>
      </c>
      <c r="H50" s="793"/>
      <c r="I50" s="1873" t="s">
        <v>1531</v>
      </c>
      <c r="J50" s="1881">
        <f>SUMPRODUCT((I63:I65=J47)*(J62:L62=J48)*(J63:L65))</f>
        <v>60</v>
      </c>
      <c r="K50" s="1875" t="s">
        <v>1532</v>
      </c>
      <c r="L50" s="1879"/>
      <c r="M50" s="1882"/>
      <c r="O50" s="1880" t="s">
        <v>1039</v>
      </c>
      <c r="P50" s="1871" t="s">
        <v>1533</v>
      </c>
      <c r="Q50" s="1883">
        <f ca="1">J58</f>
        <v>0.58899999999999997</v>
      </c>
      <c r="R50" s="1872"/>
    </row>
    <row r="51" spans="1:18" s="1828" customFormat="1" ht="13.8" thickBot="1">
      <c r="A51" s="1191"/>
      <c r="B51" s="1193"/>
      <c r="C51" s="1194"/>
      <c r="D51" s="1167"/>
      <c r="E51" s="1195" t="s">
        <v>1401</v>
      </c>
      <c r="F51" s="348">
        <f ca="1">F8</f>
        <v>365</v>
      </c>
      <c r="I51" s="1884" t="s">
        <v>1534</v>
      </c>
      <c r="J51" s="1885">
        <f>IF(J49="",J50,J49+J50-YEAR('数据-取费表'!B2))</f>
        <v>58</v>
      </c>
      <c r="K51" s="1886" t="s">
        <v>1535</v>
      </c>
      <c r="L51" s="1887">
        <f ca="1">ROUND(-PV(INDIRECT("'数据-取费表'!h"&amp;$G$1),J51,(C39-C13*C76),0),0)</f>
        <v>4847</v>
      </c>
      <c r="M51" s="1888"/>
      <c r="O51" s="1880" t="s">
        <v>1040</v>
      </c>
      <c r="P51" s="1871" t="s">
        <v>1536</v>
      </c>
      <c r="Q51" s="1883">
        <f>J52</f>
        <v>0.09</v>
      </c>
      <c r="R51" s="1872"/>
    </row>
    <row r="52" spans="1:18" s="1828" customFormat="1" ht="13.8" thickBot="1">
      <c r="A52" s="1191"/>
      <c r="B52" s="1193"/>
      <c r="C52" s="1194"/>
      <c r="D52" s="1167"/>
      <c r="E52" s="1195" t="s">
        <v>1402</v>
      </c>
      <c r="F52" s="1270"/>
      <c r="I52" s="1889" t="s">
        <v>1537</v>
      </c>
      <c r="J52" s="1890">
        <v>0.09</v>
      </c>
      <c r="K52" s="1889" t="s">
        <v>1538</v>
      </c>
      <c r="L52" s="1890"/>
      <c r="O52" s="1880" t="s">
        <v>1041</v>
      </c>
      <c r="P52" s="1871" t="s">
        <v>1539</v>
      </c>
      <c r="Q52" s="1872">
        <f ca="1">J53</f>
        <v>22.68</v>
      </c>
      <c r="R52" s="1872" t="s">
        <v>1540</v>
      </c>
    </row>
    <row r="53" spans="1:18" s="1828" customFormat="1" ht="36.6" thickBot="1">
      <c r="A53" s="1400" t="s">
        <v>1133</v>
      </c>
      <c r="B53" s="1817" t="s">
        <v>1403</v>
      </c>
      <c r="C53" s="361">
        <f ca="1">ROUND(IF(F53="押一",C49/12*F11,IF(F53="押二",C49/12*2*F11,IF(F53="押三",C49/12*3*F11,C54*F11))),0)</f>
        <v>0</v>
      </c>
      <c r="D53" s="1810" t="s">
        <v>3030</v>
      </c>
      <c r="E53" s="358" t="s">
        <v>1404</v>
      </c>
      <c r="F53" s="1361"/>
      <c r="I53" s="1891" t="s">
        <v>1541</v>
      </c>
      <c r="J53" s="2938">
        <f ca="1">IF(M47="住宅",IF(D1="——",MAX(J51,L48),MAX(J51,L48-'数据-取费表'!B24)),IF(D1="——",MIN(J51,L48),MIN(J51,L48-'数据-取费表'!B24)))</f>
        <v>22.68</v>
      </c>
      <c r="K53" s="3221" t="s">
        <v>1542</v>
      </c>
      <c r="L53" s="3222"/>
      <c r="O53" s="1870" t="s">
        <v>1042</v>
      </c>
      <c r="P53" s="1871" t="s">
        <v>1543</v>
      </c>
      <c r="Q53" s="1872">
        <f ca="1">Q47+Q48</f>
        <v>12159</v>
      </c>
      <c r="R53" s="1872" t="s">
        <v>1043</v>
      </c>
    </row>
    <row r="54" spans="1:18" s="1828" customFormat="1" ht="24.6" thickBot="1">
      <c r="A54" s="1401"/>
      <c r="B54" s="1811" t="s">
        <v>1382</v>
      </c>
      <c r="C54" s="1173"/>
      <c r="D54" s="1810"/>
      <c r="E54" s="2959"/>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8" thickBot="1">
      <c r="A55" s="1328" t="s">
        <v>1071</v>
      </c>
      <c r="B55" s="1813" t="s">
        <v>1407</v>
      </c>
      <c r="C55" s="1329"/>
      <c r="D55" s="1810"/>
      <c r="E55" s="2959"/>
      <c r="F55" s="1892"/>
      <c r="I55" s="1895" t="s">
        <v>1545</v>
      </c>
      <c r="J55" s="1896">
        <f ca="1">ROUND(IF(J47="钢混",J57/J50,1-(1-2%)*(J50-J57)/J50),3)</f>
        <v>0.58899999999999997</v>
      </c>
      <c r="K55" s="1897" t="s">
        <v>1546</v>
      </c>
      <c r="L55" s="1898" t="s">
        <v>1547</v>
      </c>
      <c r="O55" s="1863" t="s">
        <v>1516</v>
      </c>
      <c r="P55" s="1864" t="s">
        <v>1517</v>
      </c>
      <c r="Q55" s="1865" t="s">
        <v>1518</v>
      </c>
      <c r="R55" s="1865" t="s">
        <v>1519</v>
      </c>
    </row>
    <row r="56" spans="1:18" s="1828" customFormat="1" ht="37.200000000000003" thickTop="1" thickBot="1">
      <c r="A56" s="1171">
        <v>2</v>
      </c>
      <c r="B56" s="1172" t="s">
        <v>1408</v>
      </c>
      <c r="C56" s="276">
        <f ca="1">C13</f>
        <v>5182</v>
      </c>
      <c r="D56" s="1899"/>
      <c r="E56" s="1900"/>
      <c r="F56" s="1892"/>
      <c r="I56" s="1901" t="s">
        <v>1548</v>
      </c>
      <c r="J56" s="1902" t="s">
        <v>3152</v>
      </c>
      <c r="K56" s="1873" t="s">
        <v>1549</v>
      </c>
      <c r="L56" s="1876" t="str">
        <f ca="1">IF(L48&lt;J51,"——",L48-J53)</f>
        <v>——</v>
      </c>
      <c r="O56" s="1870" t="s">
        <v>1036</v>
      </c>
      <c r="P56" s="1871" t="s">
        <v>1522</v>
      </c>
      <c r="Q56" s="1872">
        <f ca="1">C40+J29</f>
        <v>11713</v>
      </c>
      <c r="R56" s="1872" t="s">
        <v>1523</v>
      </c>
    </row>
    <row r="57" spans="1:18" s="1828" customFormat="1" ht="24.6" thickBot="1">
      <c r="A57" s="1903"/>
      <c r="B57" s="1164" t="s">
        <v>1472</v>
      </c>
      <c r="C57" s="282">
        <f ca="1">C29</f>
        <v>5342</v>
      </c>
      <c r="D57" s="1904"/>
      <c r="E57" s="1905"/>
      <c r="F57" s="1906"/>
      <c r="I57" s="1907" t="s">
        <v>1550</v>
      </c>
      <c r="J57" s="1908">
        <f ca="1">IF(OR(M47="住宅",J51&lt;L48,J56="是"),"——",J51-L48)</f>
        <v>35.32</v>
      </c>
      <c r="K57" s="1873" t="s">
        <v>1551</v>
      </c>
      <c r="L57" s="1876" t="str">
        <f ca="1">IF(L48&lt;J51,"——",IF(L55="比较法",L49,IF(L55="基准地价",L50,L51)))</f>
        <v>——</v>
      </c>
      <c r="O57" s="1870" t="s">
        <v>1037</v>
      </c>
      <c r="P57" s="1871" t="s">
        <v>1552</v>
      </c>
      <c r="Q57" s="1872">
        <f ca="1">L60</f>
        <v>0</v>
      </c>
      <c r="R57" s="1872" t="s">
        <v>1553</v>
      </c>
    </row>
    <row r="58" spans="1:18" s="1828" customFormat="1" ht="24.6" thickBot="1">
      <c r="A58" s="360" t="s">
        <v>1026</v>
      </c>
      <c r="B58" s="1172" t="s">
        <v>1418</v>
      </c>
      <c r="C58" s="361">
        <f ca="1">ROUND(C59+C64+C65+C66,0)</f>
        <v>537</v>
      </c>
      <c r="D58" s="1174" t="s">
        <v>1419</v>
      </c>
      <c r="E58" s="1175"/>
      <c r="F58" s="1176"/>
      <c r="I58" s="1907" t="s">
        <v>1554</v>
      </c>
      <c r="J58" s="1909">
        <f ca="1">IF(J55&lt;0.4,0.4,J55)</f>
        <v>0.58899999999999997</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6" thickBot="1">
      <c r="A59" s="1196" t="s">
        <v>1031</v>
      </c>
      <c r="B59" s="1164" t="s">
        <v>1423</v>
      </c>
      <c r="C59" s="24">
        <f ca="1">ROUND(IF(项目基本情况!B11="自然人",C48*F59,C60+C61+C62),1)</f>
        <v>449.4</v>
      </c>
      <c r="D59" s="1177" t="s">
        <v>1424</v>
      </c>
      <c r="E59" s="1178" t="s">
        <v>1425</v>
      </c>
      <c r="F59" s="368">
        <f ca="1">IF(项目基本情况!B11="企业","",IF(INDIRECT("'数据-取费表'!c"&amp;$G$1)="住宅",5%,IF(F49*F50*F51/12/(1+'数据-取费表'!C42)&gt;20000,12%,7%)))</f>
        <v>7.0000000000000007E-2</v>
      </c>
      <c r="I59" s="1907" t="s">
        <v>1557</v>
      </c>
      <c r="J59" s="1908">
        <f ca="1">IF(OR(M47="住宅",J51&lt;L48,J56="是"),"——",ROUND(C29*J58,0))</f>
        <v>3146</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0" t="s">
        <v>1559</v>
      </c>
      <c r="J60" s="1911">
        <f ca="1">IF(OR(M47="住宅",J51&lt;L48,J56="是"),"0",ROUND(J59/(1+J52)^J53,0))</f>
        <v>446</v>
      </c>
      <c r="K60" s="1912" t="s">
        <v>1560</v>
      </c>
      <c r="L60" s="1911">
        <f ca="1">IF(OR(M47="住宅",L48&lt;J51),0,ROUND(L57*(L58/L59-1),0))</f>
        <v>0</v>
      </c>
      <c r="O60" s="1880" t="s">
        <v>1040</v>
      </c>
      <c r="P60" s="1871" t="s">
        <v>1561</v>
      </c>
      <c r="Q60" s="1872" t="e">
        <f ca="1">L58</f>
        <v>#DIV/0!</v>
      </c>
      <c r="R60" s="1872" t="s">
        <v>1562</v>
      </c>
    </row>
    <row r="61" spans="1:18" s="1828" customFormat="1" ht="13.8" thickBot="1">
      <c r="A61" s="1196" t="s">
        <v>1486</v>
      </c>
      <c r="B61" s="1164" t="s">
        <v>1431</v>
      </c>
      <c r="C61" s="24">
        <f ca="1">IF(项目基本情况!B11="自然人","——",IF(D61="按租金收入计税",ROUND(C48*F61,2),IF(D61="按房产原值计税",ROUND(C57*F61*0.7,2),INDIRECT("'数据-取费表'!Aj"&amp;$G$1))))</f>
        <v>448.73</v>
      </c>
      <c r="D61" s="1814" t="s">
        <v>1432</v>
      </c>
      <c r="E61" s="1164" t="s">
        <v>1416</v>
      </c>
      <c r="F61" s="367">
        <f t="shared" si="0"/>
        <v>0.12</v>
      </c>
      <c r="I61" s="1913"/>
      <c r="J61" s="1913"/>
      <c r="K61" s="1913"/>
      <c r="L61" s="1913"/>
      <c r="O61" s="1880" t="s">
        <v>1041</v>
      </c>
      <c r="P61" s="1871" t="str">
        <f>K59</f>
        <v>建筑物剩余耐用年限下的土地年期修正系数Kn</v>
      </c>
      <c r="Q61" s="1872" t="e">
        <f ca="1">L59</f>
        <v>#DIV/0!</v>
      </c>
      <c r="R61" s="1872" t="s">
        <v>1563</v>
      </c>
    </row>
    <row r="62" spans="1:18" s="1828" customFormat="1" ht="13.8" thickBot="1">
      <c r="A62" s="1196" t="s">
        <v>1489</v>
      </c>
      <c r="B62" s="1163" t="s">
        <v>1435</v>
      </c>
      <c r="C62" s="25">
        <f ca="1">IF(项目基本情况!B11="自然人","——",ROUND(F62*F63/10000,2))</f>
        <v>0.65</v>
      </c>
      <c r="D62" s="1179" t="s">
        <v>1436</v>
      </c>
      <c r="E62" s="1164" t="s">
        <v>1437</v>
      </c>
      <c r="F62" s="371">
        <f t="shared" si="0"/>
        <v>3</v>
      </c>
      <c r="I62" s="1914" t="s">
        <v>1564</v>
      </c>
      <c r="J62" s="1915" t="s">
        <v>1565</v>
      </c>
      <c r="K62" s="1915" t="s">
        <v>1566</v>
      </c>
      <c r="L62" s="1915" t="s">
        <v>1567</v>
      </c>
      <c r="M62" s="1916" t="s">
        <v>1568</v>
      </c>
      <c r="O62" s="1870" t="s">
        <v>1042</v>
      </c>
      <c r="P62" s="1871" t="s">
        <v>1543</v>
      </c>
      <c r="Q62" s="1872">
        <f ca="1">Q56+Q57</f>
        <v>11713</v>
      </c>
      <c r="R62" s="1872" t="s">
        <v>1043</v>
      </c>
    </row>
    <row r="63" spans="1:18" s="1828" customFormat="1" ht="13.8" thickBot="1">
      <c r="A63" s="372"/>
      <c r="B63" s="1170"/>
      <c r="C63" s="29"/>
      <c r="D63" s="1180"/>
      <c r="E63" s="1164" t="s">
        <v>1441</v>
      </c>
      <c r="F63" s="348">
        <f t="shared" ca="1" si="0"/>
        <v>2165.91</v>
      </c>
      <c r="I63" s="1914" t="s">
        <v>1570</v>
      </c>
      <c r="J63" s="1915">
        <v>70</v>
      </c>
      <c r="K63" s="1915">
        <v>50</v>
      </c>
      <c r="L63" s="1915">
        <v>80</v>
      </c>
      <c r="M63" s="1917">
        <v>0.02</v>
      </c>
      <c r="O63" s="1855" t="s">
        <v>1571</v>
      </c>
      <c r="P63" s="1825"/>
      <c r="Q63" s="1825"/>
      <c r="R63" s="1825"/>
    </row>
    <row r="64" spans="1:18" s="1828" customFormat="1" ht="13.8" thickBot="1">
      <c r="A64" s="1196" t="s">
        <v>1035</v>
      </c>
      <c r="B64" s="1164" t="s">
        <v>1443</v>
      </c>
      <c r="C64" s="24">
        <f ca="1">ROUND(C57*F64,1)</f>
        <v>80.099999999999994</v>
      </c>
      <c r="D64" s="1178" t="s">
        <v>1476</v>
      </c>
      <c r="E64" s="1164" t="s">
        <v>1416</v>
      </c>
      <c r="F64" s="374">
        <f t="shared" ca="1" si="0"/>
        <v>1.4999999999999999E-2</v>
      </c>
      <c r="I64" s="1914" t="s">
        <v>1572</v>
      </c>
      <c r="J64" s="1915">
        <v>50</v>
      </c>
      <c r="K64" s="1915">
        <v>35</v>
      </c>
      <c r="L64" s="1915">
        <v>60</v>
      </c>
      <c r="M64" s="1916">
        <v>0</v>
      </c>
      <c r="O64" s="1863" t="s">
        <v>1516</v>
      </c>
      <c r="P64" s="1864" t="s">
        <v>1517</v>
      </c>
      <c r="Q64" s="1865" t="s">
        <v>1518</v>
      </c>
      <c r="R64" s="1865" t="s">
        <v>1519</v>
      </c>
    </row>
    <row r="65" spans="1:18" s="1828" customFormat="1" ht="13.8" thickBot="1">
      <c r="A65" s="1196" t="s">
        <v>1497</v>
      </c>
      <c r="B65" s="1164" t="s">
        <v>1447</v>
      </c>
      <c r="C65" s="24">
        <f ca="1">ROUND(C56*F65,1)</f>
        <v>7.8</v>
      </c>
      <c r="D65" s="1178" t="s">
        <v>1448</v>
      </c>
      <c r="E65" s="1164" t="s">
        <v>1416</v>
      </c>
      <c r="F65" s="376">
        <f t="shared" ca="1" si="0"/>
        <v>1.5E-3</v>
      </c>
      <c r="I65" s="1914" t="s">
        <v>1573</v>
      </c>
      <c r="J65" s="1915">
        <v>40</v>
      </c>
      <c r="K65" s="1915">
        <v>30</v>
      </c>
      <c r="L65" s="1915">
        <v>50</v>
      </c>
      <c r="M65" s="1917">
        <v>0.02</v>
      </c>
      <c r="O65" s="1870" t="s">
        <v>1036</v>
      </c>
      <c r="P65" s="1871" t="s">
        <v>1522</v>
      </c>
      <c r="Q65" s="1872">
        <f ca="1">C40+J29</f>
        <v>11713</v>
      </c>
      <c r="R65" s="1872" t="s">
        <v>1523</v>
      </c>
    </row>
    <row r="66" spans="1:18" s="1828" customFormat="1" ht="16.2" thickBot="1">
      <c r="A66" s="1196" t="s">
        <v>1498</v>
      </c>
      <c r="B66" s="1164" t="s">
        <v>1433</v>
      </c>
      <c r="C66" s="24">
        <f ca="1">ROUND(C48*F66,1)</f>
        <v>0</v>
      </c>
      <c r="D66" s="1178" t="s">
        <v>1453</v>
      </c>
      <c r="E66" s="1164" t="s">
        <v>1416</v>
      </c>
      <c r="F66" s="357">
        <f t="shared" ca="1" si="0"/>
        <v>0.01</v>
      </c>
      <c r="O66" s="1870" t="s">
        <v>1037</v>
      </c>
      <c r="P66" s="1871" t="s">
        <v>1552</v>
      </c>
      <c r="Q66" s="1872">
        <f ca="1">L60</f>
        <v>0</v>
      </c>
      <c r="R66" s="1872" t="s">
        <v>1575</v>
      </c>
    </row>
    <row r="67" spans="1:18" s="1828" customFormat="1" ht="24.6" thickBot="1">
      <c r="A67" s="1171" t="s">
        <v>1027</v>
      </c>
      <c r="B67" s="1181" t="s">
        <v>1457</v>
      </c>
      <c r="C67" s="361">
        <f ca="1">C48-C58</f>
        <v>-537</v>
      </c>
      <c r="D67" s="1177" t="s">
        <v>1458</v>
      </c>
      <c r="E67" s="1182"/>
      <c r="F67" s="1183"/>
      <c r="O67" s="1880" t="s">
        <v>1038</v>
      </c>
      <c r="P67" s="1871" t="s">
        <v>1556</v>
      </c>
      <c r="Q67" s="1918">
        <f ca="1">L51</f>
        <v>4847</v>
      </c>
      <c r="R67" s="1872" t="s">
        <v>1576</v>
      </c>
    </row>
    <row r="68" spans="1:18" s="1828" customFormat="1" ht="16.2" thickBot="1">
      <c r="A68" s="1161" t="s">
        <v>1028</v>
      </c>
      <c r="B68" s="1162" t="s">
        <v>1479</v>
      </c>
      <c r="C68" s="346">
        <f ca="1">ROUND(C67*(1-((1+F70)/(1+F68))^F69)/(F68-F70),0)</f>
        <v>-6865</v>
      </c>
      <c r="D68" s="1179" t="s">
        <v>1463</v>
      </c>
      <c r="E68" s="1164" t="s">
        <v>1464</v>
      </c>
      <c r="F68" s="357">
        <f ca="1">F40</f>
        <v>5.5E-2</v>
      </c>
      <c r="O68" s="1880" t="s">
        <v>1039</v>
      </c>
      <c r="P68" s="1919" t="s">
        <v>1577</v>
      </c>
      <c r="Q68" s="1872">
        <f ca="1">ROUND(Q69-Q70*Q71,0)</f>
        <v>258</v>
      </c>
      <c r="R68" s="1872" t="s">
        <v>1047</v>
      </c>
    </row>
    <row r="69" spans="1:18" s="1828" customFormat="1" ht="13.8" thickBot="1">
      <c r="A69" s="1165"/>
      <c r="B69" s="1166"/>
      <c r="C69" s="351"/>
      <c r="D69" s="1184" t="s">
        <v>1467</v>
      </c>
      <c r="E69" s="1164" t="s">
        <v>1468</v>
      </c>
      <c r="F69" s="379">
        <f ca="1">F41</f>
        <v>22.68</v>
      </c>
      <c r="O69" s="1880" t="s">
        <v>1044</v>
      </c>
      <c r="P69" s="1919" t="s">
        <v>1578</v>
      </c>
      <c r="Q69" s="1872">
        <f ca="1">C39</f>
        <v>698</v>
      </c>
      <c r="R69" s="1872" t="s">
        <v>1523</v>
      </c>
    </row>
    <row r="70" spans="1:18" s="1828" customFormat="1" ht="13.8" thickBot="1">
      <c r="A70" s="1168"/>
      <c r="B70" s="1169"/>
      <c r="C70" s="355"/>
      <c r="D70" s="1180"/>
      <c r="E70" s="1164" t="s">
        <v>1471</v>
      </c>
      <c r="F70" s="1270"/>
      <c r="O70" s="1880" t="s">
        <v>1045</v>
      </c>
      <c r="P70" s="1919" t="s">
        <v>1579</v>
      </c>
      <c r="Q70" s="1872">
        <f ca="1">C13</f>
        <v>5182</v>
      </c>
      <c r="R70" s="1872" t="s">
        <v>1523</v>
      </c>
    </row>
    <row r="71" spans="1:18" s="1828" customFormat="1" ht="13.8" thickBot="1">
      <c r="A71" s="1185" t="s">
        <v>1029</v>
      </c>
      <c r="B71" s="1186" t="s">
        <v>1481</v>
      </c>
      <c r="C71" s="382">
        <f ca="1">ROUND(C68*10000/F71,0)</f>
        <v>-9445</v>
      </c>
      <c r="D71" s="1187" t="s">
        <v>1482</v>
      </c>
      <c r="E71" s="1188" t="s">
        <v>1483</v>
      </c>
      <c r="F71" s="385">
        <f ca="1">F43</f>
        <v>7268.6</v>
      </c>
      <c r="O71" s="1880" t="s">
        <v>1046</v>
      </c>
      <c r="P71" s="1919" t="s">
        <v>1580</v>
      </c>
      <c r="Q71" s="1883">
        <f ca="1">C76</f>
        <v>8.5000000000000006E-2</v>
      </c>
      <c r="R71" s="1872"/>
    </row>
    <row r="72" spans="1:18" s="1828" customFormat="1" ht="13.8" thickBot="1">
      <c r="B72" s="796"/>
      <c r="C72" s="796"/>
      <c r="O72" s="1880" t="s">
        <v>1040</v>
      </c>
      <c r="P72" s="1871" t="s">
        <v>1558</v>
      </c>
      <c r="Q72" s="1883">
        <f>L52</f>
        <v>0</v>
      </c>
      <c r="R72" s="1872"/>
    </row>
    <row r="73" spans="1:18" ht="16.2" thickBot="1">
      <c r="A73" s="1828"/>
      <c r="B73" s="796"/>
      <c r="C73" s="796"/>
      <c r="D73" s="1828"/>
      <c r="E73" s="1828"/>
      <c r="F73" s="1828"/>
      <c r="O73" s="1880" t="s">
        <v>1041</v>
      </c>
      <c r="P73" s="1871" t="s">
        <v>1561</v>
      </c>
      <c r="Q73" s="1872" t="e">
        <f ca="1">L58</f>
        <v>#DIV/0!</v>
      </c>
      <c r="R73" s="1872" t="s">
        <v>1562</v>
      </c>
    </row>
    <row r="74" spans="1:18" ht="13.8" thickBot="1">
      <c r="A74" s="1828"/>
      <c r="B74" s="317" t="s">
        <v>1581</v>
      </c>
      <c r="C74" s="1921"/>
      <c r="D74" s="1828"/>
      <c r="E74" s="1828"/>
      <c r="F74" s="1828"/>
      <c r="O74" s="1880" t="s">
        <v>1048</v>
      </c>
      <c r="P74" s="1871" t="str">
        <f>K59</f>
        <v>建筑物剩余耐用年限下的土地年期修正系数Kn</v>
      </c>
      <c r="Q74" s="1872" t="e">
        <f ca="1">L59</f>
        <v>#DIV/0!</v>
      </c>
      <c r="R74" s="1872" t="s">
        <v>1563</v>
      </c>
    </row>
    <row r="75" spans="1:18" ht="13.8" thickBot="1">
      <c r="A75" s="1828"/>
      <c r="B75" s="386" t="s">
        <v>1500</v>
      </c>
      <c r="C75" s="387">
        <f ca="1">ROUND(C13*C76,0)</f>
        <v>440</v>
      </c>
      <c r="D75" s="1828"/>
      <c r="E75" s="1828"/>
      <c r="F75" s="1828"/>
      <c r="K75" s="1854"/>
      <c r="L75" s="1828"/>
      <c r="O75" s="1870" t="s">
        <v>1042</v>
      </c>
      <c r="P75" s="1871" t="s">
        <v>1543</v>
      </c>
      <c r="Q75" s="1872">
        <f ca="1">Q65+Q66</f>
        <v>11713</v>
      </c>
      <c r="R75" s="1872" t="s">
        <v>1043</v>
      </c>
    </row>
    <row r="76" spans="1:18">
      <c r="B76" s="388" t="s">
        <v>1501</v>
      </c>
      <c r="C76" s="389">
        <f ca="1">INDIRECT("'数据-取费表'!j"&amp;$G$1)</f>
        <v>8.5000000000000006E-2</v>
      </c>
      <c r="I76" s="1828"/>
      <c r="J76" s="1828"/>
      <c r="K76" s="1854"/>
      <c r="L76" s="1828"/>
    </row>
    <row r="77" spans="1:18">
      <c r="B77" s="390" t="s">
        <v>1502</v>
      </c>
      <c r="C77" s="391"/>
      <c r="I77" s="1828"/>
      <c r="J77" s="1828"/>
      <c r="K77" s="1854"/>
      <c r="L77" s="1828"/>
    </row>
    <row r="78" spans="1:18">
      <c r="B78" s="314" t="s">
        <v>1503</v>
      </c>
      <c r="C78" s="392"/>
    </row>
    <row r="79" spans="1:18">
      <c r="B79" s="386" t="s">
        <v>1504</v>
      </c>
      <c r="C79" s="318">
        <f ca="1">1-C80</f>
        <v>0.37</v>
      </c>
    </row>
    <row r="80" spans="1:18">
      <c r="B80" s="386" t="s">
        <v>1505</v>
      </c>
      <c r="C80" s="318">
        <f ca="1">ROUND(C75/C39,3)</f>
        <v>0.63</v>
      </c>
    </row>
    <row r="81" spans="2:3">
      <c r="B81" s="314" t="s">
        <v>1506</v>
      </c>
      <c r="C81" s="282"/>
    </row>
    <row r="82" spans="2:3">
      <c r="B82" s="317" t="s">
        <v>1507</v>
      </c>
      <c r="C82" s="319">
        <f ca="1">1-C83</f>
        <v>0.55800000000000005</v>
      </c>
    </row>
    <row r="83" spans="2:3">
      <c r="B83" s="317" t="s">
        <v>1508</v>
      </c>
      <c r="C83" s="318">
        <f ca="1">ROUND(C13/C40,3)</f>
        <v>0.442</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C43" sqref="C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0" customWidth="1"/>
    <col min="12" max="12" width="16.33203125" style="302" customWidth="1"/>
    <col min="13" max="13" width="13" style="302" customWidth="1"/>
    <col min="14" max="14" width="13.77734375" style="1828" customWidth="1"/>
    <col min="15" max="15" width="5.109375" style="1828" customWidth="1"/>
    <col min="16" max="16" width="25.77734375" style="1828" customWidth="1"/>
    <col min="17" max="17" width="13.77734375" style="1828" customWidth="1"/>
    <col min="18" max="18" width="20.44140625" style="1828" customWidth="1"/>
    <col min="19" max="19" width="13.21875" style="1828" customWidth="1"/>
    <col min="20" max="37" width="9" style="1828"/>
    <col min="38" max="16384" width="9" style="302"/>
  </cols>
  <sheetData>
    <row r="1" spans="1:37" s="337" customFormat="1" ht="21.6">
      <c r="A1" s="1819" t="s">
        <v>1583</v>
      </c>
      <c r="B1" s="782"/>
      <c r="C1" s="1823" t="s">
        <v>3159</v>
      </c>
      <c r="D1" s="1806" t="s">
        <v>70</v>
      </c>
      <c r="E1" s="1807" t="s">
        <v>1381</v>
      </c>
      <c r="F1" s="1278">
        <f ca="1">J53</f>
        <v>22.68</v>
      </c>
      <c r="G1" s="182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29" t="s">
        <v>1509</v>
      </c>
      <c r="B2" s="1830">
        <f ca="1">C40+J29+L46</f>
        <v>1558</v>
      </c>
      <c r="C2" s="1831" t="s">
        <v>1510</v>
      </c>
      <c r="D2" s="1831"/>
      <c r="E2" s="1832"/>
      <c r="F2" s="1833"/>
      <c r="G2" s="1834"/>
      <c r="H2" s="1826"/>
      <c r="I2" s="1826"/>
      <c r="J2" s="1826"/>
      <c r="K2" s="1827"/>
      <c r="L2" s="1826"/>
      <c r="M2" s="1826"/>
    </row>
    <row r="3" spans="1:37" ht="18" customHeight="1" thickBot="1">
      <c r="A3" s="1835" t="s">
        <v>1511</v>
      </c>
      <c r="B3" s="1836">
        <f ca="1">IF(ISERROR(B2*10000/F43),0,ROUND(B2*10000/F43,0))</f>
        <v>1959</v>
      </c>
      <c r="C3" s="1831" t="s">
        <v>1512</v>
      </c>
      <c r="D3" s="1831"/>
      <c r="E3" s="1832"/>
      <c r="F3" s="1833"/>
      <c r="G3" s="1834"/>
      <c r="H3" s="744" t="s">
        <v>1582</v>
      </c>
      <c r="I3" s="1826"/>
      <c r="J3" s="1826"/>
      <c r="K3" s="1827"/>
      <c r="L3" s="1826"/>
      <c r="M3" s="1826"/>
    </row>
    <row r="4" spans="1:37" ht="18" customHeight="1">
      <c r="A4" s="340" t="s">
        <v>1390</v>
      </c>
      <c r="B4" s="341" t="s">
        <v>1391</v>
      </c>
      <c r="C4" s="341" t="s">
        <v>1392</v>
      </c>
      <c r="D4" s="341" t="s">
        <v>1393</v>
      </c>
      <c r="E4" s="342" t="s">
        <v>1394</v>
      </c>
      <c r="F4" s="343"/>
      <c r="G4" s="1837"/>
      <c r="H4" s="340" t="s">
        <v>1390</v>
      </c>
      <c r="I4" s="341" t="s">
        <v>1391</v>
      </c>
      <c r="J4" s="341" t="s">
        <v>1392</v>
      </c>
      <c r="K4" s="341" t="s">
        <v>1393</v>
      </c>
      <c r="L4" s="342" t="s">
        <v>1394</v>
      </c>
      <c r="M4" s="343"/>
    </row>
    <row r="5" spans="1:37" ht="18" customHeight="1">
      <c r="A5" s="344">
        <v>1</v>
      </c>
      <c r="B5" s="345" t="s">
        <v>1395</v>
      </c>
      <c r="C5" s="1287">
        <f ca="1">C6+C10+C12</f>
        <v>117</v>
      </c>
      <c r="D5" s="1808" t="s">
        <v>1396</v>
      </c>
      <c r="E5" s="1288"/>
      <c r="F5" s="1289"/>
      <c r="G5" s="1837"/>
      <c r="H5" s="344">
        <v>1</v>
      </c>
      <c r="I5" s="345" t="s">
        <v>1395</v>
      </c>
      <c r="J5" s="1287">
        <f ca="1">J6+J10+J12</f>
        <v>0</v>
      </c>
      <c r="K5" s="1808" t="s">
        <v>1396</v>
      </c>
      <c r="L5" s="1288"/>
      <c r="M5" s="1289"/>
    </row>
    <row r="6" spans="1:37" ht="18" customHeight="1">
      <c r="A6" s="1286" t="s">
        <v>1031</v>
      </c>
      <c r="B6" s="3223" t="s">
        <v>1397</v>
      </c>
      <c r="C6" s="1291">
        <f ca="1">ROUND(F6*F8*F7*(1-F9)/10000,0)</f>
        <v>117</v>
      </c>
      <c r="D6" s="164" t="s">
        <v>3022</v>
      </c>
      <c r="E6" s="347" t="s">
        <v>1399</v>
      </c>
      <c r="F6" s="348">
        <f ca="1">INDIRECT("'数据-取费表'!u"&amp;$G$1)</f>
        <v>450</v>
      </c>
      <c r="G6" s="1837"/>
      <c r="H6" s="1286" t="s">
        <v>1031</v>
      </c>
      <c r="I6" s="3223" t="s">
        <v>1397</v>
      </c>
      <c r="J6" s="346">
        <f ca="1">ROUND(M6*M8*M7*(1-M9)/10000,0)</f>
        <v>0</v>
      </c>
      <c r="K6" s="164" t="s">
        <v>3021</v>
      </c>
      <c r="L6" s="347" t="s">
        <v>1399</v>
      </c>
      <c r="M6" s="348">
        <f ca="1">INDIRECT("'数据-取费表'!z"&amp;$G$1)</f>
        <v>0</v>
      </c>
    </row>
    <row r="7" spans="1:37" ht="18" customHeight="1">
      <c r="A7" s="1290"/>
      <c r="B7" s="3224"/>
      <c r="C7" s="1292"/>
      <c r="D7" s="352"/>
      <c r="E7" s="2958" t="s">
        <v>1400</v>
      </c>
      <c r="F7" s="348">
        <f ca="1">IF(INDIRECT("'数据-取费表'!ah"&amp;$G$1)="",INDIRECT("'数据-取费表'!k"&amp;$G$1),INDIRECT("'数据-取费表'!ah"&amp;$G$1))</f>
        <v>254</v>
      </c>
      <c r="G7" s="1837"/>
      <c r="H7" s="349"/>
      <c r="I7" s="3224"/>
      <c r="J7" s="351"/>
      <c r="K7" s="352"/>
      <c r="L7" s="347" t="s">
        <v>1400</v>
      </c>
      <c r="M7" s="348">
        <f ca="1">F7</f>
        <v>254</v>
      </c>
    </row>
    <row r="8" spans="1:37" ht="18" customHeight="1">
      <c r="A8" s="349"/>
      <c r="B8" s="3224"/>
      <c r="C8" s="351"/>
      <c r="D8" s="352"/>
      <c r="E8" s="347" t="s">
        <v>1401</v>
      </c>
      <c r="F8" s="348">
        <f ca="1">INDIRECT("'数据-取费表'!ai"&amp;$G$1)</f>
        <v>12</v>
      </c>
      <c r="G8" s="1837"/>
      <c r="H8" s="349"/>
      <c r="I8" s="3224"/>
      <c r="J8" s="351"/>
      <c r="K8" s="352"/>
      <c r="L8" s="347" t="s">
        <v>1401</v>
      </c>
      <c r="M8" s="348">
        <f ca="1">INDIRECT("'数据-取费表'!ai"&amp;$G$1)</f>
        <v>12</v>
      </c>
    </row>
    <row r="9" spans="1:37" ht="18" customHeight="1">
      <c r="A9" s="349"/>
      <c r="B9" s="3225"/>
      <c r="C9" s="351"/>
      <c r="D9" s="352"/>
      <c r="E9" s="347" t="s">
        <v>1402</v>
      </c>
      <c r="F9" s="357">
        <f ca="1">INDIRECT("'数据-取费表'!w"&amp;$G$1)</f>
        <v>0.15</v>
      </c>
      <c r="G9" s="1837"/>
      <c r="H9" s="349"/>
      <c r="I9" s="3225"/>
      <c r="J9" s="351"/>
      <c r="K9" s="352"/>
      <c r="L9" s="358" t="s">
        <v>1402</v>
      </c>
      <c r="M9" s="359">
        <f ca="1">INDIRECT("'数据-取费表'!ab"&amp;$G$1)</f>
        <v>0</v>
      </c>
    </row>
    <row r="10" spans="1:37" ht="18" customHeight="1">
      <c r="A10" s="1286" t="s">
        <v>1035</v>
      </c>
      <c r="B10" s="1809" t="s">
        <v>1403</v>
      </c>
      <c r="C10" s="361">
        <f ca="1">ROUND(IF(F10="押一",C6/12*F11,IF(F10="押二",C6/12*2*F11,IF(F10="押三",C6/12*3*F11,C11*F11))),0)</f>
        <v>0</v>
      </c>
      <c r="D10" s="1810" t="s">
        <v>3030</v>
      </c>
      <c r="E10" s="358" t="s">
        <v>1404</v>
      </c>
      <c r="F10" s="1361" t="s">
        <v>4216</v>
      </c>
      <c r="G10" s="1837"/>
      <c r="H10" s="1286" t="s">
        <v>1035</v>
      </c>
      <c r="I10" s="1809" t="s">
        <v>1403</v>
      </c>
      <c r="J10" s="346">
        <f ca="1">ROUND(IF(M10="押一",J6/12*M11,IF(M10="押二",J6/12*2*M11,IF(M10="押三",J6/12*3*M11,J11*M11))),0)</f>
        <v>0</v>
      </c>
      <c r="K10" s="1810" t="s">
        <v>3030</v>
      </c>
      <c r="L10" s="358" t="s">
        <v>1404</v>
      </c>
      <c r="M10" s="1361" t="s">
        <v>1405</v>
      </c>
    </row>
    <row r="11" spans="1:37" ht="18" customHeight="1">
      <c r="A11" s="353"/>
      <c r="B11" s="1811" t="s">
        <v>1382</v>
      </c>
      <c r="C11" s="1173"/>
      <c r="D11" s="1812"/>
      <c r="E11" s="358" t="s">
        <v>1406</v>
      </c>
      <c r="F11" s="359">
        <f ca="1">'数据-取费表'!B39</f>
        <v>1.4999999999999999E-2</v>
      </c>
      <c r="G11" s="1837"/>
      <c r="H11" s="1294"/>
      <c r="I11" s="1811" t="s">
        <v>1382</v>
      </c>
      <c r="J11" s="1173"/>
      <c r="K11" s="748"/>
      <c r="L11" s="358"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5">
        <f ca="1">ROUND(C29*F13,0)</f>
        <v>4286</v>
      </c>
      <c r="D13" s="1326" t="s">
        <v>1409</v>
      </c>
      <c r="E13" s="1326" t="s">
        <v>1410</v>
      </c>
      <c r="F13" s="1327">
        <f ca="1">INDIRECT("'数据-取费表'!y"&amp;$G$1)</f>
        <v>0.97</v>
      </c>
      <c r="G13" s="1837"/>
      <c r="H13" s="1324">
        <v>2</v>
      </c>
      <c r="I13" s="1325" t="s">
        <v>1408</v>
      </c>
      <c r="J13" s="1285">
        <f ca="1">ROUND(J14*J15,0)</f>
        <v>0</v>
      </c>
      <c r="K13" s="1332" t="s">
        <v>1409</v>
      </c>
      <c r="L13" s="1838"/>
      <c r="M13" s="1839"/>
    </row>
    <row r="14" spans="1:37" ht="18" customHeight="1">
      <c r="A14" s="1196" t="s">
        <v>1030</v>
      </c>
      <c r="B14" s="347" t="s">
        <v>1411</v>
      </c>
      <c r="C14" s="363">
        <f ca="1">INDIRECT("'数据-取费表'!m"&amp;$G$1)+INDIRECT("'数据-取费表'!t"&amp;$G$1)</f>
        <v>3261</v>
      </c>
      <c r="D14" s="2961" t="s">
        <v>1412</v>
      </c>
      <c r="E14" s="2960"/>
      <c r="F14" s="364"/>
      <c r="G14" s="1837"/>
      <c r="H14" s="1196" t="s">
        <v>1031</v>
      </c>
      <c r="I14" s="347" t="s">
        <v>1413</v>
      </c>
      <c r="J14" s="24">
        <f ca="1">C29</f>
        <v>4419</v>
      </c>
      <c r="K14" s="2957"/>
      <c r="L14" s="974"/>
      <c r="M14" s="975"/>
    </row>
    <row r="15" spans="1:37" s="1844" customFormat="1" ht="18" customHeight="1" thickBot="1">
      <c r="A15" s="1196" t="s">
        <v>1032</v>
      </c>
      <c r="B15" s="347" t="s">
        <v>1414</v>
      </c>
      <c r="C15" s="24">
        <f ca="1">ROUND(C14*F15,0)</f>
        <v>163</v>
      </c>
      <c r="D15" s="365" t="s">
        <v>1415</v>
      </c>
      <c r="E15" s="365" t="s">
        <v>1416</v>
      </c>
      <c r="F15" s="366">
        <f>'数据-取费表'!B33</f>
        <v>0.05</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7"/>
      <c r="H16" s="1324" t="s">
        <v>1026</v>
      </c>
      <c r="I16" s="1325" t="s">
        <v>1418</v>
      </c>
      <c r="J16" s="355">
        <f ca="1">ROUND(J17+J22+J23+J24,0)</f>
        <v>23</v>
      </c>
      <c r="K16" s="1332" t="s">
        <v>1419</v>
      </c>
      <c r="L16" s="2963"/>
      <c r="M16" s="1289"/>
    </row>
    <row r="17" spans="1:37" s="1844" customFormat="1" ht="18" customHeight="1">
      <c r="A17" s="1196" t="s">
        <v>1384</v>
      </c>
      <c r="B17" s="347" t="s">
        <v>1420</v>
      </c>
      <c r="C17" s="24">
        <f ca="1">ROUND(F17*(F43+INDIRECT("'数据-取费表'!S"&amp;$G$1))/10000,0)</f>
        <v>159</v>
      </c>
      <c r="D17" s="347" t="s">
        <v>1421</v>
      </c>
      <c r="E17" s="347" t="s">
        <v>1422</v>
      </c>
      <c r="F17" s="26">
        <f>'数据-取费表'!B35</f>
        <v>200</v>
      </c>
      <c r="G17" s="1840"/>
      <c r="H17" s="1196" t="s">
        <v>1031</v>
      </c>
      <c r="I17" s="347" t="s">
        <v>1423</v>
      </c>
      <c r="J17" s="24">
        <f ca="1">ROUND(IF(项目基本情况!B11="自然人",J6*M17/(1+'数据-取费表'!C42),J18+J19+J20),1)</f>
        <v>0.7</v>
      </c>
      <c r="K17" s="2961" t="s">
        <v>1424</v>
      </c>
      <c r="L17" s="2962" t="s">
        <v>1425</v>
      </c>
      <c r="M17" s="368">
        <f ca="1">IF(项目基本情况!B11="企业","",IF(INDIRECT("'数据-取费表'!c"&amp;$G$1)="住宅",5%,IF(M6*M7*M8/12/(1+'数据-取费表'!C42)&gt;20000,12%,7%)))</f>
        <v>7.0000000000000007E-2</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7" t="s">
        <v>1426</v>
      </c>
      <c r="C18" s="24">
        <f ca="1">ROUND(C14*F18,0)</f>
        <v>49</v>
      </c>
      <c r="D18" s="347" t="s">
        <v>1415</v>
      </c>
      <c r="E18" s="347" t="s">
        <v>1416</v>
      </c>
      <c r="F18" s="367">
        <f>'数据-取费表'!B36</f>
        <v>1.4999999999999999E-2</v>
      </c>
      <c r="G18" s="1840"/>
      <c r="H18" s="1196" t="s">
        <v>1030</v>
      </c>
      <c r="I18" s="347" t="s">
        <v>1427</v>
      </c>
      <c r="J18" s="24">
        <f ca="1">ROUND(J6*M18/(1+'数据-取费表'!C42),2)</f>
        <v>0</v>
      </c>
      <c r="K18" s="2962" t="s">
        <v>1428</v>
      </c>
      <c r="L18" s="347" t="s">
        <v>1416</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7" t="s">
        <v>1429</v>
      </c>
      <c r="C19" s="24">
        <f ca="1">SUM(C14:C18)</f>
        <v>3632</v>
      </c>
      <c r="D19" s="140" t="s">
        <v>1430</v>
      </c>
      <c r="E19" s="2956"/>
      <c r="F19" s="26"/>
      <c r="G19" s="1837"/>
      <c r="H19" s="1196" t="s">
        <v>1032</v>
      </c>
      <c r="I19" s="347" t="s">
        <v>1431</v>
      </c>
      <c r="J19" s="24">
        <f ca="1">IF(K19="按租金收入计税",ROUND(J6*M19/(1+'数据-取费表'!C42),2),ROUND(C29*M19*0.7,2))</f>
        <v>0</v>
      </c>
      <c r="K19" s="1814" t="s">
        <v>3154</v>
      </c>
      <c r="L19" s="347" t="s">
        <v>1416</v>
      </c>
      <c r="M19" s="367">
        <f>IF(K19="按租金收入计税",'数据-取费表'!B51,'数据-取费表'!B50)</f>
        <v>0.12</v>
      </c>
    </row>
    <row r="20" spans="1:37" s="1844" customFormat="1" ht="18" customHeight="1">
      <c r="A20" s="1196" t="s">
        <v>1035</v>
      </c>
      <c r="B20" s="347" t="s">
        <v>1433</v>
      </c>
      <c r="C20" s="24">
        <f ca="1">ROUND(C19*F20,0)</f>
        <v>91</v>
      </c>
      <c r="D20" s="369" t="s">
        <v>1434</v>
      </c>
      <c r="E20" s="347" t="s">
        <v>1416</v>
      </c>
      <c r="F20" s="367">
        <f>'数据-取费表'!B37</f>
        <v>2.5000000000000001E-2</v>
      </c>
      <c r="G20" s="1840"/>
      <c r="H20" s="1196" t="s">
        <v>1383</v>
      </c>
      <c r="I20" s="164" t="s">
        <v>1435</v>
      </c>
      <c r="J20" s="25">
        <f ca="1">ROUND(M20*M21/10000,2)</f>
        <v>0.71</v>
      </c>
      <c r="K20" s="370" t="s">
        <v>1436</v>
      </c>
      <c r="L20" s="347" t="s">
        <v>1437</v>
      </c>
      <c r="M20" s="371">
        <f>'数据-取费表'!B52</f>
        <v>3</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7" t="s">
        <v>1438</v>
      </c>
      <c r="C21" s="24" t="s">
        <v>18</v>
      </c>
      <c r="D21" s="369" t="s">
        <v>1439</v>
      </c>
      <c r="E21" s="347" t="s">
        <v>1440</v>
      </c>
      <c r="F21" s="367">
        <f>'数据-取费表'!B38</f>
        <v>0.02</v>
      </c>
      <c r="G21" s="1840"/>
      <c r="H21" s="372"/>
      <c r="I21" s="356"/>
      <c r="J21" s="29"/>
      <c r="K21" s="373"/>
      <c r="L21" s="347" t="s">
        <v>1441</v>
      </c>
      <c r="M21" s="348">
        <f ca="1">INDIRECT("'数据-取费表'!r"&amp;$G$1)</f>
        <v>2370.2399999999998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956"/>
      <c r="F22" s="26"/>
      <c r="G22" s="1837"/>
      <c r="H22" s="1196" t="s">
        <v>1035</v>
      </c>
      <c r="I22" s="347" t="s">
        <v>1443</v>
      </c>
      <c r="J22" s="24">
        <f ca="1">ROUND(J14*M22,1)</f>
        <v>22.1</v>
      </c>
      <c r="K22" s="2962" t="s">
        <v>1444</v>
      </c>
      <c r="L22" s="347" t="s">
        <v>1416</v>
      </c>
      <c r="M22" s="374">
        <f ca="1">INDIRECT("'数据-取费表'!Ak"&amp;$G$1)</f>
        <v>5.0000000000000001E-3</v>
      </c>
    </row>
    <row r="23" spans="1:37" s="1844" customFormat="1" ht="18" customHeight="1">
      <c r="A23" s="1196" t="s">
        <v>1030</v>
      </c>
      <c r="B23" s="347" t="s">
        <v>1445</v>
      </c>
      <c r="C23" s="24">
        <f ca="1">IF('数据-取费表'!B22&lt;=1,ROUND(C19*F24*F23/2,0)+ROUND(C20*F24*F23/2,0),ROUND(C19*(POWER((1+F24),F23/2)-1),0)+ROUND(C20*(POWER((1+F24),F23/2)-1),0))</f>
        <v>177</v>
      </c>
      <c r="D23" s="375" t="str">
        <f>IF(F23&lt;=1,"(建造成本+管理费用)×利率×(建设周期÷2)","(建造成本+管理费用)×((1+利率)^(建设周期÷2)-1)")</f>
        <v>(建造成本+管理费用)×((1+利率)^(建设周期÷2)-1)</v>
      </c>
      <c r="E23" s="347" t="s">
        <v>1446</v>
      </c>
      <c r="F23" s="371">
        <f>'数据-取费表'!B20</f>
        <v>2</v>
      </c>
      <c r="G23" s="1840"/>
      <c r="H23" s="1196" t="s">
        <v>1071</v>
      </c>
      <c r="I23" s="347" t="s">
        <v>1447</v>
      </c>
      <c r="J23" s="24">
        <f ca="1">ROUND(J13*M23,1)</f>
        <v>0</v>
      </c>
      <c r="K23" s="2962" t="s">
        <v>1448</v>
      </c>
      <c r="L23" s="347" t="s">
        <v>1416</v>
      </c>
      <c r="M23" s="376">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0"/>
      <c r="H24" s="1334" t="s">
        <v>1386</v>
      </c>
      <c r="I24" s="1335" t="s">
        <v>1433</v>
      </c>
      <c r="J24" s="1336">
        <f ca="1">ROUND(J5*M24,1)</f>
        <v>0</v>
      </c>
      <c r="K24" s="1337" t="s">
        <v>1453</v>
      </c>
      <c r="L24" s="1335" t="s">
        <v>1416</v>
      </c>
      <c r="M24" s="133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1454</v>
      </c>
      <c r="B25" s="347" t="s">
        <v>1455</v>
      </c>
      <c r="C25" s="24"/>
      <c r="D25" s="140" t="s">
        <v>1456</v>
      </c>
      <c r="E25" s="2956"/>
      <c r="F25" s="26"/>
      <c r="G25" s="1837"/>
      <c r="H25" s="1324" t="s">
        <v>1027</v>
      </c>
      <c r="I25" s="1339" t="s">
        <v>1457</v>
      </c>
      <c r="J25" s="355">
        <f ca="1">J5-J16</f>
        <v>-23</v>
      </c>
      <c r="K25" s="1340" t="s">
        <v>1458</v>
      </c>
      <c r="L25" s="1341"/>
      <c r="M25" s="1342"/>
    </row>
    <row r="26" spans="1:37">
      <c r="A26" s="1196" t="s">
        <v>1030</v>
      </c>
      <c r="B26" s="347" t="s">
        <v>1459</v>
      </c>
      <c r="C26" s="24">
        <f ca="1">ROUND((C19+C20)*F26,0)</f>
        <v>186</v>
      </c>
      <c r="D26" s="369" t="s">
        <v>1460</v>
      </c>
      <c r="E26" s="358" t="s">
        <v>1461</v>
      </c>
      <c r="F26" s="357">
        <f ca="1">INDIRECT("'数据-取费表'!q"&amp;$G$1)</f>
        <v>0.05</v>
      </c>
      <c r="G26" s="1837"/>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196" t="s">
        <v>1032</v>
      </c>
      <c r="B27" s="347" t="s">
        <v>1465</v>
      </c>
      <c r="C27" s="24">
        <f ca="1">ROUND(F21*F26,4)</f>
        <v>1E-3</v>
      </c>
      <c r="D27" s="369" t="s">
        <v>1466</v>
      </c>
      <c r="E27" s="365"/>
      <c r="F27" s="366"/>
      <c r="G27" s="1837"/>
      <c r="H27" s="349"/>
      <c r="I27" s="350"/>
      <c r="J27" s="351"/>
      <c r="K27" s="378" t="s">
        <v>1467</v>
      </c>
      <c r="L27" s="347" t="s">
        <v>1468</v>
      </c>
      <c r="M27" s="379">
        <f ca="1">INDIRECT("'数据-取费表'!ag"&amp;$G$1)</f>
        <v>0</v>
      </c>
    </row>
    <row r="28" spans="1:37" s="1844" customFormat="1" ht="18" customHeight="1">
      <c r="A28" s="1196" t="s">
        <v>1033</v>
      </c>
      <c r="B28" s="347" t="s">
        <v>1469</v>
      </c>
      <c r="C28" s="24">
        <f>ROUND(F28/(1+'数据-取费表'!C42),4)</f>
        <v>5.33E-2</v>
      </c>
      <c r="D28" s="369" t="s">
        <v>1470</v>
      </c>
      <c r="E28" s="347" t="s">
        <v>1416</v>
      </c>
      <c r="F28" s="367">
        <f>'数据-取费表'!B41</f>
        <v>5.6000000000000001E-2</v>
      </c>
      <c r="G28" s="1840"/>
      <c r="H28" s="353"/>
      <c r="I28" s="354"/>
      <c r="J28" s="355"/>
      <c r="K28" s="373"/>
      <c r="L28" s="347" t="s">
        <v>1471</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4419</v>
      </c>
      <c r="D29" s="1337"/>
      <c r="E29" s="1335"/>
      <c r="F29" s="1338"/>
      <c r="G29" s="1840"/>
      <c r="H29" s="380" t="s">
        <v>1029</v>
      </c>
      <c r="I29" s="381" t="s">
        <v>1473</v>
      </c>
      <c r="J29" s="382">
        <f ca="1">ROUND(J26/(1+F40)^F41,0)</f>
        <v>0</v>
      </c>
      <c r="K29" s="383" t="s">
        <v>1474</v>
      </c>
      <c r="L29" s="384"/>
      <c r="M29" s="385">
        <f ca="1">INDIRECT("'数据-取费表'!k"&amp;$G$1)</f>
        <v>7954.3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5">
        <f ca="1">ROUND(C31+C36+C37+C38,0)</f>
        <v>50</v>
      </c>
      <c r="D30" s="1332" t="s">
        <v>1419</v>
      </c>
      <c r="E30" s="2963"/>
      <c r="F30" s="1289"/>
      <c r="G30" s="1837"/>
      <c r="H30" s="745"/>
      <c r="I30" s="746"/>
      <c r="J30" s="747"/>
      <c r="K30" s="748"/>
      <c r="L30" s="749"/>
      <c r="M30" s="750"/>
    </row>
    <row r="31" spans="1:37" ht="18" customHeight="1">
      <c r="A31" s="1196" t="s">
        <v>1031</v>
      </c>
      <c r="B31" s="347" t="s">
        <v>1423</v>
      </c>
      <c r="C31" s="24">
        <f ca="1">ROUND(IF(项目基本情况!B11="自然人",C6*F31/(1+'数据-取费表'!C42),C32+C33+C34),1)</f>
        <v>20.3</v>
      </c>
      <c r="D31" s="2961" t="s">
        <v>1424</v>
      </c>
      <c r="E31" s="2962" t="s">
        <v>1475</v>
      </c>
      <c r="F31" s="368">
        <f ca="1">IF(项目基本情况!B11="企业","",IF(INDIRECT("'数据-取费表'!c"&amp;$G$1)="住宅",5%,IF(F6*F7*F8/12/(1+'数据-取费表'!C42)&gt;20000,12%,7%)))</f>
        <v>0.12</v>
      </c>
      <c r="G31" s="1837"/>
      <c r="H31" s="745"/>
      <c r="I31" s="746"/>
      <c r="J31" s="747"/>
      <c r="K31" s="748"/>
      <c r="L31" s="749"/>
      <c r="M31" s="750"/>
    </row>
    <row r="32" spans="1:37" ht="18" customHeight="1">
      <c r="A32" s="1196" t="s">
        <v>1030</v>
      </c>
      <c r="B32" s="347" t="s">
        <v>1427</v>
      </c>
      <c r="C32" s="24">
        <f ca="1">IF(项目基本情况!B11="自然人","——",ROUND(C6*F32/(1+'数据-取费表'!C42),2))</f>
        <v>6.24</v>
      </c>
      <c r="D32" s="2962" t="s">
        <v>1428</v>
      </c>
      <c r="E32" s="347" t="s">
        <v>1416</v>
      </c>
      <c r="F32" s="377">
        <f>'数据-取费表'!B41</f>
        <v>5.6000000000000001E-2</v>
      </c>
      <c r="G32" s="1837"/>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13.37</v>
      </c>
      <c r="D33" s="1814" t="s">
        <v>3154</v>
      </c>
      <c r="E33" s="347" t="s">
        <v>1416</v>
      </c>
      <c r="F33" s="367">
        <f>IF(D33="按票据","——",IF(D33="按租金收入计税",'数据-取费表'!B51,'数据-取费表'!B50))</f>
        <v>0.12</v>
      </c>
      <c r="G33" s="1837"/>
      <c r="H33" s="1845"/>
      <c r="I33" s="1846"/>
      <c r="J33" s="1847"/>
      <c r="K33" s="1848"/>
      <c r="L33" s="1845"/>
      <c r="M33" s="1845"/>
    </row>
    <row r="34" spans="1:18" ht="18" customHeight="1">
      <c r="A34" s="1286" t="s">
        <v>1383</v>
      </c>
      <c r="B34" s="164" t="s">
        <v>1435</v>
      </c>
      <c r="C34" s="25">
        <f ca="1">IF(项目基本情况!B11="自然人","——",ROUND(F34*F35/10000,2))</f>
        <v>0.71</v>
      </c>
      <c r="D34" s="370" t="s">
        <v>1436</v>
      </c>
      <c r="E34" s="347" t="s">
        <v>1437</v>
      </c>
      <c r="F34" s="371">
        <f>'数据-取费表'!B52</f>
        <v>3</v>
      </c>
      <c r="G34" s="1837"/>
      <c r="H34" s="745"/>
      <c r="I34" s="1846"/>
      <c r="J34" s="1847"/>
      <c r="K34" s="1849"/>
      <c r="L34" s="1850"/>
      <c r="M34" s="1850"/>
    </row>
    <row r="35" spans="1:18" ht="18" customHeight="1">
      <c r="A35" s="1348"/>
      <c r="B35" s="1346"/>
      <c r="C35" s="29"/>
      <c r="D35" s="373"/>
      <c r="E35" s="347" t="s">
        <v>1441</v>
      </c>
      <c r="F35" s="348">
        <f ca="1">INDIRECT("'数据-取费表'!r"&amp;$G$1)</f>
        <v>2370.2399999999998</v>
      </c>
      <c r="G35" s="1837"/>
      <c r="H35" s="745"/>
      <c r="I35" s="1846"/>
      <c r="J35" s="1847"/>
      <c r="K35" s="1848"/>
      <c r="L35" s="1845"/>
      <c r="M35" s="1845"/>
    </row>
    <row r="36" spans="1:18" ht="18" customHeight="1">
      <c r="A36" s="1347" t="s">
        <v>1035</v>
      </c>
      <c r="B36" s="347" t="s">
        <v>1443</v>
      </c>
      <c r="C36" s="24">
        <f ca="1">ROUND(C29*F36,1)</f>
        <v>22.1</v>
      </c>
      <c r="D36" s="2962" t="s">
        <v>1476</v>
      </c>
      <c r="E36" s="347" t="s">
        <v>1416</v>
      </c>
      <c r="F36" s="374">
        <f ca="1">INDIRECT("'数据-取费表'!Ak"&amp;$G$1)</f>
        <v>5.0000000000000001E-3</v>
      </c>
      <c r="G36" s="1837"/>
      <c r="H36" s="1845"/>
      <c r="I36" s="1846"/>
      <c r="J36" s="1847"/>
      <c r="K36" s="751"/>
      <c r="L36" s="1845"/>
      <c r="M36" s="1845"/>
    </row>
    <row r="37" spans="1:18" ht="18" customHeight="1">
      <c r="A37" s="1196" t="s">
        <v>1071</v>
      </c>
      <c r="B37" s="347" t="s">
        <v>1447</v>
      </c>
      <c r="C37" s="24">
        <f ca="1">ROUND(C13*F37,1)</f>
        <v>6.4</v>
      </c>
      <c r="D37" s="2962" t="s">
        <v>1448</v>
      </c>
      <c r="E37" s="347" t="s">
        <v>1416</v>
      </c>
      <c r="F37" s="376">
        <f ca="1">INDIRECT("'数据-取费表'!Al"&amp;$G$1)</f>
        <v>1.5E-3</v>
      </c>
      <c r="G37" s="1837"/>
      <c r="H37" s="1845"/>
      <c r="I37" s="1846"/>
      <c r="J37" s="1847"/>
      <c r="K37" s="751"/>
      <c r="L37" s="1845"/>
      <c r="M37" s="1845"/>
    </row>
    <row r="38" spans="1:18" ht="18" customHeight="1" thickBot="1">
      <c r="A38" s="1334" t="s">
        <v>1386</v>
      </c>
      <c r="B38" s="1335" t="s">
        <v>1433</v>
      </c>
      <c r="C38" s="1336">
        <f ca="1">ROUND(C5*F38,1)</f>
        <v>1.2</v>
      </c>
      <c r="D38" s="1337" t="s">
        <v>1453</v>
      </c>
      <c r="E38" s="1335" t="s">
        <v>1416</v>
      </c>
      <c r="F38" s="1331">
        <f ca="1">INDIRECT("'数据-取费表'!Am"&amp;$G$1)</f>
        <v>0.01</v>
      </c>
      <c r="G38" s="1837"/>
      <c r="H38" s="1845"/>
      <c r="I38" s="1846"/>
      <c r="J38" s="1847"/>
      <c r="K38" s="1851"/>
      <c r="L38" s="1845"/>
      <c r="M38" s="1845"/>
    </row>
    <row r="39" spans="1:18" ht="24.6" customHeight="1" thickTop="1">
      <c r="A39" s="1324" t="s">
        <v>1027</v>
      </c>
      <c r="B39" s="1339" t="s">
        <v>1457</v>
      </c>
      <c r="C39" s="355">
        <f ca="1">C5-C30</f>
        <v>67</v>
      </c>
      <c r="D39" s="1340" t="s">
        <v>1458</v>
      </c>
      <c r="E39" s="1341"/>
      <c r="F39" s="1342"/>
      <c r="G39" s="1837"/>
      <c r="H39" s="1845"/>
      <c r="I39" s="1846"/>
      <c r="J39" s="1847"/>
      <c r="K39" s="1851"/>
      <c r="L39" s="1845"/>
      <c r="M39" s="1845"/>
    </row>
    <row r="40" spans="1:18" ht="18" customHeight="1">
      <c r="A40" s="344" t="s">
        <v>1028</v>
      </c>
      <c r="B40" s="345" t="s">
        <v>1479</v>
      </c>
      <c r="C40" s="346">
        <f ca="1">ROUND(C39*(1-((1+F42)/(1+F40))^F41)/(F40-F42),0)</f>
        <v>1189</v>
      </c>
      <c r="D40" s="370" t="s">
        <v>1463</v>
      </c>
      <c r="E40" s="347" t="s">
        <v>1464</v>
      </c>
      <c r="F40" s="357">
        <f ca="1">INDIRECT("'数据-取费表'!I"&amp;$G$1)</f>
        <v>4.4999999999999998E-2</v>
      </c>
      <c r="G40" s="1837"/>
      <c r="H40" s="1825"/>
      <c r="I40" s="1846"/>
      <c r="J40" s="1847"/>
      <c r="K40" s="1851"/>
      <c r="L40" s="1825"/>
      <c r="M40" s="1825"/>
    </row>
    <row r="41" spans="1:18" ht="18" customHeight="1">
      <c r="A41" s="349"/>
      <c r="B41" s="350"/>
      <c r="C41" s="351"/>
      <c r="D41" s="378" t="s">
        <v>1480</v>
      </c>
      <c r="E41" s="347" t="s">
        <v>1468</v>
      </c>
      <c r="F41" s="379">
        <f ca="1">IF(INDIRECT("'数据-取费表'!af"&amp;$G$1)=0,INDIRECT("'数据-取费表'!ae"&amp;$G$1),INDIRECT("'数据-取费表'!af"&amp;$G$1))</f>
        <v>22.68</v>
      </c>
      <c r="G41" s="1837"/>
      <c r="H41" s="732"/>
      <c r="I41" s="1846"/>
      <c r="J41" s="1847"/>
      <c r="K41" s="751"/>
      <c r="L41" s="732"/>
      <c r="M41" s="732"/>
    </row>
    <row r="42" spans="1:18" ht="18" customHeight="1">
      <c r="A42" s="353"/>
      <c r="B42" s="354"/>
      <c r="C42" s="355"/>
      <c r="D42" s="373"/>
      <c r="E42" s="347" t="s">
        <v>1471</v>
      </c>
      <c r="F42" s="357">
        <f ca="1">INDIRECT("'数据-取费表'!v"&amp;$G$1)</f>
        <v>2.5000000000000001E-2</v>
      </c>
      <c r="G42" s="1837"/>
      <c r="H42" s="732"/>
      <c r="I42" s="1846"/>
      <c r="J42" s="1847"/>
      <c r="K42" s="751"/>
      <c r="L42" s="732"/>
      <c r="M42" s="732"/>
    </row>
    <row r="43" spans="1:18" ht="18" customHeight="1" thickBot="1">
      <c r="A43" s="380" t="s">
        <v>1029</v>
      </c>
      <c r="B43" s="381" t="s">
        <v>1481</v>
      </c>
      <c r="C43" s="382">
        <f ca="1">ROUND(C40*10000/F43,0)</f>
        <v>1495</v>
      </c>
      <c r="D43" s="383" t="s">
        <v>1482</v>
      </c>
      <c r="E43" s="384" t="s">
        <v>1483</v>
      </c>
      <c r="F43" s="385">
        <f ca="1">INDIRECT("'数据-取费表'!k"&amp;$G$1)</f>
        <v>7954.3</v>
      </c>
      <c r="G43" s="1837"/>
      <c r="H43" s="732"/>
      <c r="I43" s="732"/>
      <c r="J43" s="732"/>
      <c r="K43" s="751"/>
      <c r="L43" s="732"/>
      <c r="M43" s="732"/>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6"/>
      <c r="O45" s="1855" t="s">
        <v>1513</v>
      </c>
      <c r="P45" s="1825"/>
      <c r="Q45" s="1825"/>
      <c r="R45" s="1825"/>
    </row>
    <row r="46" spans="1:18" s="1828" customFormat="1" ht="13.8" thickBot="1">
      <c r="A46" s="1856" t="s">
        <v>1514</v>
      </c>
      <c r="C46" s="1857">
        <f ca="1">C68-C40</f>
        <v>-6802</v>
      </c>
      <c r="D46" s="1858" t="str">
        <f>C2</f>
        <v>万元</v>
      </c>
      <c r="E46" s="1852"/>
      <c r="F46" s="1852"/>
      <c r="I46" s="1859" t="s">
        <v>1515</v>
      </c>
      <c r="J46" s="1860"/>
      <c r="K46" s="1861"/>
      <c r="L46" s="1862">
        <f ca="1">IF(M47="住宅",0,IF(L48&gt;J51,L60,J60))</f>
        <v>369</v>
      </c>
      <c r="O46" s="1863" t="s">
        <v>1516</v>
      </c>
      <c r="P46" s="1864" t="s">
        <v>1517</v>
      </c>
      <c r="Q46" s="1865" t="s">
        <v>1518</v>
      </c>
      <c r="R46" s="1865" t="s">
        <v>1519</v>
      </c>
    </row>
    <row r="47" spans="1:18" s="1828" customFormat="1" ht="13.8" thickBot="1">
      <c r="A47" s="1160" t="s">
        <v>1390</v>
      </c>
      <c r="B47" s="1192" t="s">
        <v>1391</v>
      </c>
      <c r="C47" s="1362" t="s">
        <v>1392</v>
      </c>
      <c r="D47" s="1192" t="s">
        <v>1393</v>
      </c>
      <c r="E47" s="1274" t="s">
        <v>1394</v>
      </c>
      <c r="F47" s="1275"/>
      <c r="G47" s="792"/>
      <c r="I47" s="1866" t="s">
        <v>1520</v>
      </c>
      <c r="J47" s="1867" t="s">
        <v>4205</v>
      </c>
      <c r="K47" s="1868" t="s">
        <v>1521</v>
      </c>
      <c r="L47" s="1869">
        <f ca="1">INDIRECT("'数据-取费表'!d"&amp;$G$1)</f>
        <v>40</v>
      </c>
      <c r="M47" s="1824" t="str">
        <f>IF(ISNUMBER(FIND("住宅",C1)),"住宅","非住宅")</f>
        <v>非住宅</v>
      </c>
      <c r="O47" s="1870" t="s">
        <v>1036</v>
      </c>
      <c r="P47" s="1871" t="s">
        <v>1522</v>
      </c>
      <c r="Q47" s="1872">
        <f ca="1">C40+J29</f>
        <v>1189</v>
      </c>
      <c r="R47" s="1872" t="s">
        <v>1523</v>
      </c>
    </row>
    <row r="48" spans="1:18" s="1828" customFormat="1" ht="40.200000000000003" thickBot="1">
      <c r="A48" s="1355" t="s">
        <v>1131</v>
      </c>
      <c r="B48" s="345" t="s">
        <v>1395</v>
      </c>
      <c r="C48" s="2955">
        <f ca="1">C49+C53+C55</f>
        <v>0</v>
      </c>
      <c r="D48" s="1357"/>
      <c r="E48" s="1358"/>
      <c r="F48" s="1176"/>
      <c r="G48" s="792"/>
      <c r="H48" s="793"/>
      <c r="I48" s="1873" t="s">
        <v>1524</v>
      </c>
      <c r="J48" s="1874" t="s">
        <v>4206</v>
      </c>
      <c r="K48" s="1875" t="s">
        <v>1525</v>
      </c>
      <c r="L48" s="1876">
        <f ca="1">INDIRECT("'数据-取费表'!f"&amp;$G$1)</f>
        <v>22.68</v>
      </c>
      <c r="O48" s="1870" t="s">
        <v>1037</v>
      </c>
      <c r="P48" s="1871" t="s">
        <v>1526</v>
      </c>
      <c r="Q48" s="1872">
        <f ca="1">J60</f>
        <v>369</v>
      </c>
      <c r="R48" s="1872" t="s">
        <v>1527</v>
      </c>
    </row>
    <row r="49" spans="1:18" s="1828" customFormat="1" ht="13.8" thickBot="1">
      <c r="A49" s="1189" t="s">
        <v>1132</v>
      </c>
      <c r="B49" s="1815" t="s">
        <v>1484</v>
      </c>
      <c r="C49" s="1359">
        <f ca="1">ROUND(F49*F51*F50*(1-F52)/10000,0)</f>
        <v>0</v>
      </c>
      <c r="D49" s="1271" t="s">
        <v>3021</v>
      </c>
      <c r="E49" s="1816" t="s">
        <v>1485</v>
      </c>
      <c r="F49" s="1276"/>
      <c r="G49" s="1877"/>
      <c r="H49" s="793"/>
      <c r="I49" s="1873" t="s">
        <v>1528</v>
      </c>
      <c r="J49" s="1878">
        <v>2018</v>
      </c>
      <c r="K49" s="1875" t="s">
        <v>1529</v>
      </c>
      <c r="L49" s="1879"/>
      <c r="O49" s="1880" t="s">
        <v>1038</v>
      </c>
      <c r="P49" s="1871" t="s">
        <v>1530</v>
      </c>
      <c r="Q49" s="1872">
        <f ca="1">C29</f>
        <v>4419</v>
      </c>
      <c r="R49" s="1872" t="s">
        <v>1523</v>
      </c>
    </row>
    <row r="50" spans="1:18" s="1828" customFormat="1" ht="13.8" thickBot="1">
      <c r="A50" s="1190"/>
      <c r="B50" s="1193"/>
      <c r="C50" s="1363"/>
      <c r="D50" s="1167"/>
      <c r="E50" s="1272" t="s">
        <v>1400</v>
      </c>
      <c r="F50" s="1273">
        <f ca="1">F7</f>
        <v>254</v>
      </c>
      <c r="H50" s="793"/>
      <c r="I50" s="1873" t="s">
        <v>1531</v>
      </c>
      <c r="J50" s="1881">
        <f>SUMPRODUCT((I63:I65=J47)*(J62:L62=J48)*(J63:L65))</f>
        <v>60</v>
      </c>
      <c r="K50" s="1875" t="s">
        <v>1532</v>
      </c>
      <c r="L50" s="1879"/>
      <c r="M50" s="1882"/>
      <c r="O50" s="1880" t="s">
        <v>1039</v>
      </c>
      <c r="P50" s="1871" t="s">
        <v>1533</v>
      </c>
      <c r="Q50" s="1883">
        <f ca="1">J58</f>
        <v>0.58899999999999997</v>
      </c>
      <c r="R50" s="1872"/>
    </row>
    <row r="51" spans="1:18" s="1828" customFormat="1" ht="13.8" thickBot="1">
      <c r="A51" s="1191"/>
      <c r="B51" s="1193"/>
      <c r="C51" s="1194"/>
      <c r="D51" s="1167"/>
      <c r="E51" s="1195" t="s">
        <v>1401</v>
      </c>
      <c r="F51" s="348">
        <f ca="1">F8</f>
        <v>12</v>
      </c>
      <c r="I51" s="1884" t="s">
        <v>1534</v>
      </c>
      <c r="J51" s="1885">
        <f>IF(J49="",J50,J49+J50-YEAR('数据-取费表'!B2))</f>
        <v>58</v>
      </c>
      <c r="K51" s="1886" t="s">
        <v>1535</v>
      </c>
      <c r="L51" s="1887">
        <f ca="1">ROUND(-PV(INDIRECT("'数据-取费表'!h"&amp;$G$1),J51,(C39-C13*C76),0),0)</f>
        <v>-6669</v>
      </c>
      <c r="M51" s="1888"/>
      <c r="O51" s="1880" t="s">
        <v>1040</v>
      </c>
      <c r="P51" s="1871" t="s">
        <v>1536</v>
      </c>
      <c r="Q51" s="1883">
        <f>J52</f>
        <v>0.09</v>
      </c>
      <c r="R51" s="1872"/>
    </row>
    <row r="52" spans="1:18" s="1828" customFormat="1" ht="13.8" thickBot="1">
      <c r="A52" s="1191"/>
      <c r="B52" s="1193"/>
      <c r="C52" s="1194"/>
      <c r="D52" s="1167"/>
      <c r="E52" s="1195" t="s">
        <v>1402</v>
      </c>
      <c r="F52" s="1270"/>
      <c r="I52" s="1889" t="s">
        <v>1537</v>
      </c>
      <c r="J52" s="1890">
        <v>0.09</v>
      </c>
      <c r="K52" s="1889" t="s">
        <v>1538</v>
      </c>
      <c r="L52" s="1890"/>
      <c r="O52" s="1880" t="s">
        <v>1041</v>
      </c>
      <c r="P52" s="1871" t="s">
        <v>1539</v>
      </c>
      <c r="Q52" s="1872">
        <f ca="1">J53</f>
        <v>22.68</v>
      </c>
      <c r="R52" s="1872" t="s">
        <v>1540</v>
      </c>
    </row>
    <row r="53" spans="1:18" s="1828" customFormat="1" ht="36.6" thickBot="1">
      <c r="A53" s="1400" t="s">
        <v>1133</v>
      </c>
      <c r="B53" s="1817" t="s">
        <v>1403</v>
      </c>
      <c r="C53" s="361">
        <f ca="1">ROUND(IF(F53="押一",C49/12*F11,IF(F53="押二",C49/12*2*F11,IF(F53="押三",C49/12*3*F11,C54*F11))),0)</f>
        <v>0</v>
      </c>
      <c r="D53" s="1810" t="s">
        <v>3030</v>
      </c>
      <c r="E53" s="358" t="s">
        <v>1404</v>
      </c>
      <c r="F53" s="1361"/>
      <c r="I53" s="1891" t="s">
        <v>1541</v>
      </c>
      <c r="J53" s="2938">
        <f ca="1">IF(M47="住宅",IF(D1="——",MAX(J51,L48),MAX(J51,L48-'数据-取费表'!B24)),IF(D1="——",MIN(J51,L48),MIN(J51,L48-'数据-取费表'!B24)))</f>
        <v>22.68</v>
      </c>
      <c r="K53" s="3221" t="s">
        <v>1542</v>
      </c>
      <c r="L53" s="3222"/>
      <c r="O53" s="1870" t="s">
        <v>1042</v>
      </c>
      <c r="P53" s="1871" t="s">
        <v>1543</v>
      </c>
      <c r="Q53" s="1872">
        <f ca="1">Q47+Q48</f>
        <v>1558</v>
      </c>
      <c r="R53" s="1872" t="s">
        <v>1043</v>
      </c>
    </row>
    <row r="54" spans="1:18" s="1828" customFormat="1" ht="24.6" thickBot="1">
      <c r="A54" s="1401"/>
      <c r="B54" s="1811" t="s">
        <v>1382</v>
      </c>
      <c r="C54" s="1173"/>
      <c r="D54" s="1810"/>
      <c r="E54" s="2959"/>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7"/>
      <c r="O54" s="1855" t="s">
        <v>1544</v>
      </c>
      <c r="P54" s="1825"/>
      <c r="Q54" s="1825"/>
      <c r="R54" s="1825"/>
    </row>
    <row r="55" spans="1:18" s="1828" customFormat="1" ht="13.8" thickBot="1">
      <c r="A55" s="1328" t="s">
        <v>1071</v>
      </c>
      <c r="B55" s="1813" t="s">
        <v>1407</v>
      </c>
      <c r="C55" s="1329"/>
      <c r="D55" s="1810"/>
      <c r="E55" s="2959"/>
      <c r="F55" s="1892"/>
      <c r="I55" s="1895" t="s">
        <v>1545</v>
      </c>
      <c r="J55" s="1896">
        <f ca="1">ROUND(IF(J47="钢混",J57/J50,1-(1-2%)*(J50-J57)/J50),3)</f>
        <v>0.58899999999999997</v>
      </c>
      <c r="K55" s="1897" t="s">
        <v>1546</v>
      </c>
      <c r="L55" s="1898" t="s">
        <v>1547</v>
      </c>
      <c r="O55" s="1863" t="s">
        <v>1516</v>
      </c>
      <c r="P55" s="1864" t="s">
        <v>1517</v>
      </c>
      <c r="Q55" s="1865" t="s">
        <v>1518</v>
      </c>
      <c r="R55" s="1865" t="s">
        <v>1519</v>
      </c>
    </row>
    <row r="56" spans="1:18" s="1828" customFormat="1" ht="37.200000000000003" thickTop="1" thickBot="1">
      <c r="A56" s="1171">
        <v>2</v>
      </c>
      <c r="B56" s="1172" t="s">
        <v>1408</v>
      </c>
      <c r="C56" s="276">
        <f ca="1">C13</f>
        <v>4286</v>
      </c>
      <c r="D56" s="1899"/>
      <c r="E56" s="1900"/>
      <c r="F56" s="1892"/>
      <c r="I56" s="1901" t="s">
        <v>1548</v>
      </c>
      <c r="J56" s="1902" t="s">
        <v>3152</v>
      </c>
      <c r="K56" s="1873" t="s">
        <v>1549</v>
      </c>
      <c r="L56" s="1876" t="str">
        <f ca="1">IF(L48&lt;J51,"——",L48-J53)</f>
        <v>——</v>
      </c>
      <c r="O56" s="1870" t="s">
        <v>1036</v>
      </c>
      <c r="P56" s="1871" t="s">
        <v>1522</v>
      </c>
      <c r="Q56" s="1872">
        <f ca="1">C40+J29</f>
        <v>1189</v>
      </c>
      <c r="R56" s="1872" t="s">
        <v>1523</v>
      </c>
    </row>
    <row r="57" spans="1:18" s="1828" customFormat="1" ht="24.6" thickBot="1">
      <c r="A57" s="1903"/>
      <c r="B57" s="1164" t="s">
        <v>1472</v>
      </c>
      <c r="C57" s="282">
        <f ca="1">C29</f>
        <v>4419</v>
      </c>
      <c r="D57" s="1904"/>
      <c r="E57" s="1905"/>
      <c r="F57" s="1906"/>
      <c r="I57" s="1907" t="s">
        <v>1550</v>
      </c>
      <c r="J57" s="1908">
        <f ca="1">IF(OR(M47="住宅",J51&lt;L48,J56="是"),"——",J51-L48)</f>
        <v>35.32</v>
      </c>
      <c r="K57" s="1873" t="s">
        <v>1551</v>
      </c>
      <c r="L57" s="1876" t="str">
        <f ca="1">IF(L48&lt;J51,"——",IF(L55="比较法",L49,IF(L55="基准地价",L50,L51)))</f>
        <v>——</v>
      </c>
      <c r="O57" s="1870" t="s">
        <v>1037</v>
      </c>
      <c r="P57" s="1871" t="s">
        <v>1552</v>
      </c>
      <c r="Q57" s="1872">
        <f ca="1">L60</f>
        <v>0</v>
      </c>
      <c r="R57" s="1872" t="s">
        <v>1553</v>
      </c>
    </row>
    <row r="58" spans="1:18" s="1828" customFormat="1" ht="24.6" thickBot="1">
      <c r="A58" s="360" t="s">
        <v>1026</v>
      </c>
      <c r="B58" s="1172" t="s">
        <v>1418</v>
      </c>
      <c r="C58" s="361">
        <f ca="1">ROUND(C59+C64+C65+C66,0)</f>
        <v>400</v>
      </c>
      <c r="D58" s="1174" t="s">
        <v>1419</v>
      </c>
      <c r="E58" s="1175"/>
      <c r="F58" s="1176"/>
      <c r="I58" s="1907" t="s">
        <v>1554</v>
      </c>
      <c r="J58" s="1909">
        <f ca="1">IF(J55&lt;0.4,0.4,J55)</f>
        <v>0.58899999999999997</v>
      </c>
      <c r="K58" s="1886" t="s">
        <v>1555</v>
      </c>
      <c r="L58" s="1876" t="e">
        <f ca="1">ROUND(POWER(1+L52,L47-L48)*(POWER(1+L52,L48)-1)/(POWER(1+L52,L47)-1),4)</f>
        <v>#DIV/0!</v>
      </c>
      <c r="O58" s="1880" t="s">
        <v>1038</v>
      </c>
      <c r="P58" s="1871" t="s">
        <v>1556</v>
      </c>
      <c r="Q58" s="1872">
        <f>IF(L55="比较法",L49,IF(L55="基准地价",L50,0))</f>
        <v>0</v>
      </c>
      <c r="R58" s="1872" t="s">
        <v>1523</v>
      </c>
    </row>
    <row r="59" spans="1:18" s="1828" customFormat="1" ht="24.6" thickBot="1">
      <c r="A59" s="1196" t="s">
        <v>1031</v>
      </c>
      <c r="B59" s="1164" t="s">
        <v>1423</v>
      </c>
      <c r="C59" s="24">
        <f ca="1">ROUND(IF(项目基本情况!B11="自然人",C48*F59,C60+C61+C62),1)</f>
        <v>371.9</v>
      </c>
      <c r="D59" s="1177" t="s">
        <v>1424</v>
      </c>
      <c r="E59" s="1178" t="s">
        <v>1425</v>
      </c>
      <c r="F59" s="368">
        <f ca="1">IF(项目基本情况!B11="企业","",IF(INDIRECT("'数据-取费表'!c"&amp;$G$1)="住宅",5%,IF(F49*F50*F51/12/(1+'数据-取费表'!C42)&gt;20000,12%,7%)))</f>
        <v>7.0000000000000007E-2</v>
      </c>
      <c r="I59" s="1907" t="s">
        <v>1557</v>
      </c>
      <c r="J59" s="1908">
        <f ca="1">IF(OR(M47="住宅",J51&lt;L48,J56="是"),"——",ROUND(C29*J58,0))</f>
        <v>2603</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1039</v>
      </c>
      <c r="P59" s="1871" t="s">
        <v>1558</v>
      </c>
      <c r="Q59" s="1883">
        <f>L52</f>
        <v>0</v>
      </c>
      <c r="R59" s="1872"/>
    </row>
    <row r="60" spans="1:18" s="1828"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10" t="s">
        <v>1559</v>
      </c>
      <c r="J60" s="1911">
        <f ca="1">IF(OR(M47="住宅",J51&lt;L48,J56="是"),"0",ROUND(J59/(1+J52)^J53,0))</f>
        <v>369</v>
      </c>
      <c r="K60" s="1912" t="s">
        <v>1560</v>
      </c>
      <c r="L60" s="1911">
        <f ca="1">IF(OR(M47="住宅",L48&lt;J51),0,ROUND(L57*(L58/L59-1),0))</f>
        <v>0</v>
      </c>
      <c r="O60" s="1880" t="s">
        <v>1040</v>
      </c>
      <c r="P60" s="1871" t="s">
        <v>1561</v>
      </c>
      <c r="Q60" s="1872" t="e">
        <f ca="1">L58</f>
        <v>#DIV/0!</v>
      </c>
      <c r="R60" s="1872" t="s">
        <v>1562</v>
      </c>
    </row>
    <row r="61" spans="1:18" s="1828" customFormat="1" ht="13.8" thickBot="1">
      <c r="A61" s="1196" t="s">
        <v>1486</v>
      </c>
      <c r="B61" s="1164" t="s">
        <v>1431</v>
      </c>
      <c r="C61" s="24">
        <f ca="1">IF(项目基本情况!B11="自然人","——",IF(D61="按租金收入计税",ROUND(C48*F61,2),IF(D61="按房产原值计税",ROUND(C57*F61*0.7,2),INDIRECT("'数据-取费表'!Aj"&amp;$G$1))))</f>
        <v>371.2</v>
      </c>
      <c r="D61" s="1814" t="s">
        <v>1432</v>
      </c>
      <c r="E61" s="1164" t="s">
        <v>1416</v>
      </c>
      <c r="F61" s="367">
        <f t="shared" si="0"/>
        <v>0.12</v>
      </c>
      <c r="I61" s="1913"/>
      <c r="J61" s="1913"/>
      <c r="K61" s="1913"/>
      <c r="L61" s="1913"/>
      <c r="O61" s="1880" t="s">
        <v>1041</v>
      </c>
      <c r="P61" s="1871" t="str">
        <f>K59</f>
        <v>建筑物剩余耐用年限下的土地年期修正系数Kn</v>
      </c>
      <c r="Q61" s="1872" t="e">
        <f ca="1">L59</f>
        <v>#DIV/0!</v>
      </c>
      <c r="R61" s="1872" t="s">
        <v>1563</v>
      </c>
    </row>
    <row r="62" spans="1:18" s="1828" customFormat="1" ht="13.8" thickBot="1">
      <c r="A62" s="1196" t="s">
        <v>1489</v>
      </c>
      <c r="B62" s="1163" t="s">
        <v>1435</v>
      </c>
      <c r="C62" s="25">
        <f ca="1">IF(项目基本情况!B11="自然人","——",ROUND(F62*F63/10000,2))</f>
        <v>0.71</v>
      </c>
      <c r="D62" s="1179" t="s">
        <v>1436</v>
      </c>
      <c r="E62" s="1164" t="s">
        <v>1437</v>
      </c>
      <c r="F62" s="371">
        <f t="shared" si="0"/>
        <v>3</v>
      </c>
      <c r="I62" s="1914" t="s">
        <v>1564</v>
      </c>
      <c r="J62" s="1915" t="s">
        <v>1565</v>
      </c>
      <c r="K62" s="1915" t="s">
        <v>1566</v>
      </c>
      <c r="L62" s="1915" t="s">
        <v>1567</v>
      </c>
      <c r="M62" s="1916" t="s">
        <v>1568</v>
      </c>
      <c r="O62" s="1870" t="s">
        <v>1042</v>
      </c>
      <c r="P62" s="1871" t="s">
        <v>1543</v>
      </c>
      <c r="Q62" s="1872">
        <f ca="1">Q56+Q57</f>
        <v>1189</v>
      </c>
      <c r="R62" s="1872" t="s">
        <v>1043</v>
      </c>
    </row>
    <row r="63" spans="1:18" s="1828" customFormat="1" ht="13.8" thickBot="1">
      <c r="A63" s="372"/>
      <c r="B63" s="1170"/>
      <c r="C63" s="29"/>
      <c r="D63" s="1180"/>
      <c r="E63" s="1164" t="s">
        <v>1441</v>
      </c>
      <c r="F63" s="348">
        <f t="shared" ca="1" si="0"/>
        <v>2370.2399999999998</v>
      </c>
      <c r="I63" s="1914" t="s">
        <v>1570</v>
      </c>
      <c r="J63" s="1915">
        <v>70</v>
      </c>
      <c r="K63" s="1915">
        <v>50</v>
      </c>
      <c r="L63" s="1915">
        <v>80</v>
      </c>
      <c r="M63" s="1917">
        <v>0.02</v>
      </c>
      <c r="O63" s="1855" t="s">
        <v>1571</v>
      </c>
      <c r="P63" s="1825"/>
      <c r="Q63" s="1825"/>
      <c r="R63" s="1825"/>
    </row>
    <row r="64" spans="1:18" s="1828" customFormat="1" ht="13.8" thickBot="1">
      <c r="A64" s="1196" t="s">
        <v>1035</v>
      </c>
      <c r="B64" s="1164" t="s">
        <v>1443</v>
      </c>
      <c r="C64" s="24">
        <f ca="1">ROUND(C57*F64,1)</f>
        <v>22.1</v>
      </c>
      <c r="D64" s="1178" t="s">
        <v>1476</v>
      </c>
      <c r="E64" s="1164" t="s">
        <v>1416</v>
      </c>
      <c r="F64" s="374">
        <f t="shared" ca="1" si="0"/>
        <v>5.0000000000000001E-3</v>
      </c>
      <c r="I64" s="1914" t="s">
        <v>1572</v>
      </c>
      <c r="J64" s="1915">
        <v>50</v>
      </c>
      <c r="K64" s="1915">
        <v>35</v>
      </c>
      <c r="L64" s="1915">
        <v>60</v>
      </c>
      <c r="M64" s="1916">
        <v>0</v>
      </c>
      <c r="O64" s="1863" t="s">
        <v>1516</v>
      </c>
      <c r="P64" s="1864" t="s">
        <v>1517</v>
      </c>
      <c r="Q64" s="1865" t="s">
        <v>1518</v>
      </c>
      <c r="R64" s="1865" t="s">
        <v>1519</v>
      </c>
    </row>
    <row r="65" spans="1:18" s="1828" customFormat="1" ht="13.8" thickBot="1">
      <c r="A65" s="1196" t="s">
        <v>1497</v>
      </c>
      <c r="B65" s="1164" t="s">
        <v>1447</v>
      </c>
      <c r="C65" s="24">
        <f ca="1">ROUND(C56*F65,1)</f>
        <v>6.4</v>
      </c>
      <c r="D65" s="1178" t="s">
        <v>1448</v>
      </c>
      <c r="E65" s="1164" t="s">
        <v>1416</v>
      </c>
      <c r="F65" s="376">
        <f t="shared" ca="1" si="0"/>
        <v>1.5E-3</v>
      </c>
      <c r="I65" s="1914" t="s">
        <v>1573</v>
      </c>
      <c r="J65" s="1915">
        <v>40</v>
      </c>
      <c r="K65" s="1915">
        <v>30</v>
      </c>
      <c r="L65" s="1915">
        <v>50</v>
      </c>
      <c r="M65" s="1917">
        <v>0.02</v>
      </c>
      <c r="O65" s="1870" t="s">
        <v>1036</v>
      </c>
      <c r="P65" s="1871" t="s">
        <v>1522</v>
      </c>
      <c r="Q65" s="1872">
        <f ca="1">C40+J29</f>
        <v>1189</v>
      </c>
      <c r="R65" s="1872" t="s">
        <v>1523</v>
      </c>
    </row>
    <row r="66" spans="1:18" s="1828" customFormat="1" ht="16.2" thickBot="1">
      <c r="A66" s="1196" t="s">
        <v>1498</v>
      </c>
      <c r="B66" s="1164" t="s">
        <v>1433</v>
      </c>
      <c r="C66" s="24">
        <f ca="1">ROUND(C48*F66,1)</f>
        <v>0</v>
      </c>
      <c r="D66" s="1178" t="s">
        <v>1453</v>
      </c>
      <c r="E66" s="1164" t="s">
        <v>1416</v>
      </c>
      <c r="F66" s="357">
        <f t="shared" ca="1" si="0"/>
        <v>0.01</v>
      </c>
      <c r="O66" s="1870" t="s">
        <v>1037</v>
      </c>
      <c r="P66" s="1871" t="s">
        <v>1552</v>
      </c>
      <c r="Q66" s="1872">
        <f ca="1">L60</f>
        <v>0</v>
      </c>
      <c r="R66" s="1872" t="s">
        <v>1575</v>
      </c>
    </row>
    <row r="67" spans="1:18" s="1828" customFormat="1" ht="24.6" thickBot="1">
      <c r="A67" s="1171" t="s">
        <v>1027</v>
      </c>
      <c r="B67" s="1181" t="s">
        <v>1457</v>
      </c>
      <c r="C67" s="361">
        <f ca="1">C48-C58</f>
        <v>-400</v>
      </c>
      <c r="D67" s="1177" t="s">
        <v>1458</v>
      </c>
      <c r="E67" s="1182"/>
      <c r="F67" s="1183"/>
      <c r="O67" s="1880" t="s">
        <v>1038</v>
      </c>
      <c r="P67" s="1871" t="s">
        <v>1556</v>
      </c>
      <c r="Q67" s="1918">
        <f ca="1">L51</f>
        <v>-6669</v>
      </c>
      <c r="R67" s="1872" t="s">
        <v>1576</v>
      </c>
    </row>
    <row r="68" spans="1:18" s="1828" customFormat="1" ht="16.2" thickBot="1">
      <c r="A68" s="1161" t="s">
        <v>1028</v>
      </c>
      <c r="B68" s="1162" t="s">
        <v>1479</v>
      </c>
      <c r="C68" s="346">
        <f ca="1">ROUND(C67*(1-((1+F70)/(1+F68))^F69)/(F68-F70),0)</f>
        <v>-5613</v>
      </c>
      <c r="D68" s="1179" t="s">
        <v>1463</v>
      </c>
      <c r="E68" s="1164" t="s">
        <v>1464</v>
      </c>
      <c r="F68" s="357">
        <f ca="1">F40</f>
        <v>4.4999999999999998E-2</v>
      </c>
      <c r="O68" s="1880" t="s">
        <v>1039</v>
      </c>
      <c r="P68" s="1919" t="s">
        <v>1577</v>
      </c>
      <c r="Q68" s="1872">
        <f ca="1">ROUND(Q69-Q70*Q71,0)</f>
        <v>-297</v>
      </c>
      <c r="R68" s="1872" t="s">
        <v>1047</v>
      </c>
    </row>
    <row r="69" spans="1:18" s="1828" customFormat="1" ht="13.8" thickBot="1">
      <c r="A69" s="1165"/>
      <c r="B69" s="1166"/>
      <c r="C69" s="351"/>
      <c r="D69" s="1184" t="s">
        <v>1467</v>
      </c>
      <c r="E69" s="1164" t="s">
        <v>1468</v>
      </c>
      <c r="F69" s="379">
        <f ca="1">F41</f>
        <v>22.68</v>
      </c>
      <c r="O69" s="1880" t="s">
        <v>1044</v>
      </c>
      <c r="P69" s="1919" t="s">
        <v>1578</v>
      </c>
      <c r="Q69" s="1872">
        <f ca="1">C39</f>
        <v>67</v>
      </c>
      <c r="R69" s="1872" t="s">
        <v>1523</v>
      </c>
    </row>
    <row r="70" spans="1:18" s="1828" customFormat="1" ht="13.8" thickBot="1">
      <c r="A70" s="1168"/>
      <c r="B70" s="1169"/>
      <c r="C70" s="355"/>
      <c r="D70" s="1180"/>
      <c r="E70" s="1164" t="s">
        <v>1471</v>
      </c>
      <c r="F70" s="1270"/>
      <c r="O70" s="1880" t="s">
        <v>1045</v>
      </c>
      <c r="P70" s="1919" t="s">
        <v>1579</v>
      </c>
      <c r="Q70" s="1872">
        <f ca="1">C13</f>
        <v>4286</v>
      </c>
      <c r="R70" s="1872" t="s">
        <v>1523</v>
      </c>
    </row>
    <row r="71" spans="1:18" s="1828" customFormat="1" ht="13.8" thickBot="1">
      <c r="A71" s="1185" t="s">
        <v>1029</v>
      </c>
      <c r="B71" s="1186" t="s">
        <v>1481</v>
      </c>
      <c r="C71" s="382">
        <f ca="1">ROUND(C68*10000/F71,0)</f>
        <v>-7057</v>
      </c>
      <c r="D71" s="1187" t="s">
        <v>1482</v>
      </c>
      <c r="E71" s="1188" t="s">
        <v>1483</v>
      </c>
      <c r="F71" s="385">
        <f ca="1">F43</f>
        <v>7954.3</v>
      </c>
      <c r="O71" s="1880" t="s">
        <v>1046</v>
      </c>
      <c r="P71" s="1919" t="s">
        <v>1580</v>
      </c>
      <c r="Q71" s="1883">
        <f ca="1">C76</f>
        <v>8.5000000000000006E-2</v>
      </c>
      <c r="R71" s="1872"/>
    </row>
    <row r="72" spans="1:18" s="1828" customFormat="1" ht="13.8" thickBot="1">
      <c r="B72" s="796"/>
      <c r="C72" s="796"/>
      <c r="O72" s="1880" t="s">
        <v>1040</v>
      </c>
      <c r="P72" s="1871" t="s">
        <v>1558</v>
      </c>
      <c r="Q72" s="1883">
        <f>L52</f>
        <v>0</v>
      </c>
      <c r="R72" s="1872"/>
    </row>
    <row r="73" spans="1:18" ht="16.2" thickBot="1">
      <c r="A73" s="1828"/>
      <c r="B73" s="796"/>
      <c r="C73" s="796"/>
      <c r="D73" s="1828"/>
      <c r="E73" s="1828"/>
      <c r="F73" s="1828"/>
      <c r="O73" s="1880" t="s">
        <v>1041</v>
      </c>
      <c r="P73" s="1871" t="s">
        <v>1561</v>
      </c>
      <c r="Q73" s="1872" t="e">
        <f ca="1">L58</f>
        <v>#DIV/0!</v>
      </c>
      <c r="R73" s="1872" t="s">
        <v>1562</v>
      </c>
    </row>
    <row r="74" spans="1:18" ht="13.8" thickBot="1">
      <c r="A74" s="1828"/>
      <c r="B74" s="317" t="s">
        <v>1581</v>
      </c>
      <c r="C74" s="1921"/>
      <c r="D74" s="1828"/>
      <c r="E74" s="1828"/>
      <c r="F74" s="1828"/>
      <c r="O74" s="1880" t="s">
        <v>1048</v>
      </c>
      <c r="P74" s="1871" t="str">
        <f>K59</f>
        <v>建筑物剩余耐用年限下的土地年期修正系数Kn</v>
      </c>
      <c r="Q74" s="1872" t="e">
        <f ca="1">L59</f>
        <v>#DIV/0!</v>
      </c>
      <c r="R74" s="1872" t="s">
        <v>1563</v>
      </c>
    </row>
    <row r="75" spans="1:18" ht="13.8" thickBot="1">
      <c r="A75" s="1828"/>
      <c r="B75" s="386" t="s">
        <v>1500</v>
      </c>
      <c r="C75" s="387">
        <f ca="1">ROUND(C13*C76,0)</f>
        <v>364</v>
      </c>
      <c r="D75" s="1828"/>
      <c r="E75" s="1828"/>
      <c r="F75" s="1828"/>
      <c r="K75" s="1854"/>
      <c r="L75" s="1828"/>
      <c r="O75" s="1870" t="s">
        <v>1042</v>
      </c>
      <c r="P75" s="1871" t="s">
        <v>1543</v>
      </c>
      <c r="Q75" s="1872">
        <f ca="1">Q65+Q66</f>
        <v>1189</v>
      </c>
      <c r="R75" s="1872" t="s">
        <v>1043</v>
      </c>
    </row>
    <row r="76" spans="1:18">
      <c r="B76" s="388" t="s">
        <v>1501</v>
      </c>
      <c r="C76" s="389">
        <f ca="1">INDIRECT("'数据-取费表'!j"&amp;$G$1)</f>
        <v>8.5000000000000006E-2</v>
      </c>
      <c r="I76" s="1828"/>
      <c r="J76" s="1828"/>
      <c r="K76" s="1854"/>
      <c r="L76" s="1828"/>
    </row>
    <row r="77" spans="1:18">
      <c r="B77" s="390" t="s">
        <v>1502</v>
      </c>
      <c r="C77" s="391"/>
      <c r="I77" s="1828"/>
      <c r="J77" s="1828"/>
      <c r="K77" s="1854"/>
      <c r="L77" s="1828"/>
    </row>
    <row r="78" spans="1:18">
      <c r="B78" s="314" t="s">
        <v>1503</v>
      </c>
      <c r="C78" s="392"/>
    </row>
    <row r="79" spans="1:18">
      <c r="B79" s="386" t="s">
        <v>1504</v>
      </c>
      <c r="C79" s="318">
        <f ca="1">1-C80</f>
        <v>-4.4329999999999998</v>
      </c>
    </row>
    <row r="80" spans="1:18">
      <c r="B80" s="386" t="s">
        <v>1505</v>
      </c>
      <c r="C80" s="318">
        <f ca="1">ROUND(C75/C39,3)</f>
        <v>5.4329999999999998</v>
      </c>
    </row>
    <row r="81" spans="2:3">
      <c r="B81" s="314" t="s">
        <v>1506</v>
      </c>
      <c r="C81" s="282"/>
    </row>
    <row r="82" spans="2:3">
      <c r="B82" s="317" t="s">
        <v>1507</v>
      </c>
      <c r="C82" s="319">
        <f ca="1">1-C83</f>
        <v>-2.605</v>
      </c>
    </row>
    <row r="83" spans="2:3">
      <c r="B83" s="317" t="s">
        <v>1508</v>
      </c>
      <c r="C83" s="318">
        <f ca="1">ROUND(C13/C40,3)</f>
        <v>3.605</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0" customWidth="1"/>
    <col min="12" max="12" width="16.33203125" style="302" customWidth="1"/>
    <col min="13" max="13" width="13" style="302" customWidth="1"/>
    <col min="14" max="14" width="13.77734375" style="1828" customWidth="1"/>
    <col min="15" max="15" width="5.109375" style="1828" customWidth="1"/>
    <col min="16" max="16" width="25.77734375" style="1828" customWidth="1"/>
    <col min="17" max="17" width="13.77734375" style="1828" customWidth="1"/>
    <col min="18" max="18" width="20.44140625" style="1828" customWidth="1"/>
    <col min="19" max="19" width="13.21875" style="1828" customWidth="1"/>
    <col min="20" max="37" width="9" style="1828"/>
    <col min="38" max="16384" width="9" style="302"/>
  </cols>
  <sheetData>
    <row r="1" spans="1:37" s="337" customFormat="1" ht="21.6">
      <c r="A1" s="1819" t="s">
        <v>1583</v>
      </c>
      <c r="B1" s="782"/>
      <c r="C1" s="1823"/>
      <c r="D1" s="1806"/>
      <c r="E1" s="1807" t="s">
        <v>1381</v>
      </c>
      <c r="F1" s="1278">
        <f ca="1">J53</f>
        <v>0</v>
      </c>
      <c r="G1" s="182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29" t="s">
        <v>1584</v>
      </c>
      <c r="B2" s="1830" t="e">
        <f ca="1">ROUND(D2/10000,0)</f>
        <v>#DIV/0!</v>
      </c>
      <c r="C2" s="1831" t="s">
        <v>1585</v>
      </c>
      <c r="D2" s="1923" t="e">
        <f ca="1">C40+J29+L46</f>
        <v>#DIV/0!</v>
      </c>
      <c r="E2" s="1832" t="s">
        <v>1586</v>
      </c>
      <c r="F2" s="1833"/>
      <c r="G2" s="1834"/>
      <c r="H2" s="1826"/>
      <c r="I2" s="1826"/>
      <c r="J2" s="1826"/>
      <c r="K2" s="1827"/>
      <c r="L2" s="1826"/>
      <c r="M2" s="1826"/>
    </row>
    <row r="3" spans="1:37" ht="18" customHeight="1" thickBot="1">
      <c r="A3" s="1835" t="s">
        <v>1587</v>
      </c>
      <c r="B3" s="1836">
        <f ca="1">IF(ISERROR(D2/F43),0,ROUND(D2/F43,0))</f>
        <v>0</v>
      </c>
      <c r="C3" s="1831" t="s">
        <v>1588</v>
      </c>
      <c r="D3" s="1831"/>
      <c r="E3" s="1832"/>
      <c r="F3" s="1833"/>
      <c r="G3" s="1834"/>
      <c r="H3" s="744" t="s">
        <v>1582</v>
      </c>
      <c r="I3" s="1826"/>
      <c r="J3" s="1826"/>
      <c r="K3" s="1827"/>
      <c r="L3" s="1826"/>
      <c r="M3" s="1826"/>
    </row>
    <row r="4" spans="1:37" ht="18" customHeight="1">
      <c r="A4" s="340" t="s">
        <v>1589</v>
      </c>
      <c r="B4" s="341" t="s">
        <v>1590</v>
      </c>
      <c r="C4" s="341" t="s">
        <v>1591</v>
      </c>
      <c r="D4" s="341" t="s">
        <v>1592</v>
      </c>
      <c r="E4" s="342" t="s">
        <v>1593</v>
      </c>
      <c r="F4" s="343"/>
      <c r="G4" s="1837"/>
      <c r="H4" s="340" t="s">
        <v>1589</v>
      </c>
      <c r="I4" s="341" t="s">
        <v>1590</v>
      </c>
      <c r="J4" s="341" t="s">
        <v>1591</v>
      </c>
      <c r="K4" s="341" t="s">
        <v>1592</v>
      </c>
      <c r="L4" s="342" t="s">
        <v>1593</v>
      </c>
      <c r="M4" s="343"/>
    </row>
    <row r="5" spans="1:37" ht="18" customHeight="1">
      <c r="A5" s="344">
        <v>1</v>
      </c>
      <c r="B5" s="345" t="s">
        <v>1594</v>
      </c>
      <c r="C5" s="1287">
        <f ca="1">C6+C10+C12</f>
        <v>0</v>
      </c>
      <c r="D5" s="1808" t="s">
        <v>1595</v>
      </c>
      <c r="E5" s="1288"/>
      <c r="F5" s="1289"/>
      <c r="G5" s="1837"/>
      <c r="H5" s="344">
        <v>1</v>
      </c>
      <c r="I5" s="345" t="s">
        <v>1594</v>
      </c>
      <c r="J5" s="1287">
        <f ca="1">J6+J10+J12</f>
        <v>0</v>
      </c>
      <c r="K5" s="1808" t="s">
        <v>1595</v>
      </c>
      <c r="L5" s="1288"/>
      <c r="M5" s="1289"/>
    </row>
    <row r="6" spans="1:37" ht="18" customHeight="1">
      <c r="A6" s="1286" t="s">
        <v>1031</v>
      </c>
      <c r="B6" s="3223" t="s">
        <v>1397</v>
      </c>
      <c r="C6" s="1291">
        <f ca="1">ROUND(F6*F8*F7*(1-F9),0)</f>
        <v>0</v>
      </c>
      <c r="D6" s="164" t="s">
        <v>3019</v>
      </c>
      <c r="E6" s="347" t="s">
        <v>1399</v>
      </c>
      <c r="F6" s="348">
        <f ca="1">INDIRECT("'数据-取费表'!u"&amp;$G$1)</f>
        <v>0</v>
      </c>
      <c r="G6" s="1837"/>
      <c r="H6" s="1286" t="s">
        <v>1031</v>
      </c>
      <c r="I6" s="3223" t="s">
        <v>1397</v>
      </c>
      <c r="J6" s="346">
        <f ca="1">ROUND(M6*M8*M7*(1-M9),0)</f>
        <v>0</v>
      </c>
      <c r="K6" s="1820" t="s">
        <v>3020</v>
      </c>
      <c r="L6" s="347" t="s">
        <v>1399</v>
      </c>
      <c r="M6" s="348">
        <f ca="1">INDIRECT("'数据-取费表'!z"&amp;$G$1)</f>
        <v>0</v>
      </c>
    </row>
    <row r="7" spans="1:37" ht="18" customHeight="1">
      <c r="A7" s="1290"/>
      <c r="B7" s="3224"/>
      <c r="C7" s="1292"/>
      <c r="D7" s="352"/>
      <c r="E7" s="1293" t="s">
        <v>1400</v>
      </c>
      <c r="F7" s="348">
        <f ca="1">IF(INDIRECT("'数据-取费表'!ah"&amp;$G$1)="",INDIRECT("'数据-取费表'!k"&amp;$G$1),INDIRECT("'数据-取费表'!ah"&amp;$G$1))</f>
        <v>0</v>
      </c>
      <c r="G7" s="1837"/>
      <c r="H7" s="349"/>
      <c r="I7" s="3224"/>
      <c r="J7" s="351"/>
      <c r="K7" s="352"/>
      <c r="L7" s="347" t="s">
        <v>1400</v>
      </c>
      <c r="M7" s="348">
        <f ca="1">F7</f>
        <v>0</v>
      </c>
    </row>
    <row r="8" spans="1:37" ht="18" customHeight="1">
      <c r="A8" s="349"/>
      <c r="B8" s="3224"/>
      <c r="C8" s="351"/>
      <c r="D8" s="352"/>
      <c r="E8" s="347" t="s">
        <v>1401</v>
      </c>
      <c r="F8" s="348">
        <f ca="1">INDIRECT("'数据-取费表'!ai"&amp;$G$1)</f>
        <v>0</v>
      </c>
      <c r="G8" s="1837"/>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37"/>
      <c r="H9" s="349"/>
      <c r="I9" s="3225"/>
      <c r="J9" s="351"/>
      <c r="K9" s="352"/>
      <c r="L9" s="358" t="s">
        <v>1402</v>
      </c>
      <c r="M9" s="359">
        <f ca="1">INDIRECT("'数据-取费表'!ab"&amp;$G$1)</f>
        <v>0</v>
      </c>
    </row>
    <row r="10" spans="1:37" ht="18" customHeight="1">
      <c r="A10" s="1286" t="s">
        <v>1035</v>
      </c>
      <c r="B10" s="1809" t="s">
        <v>1403</v>
      </c>
      <c r="C10" s="361">
        <f ca="1">ROUND(IF(F10="押一",C6/12*F11,IF(F10="押二",C6/12*2*F11,IF(F10="押三",C6/12*3*F11,C11*F11))),0)</f>
        <v>0</v>
      </c>
      <c r="D10" s="1810" t="s">
        <v>3030</v>
      </c>
      <c r="E10" s="358" t="s">
        <v>1404</v>
      </c>
      <c r="F10" s="1361"/>
      <c r="G10" s="1837"/>
      <c r="H10" s="1286" t="s">
        <v>1035</v>
      </c>
      <c r="I10" s="1809" t="s">
        <v>1403</v>
      </c>
      <c r="J10" s="346">
        <f ca="1">ROUND(IF(M10="押一",J6/12*M11,IF(M10="押二",J6/12*2*M11,IF(M10="押三",J6/12*3*M11,J11*M11))),0)</f>
        <v>0</v>
      </c>
      <c r="K10" s="1821" t="s">
        <v>3032</v>
      </c>
      <c r="L10" s="358" t="s">
        <v>1404</v>
      </c>
      <c r="M10" s="1361"/>
    </row>
    <row r="11" spans="1:37" ht="18" customHeight="1">
      <c r="A11" s="353"/>
      <c r="B11" s="1811" t="s">
        <v>1596</v>
      </c>
      <c r="C11" s="1173"/>
      <c r="D11" s="352"/>
      <c r="E11" s="358" t="s">
        <v>1406</v>
      </c>
      <c r="F11" s="359">
        <f ca="1">'数据-取费表'!B39</f>
        <v>1.4999999999999999E-2</v>
      </c>
      <c r="G11" s="1837"/>
      <c r="H11" s="1294"/>
      <c r="I11" s="1811" t="s">
        <v>1597</v>
      </c>
      <c r="J11" s="1173"/>
      <c r="K11" s="748"/>
      <c r="L11" s="358" t="s">
        <v>1406</v>
      </c>
      <c r="M11" s="1051">
        <f ca="1">'数据-取费表'!B39</f>
        <v>1.4999999999999999E-2</v>
      </c>
    </row>
    <row r="12" spans="1:37" ht="18" customHeight="1" thickBot="1">
      <c r="A12" s="1328" t="s">
        <v>1071</v>
      </c>
      <c r="B12" s="1813" t="s">
        <v>1407</v>
      </c>
      <c r="C12" s="1329"/>
      <c r="D12" s="1330"/>
      <c r="E12" s="1335"/>
      <c r="F12" s="1331"/>
      <c r="G12" s="1837"/>
      <c r="H12" s="1328" t="s">
        <v>1071</v>
      </c>
      <c r="I12" s="1813" t="s">
        <v>1407</v>
      </c>
      <c r="J12" s="1329"/>
      <c r="K12" s="1343"/>
      <c r="L12" s="1335"/>
      <c r="M12" s="1344"/>
    </row>
    <row r="13" spans="1:37" ht="18" customHeight="1" thickTop="1">
      <c r="A13" s="1324">
        <v>2</v>
      </c>
      <c r="B13" s="1325" t="s">
        <v>1408</v>
      </c>
      <c r="C13" s="355">
        <f ca="1">ROUND(C29*F13,0)</f>
        <v>0</v>
      </c>
      <c r="D13" s="1326" t="s">
        <v>1409</v>
      </c>
      <c r="E13" s="1326" t="s">
        <v>1410</v>
      </c>
      <c r="F13" s="1327">
        <f ca="1">INDIRECT("'数据-取费表'!y"&amp;$G$1)</f>
        <v>0</v>
      </c>
      <c r="G13" s="1837"/>
      <c r="H13" s="1324">
        <v>2</v>
      </c>
      <c r="I13" s="1325" t="s">
        <v>1408</v>
      </c>
      <c r="J13" s="1285">
        <f ca="1">ROUND(J14*J15,0)</f>
        <v>0</v>
      </c>
      <c r="K13" s="1332" t="s">
        <v>1409</v>
      </c>
      <c r="L13" s="1838"/>
      <c r="M13" s="1839"/>
    </row>
    <row r="14" spans="1:37" ht="18" customHeight="1">
      <c r="A14" s="1196" t="s">
        <v>1030</v>
      </c>
      <c r="B14" s="347" t="s">
        <v>1411</v>
      </c>
      <c r="C14" s="363">
        <f ca="1">ROUND(INDIRECT("'数据-取费表'!l"&amp;$G$1)*F43+'数据-取费表'!L14*INDIRECT("'数据-取费表'!S"&amp;$G$1),0)</f>
        <v>0</v>
      </c>
      <c r="D14" s="1786" t="s">
        <v>1412</v>
      </c>
      <c r="E14" s="1780"/>
      <c r="F14" s="364"/>
      <c r="G14" s="1837"/>
      <c r="H14" s="1196" t="s">
        <v>1031</v>
      </c>
      <c r="I14" s="347" t="s">
        <v>1413</v>
      </c>
      <c r="J14" s="24">
        <f ca="1">C29</f>
        <v>0</v>
      </c>
      <c r="K14" s="15"/>
      <c r="L14" s="974"/>
      <c r="M14" s="975"/>
    </row>
    <row r="15" spans="1:37" s="1844" customFormat="1" ht="18" customHeight="1" thickBot="1">
      <c r="A15" s="1196" t="s">
        <v>1032</v>
      </c>
      <c r="B15" s="347" t="s">
        <v>1414</v>
      </c>
      <c r="C15" s="24">
        <f ca="1">ROUND(C14*F15,0)</f>
        <v>0</v>
      </c>
      <c r="D15" s="365" t="s">
        <v>1415</v>
      </c>
      <c r="E15" s="365" t="s">
        <v>1416</v>
      </c>
      <c r="F15" s="366">
        <f>'数据-取费表'!B33</f>
        <v>0.05</v>
      </c>
      <c r="G15" s="1840"/>
      <c r="H15" s="1334" t="s">
        <v>1035</v>
      </c>
      <c r="I15" s="1335" t="s">
        <v>1410</v>
      </c>
      <c r="J15" s="1344">
        <f ca="1">INDIRECT("'数据-取费表'!ad"&amp;$G$1)</f>
        <v>0</v>
      </c>
      <c r="K15" s="134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837"/>
      <c r="H16" s="1324" t="s">
        <v>1026</v>
      </c>
      <c r="I16" s="1325" t="s">
        <v>1418</v>
      </c>
      <c r="J16" s="355">
        <f ca="1">ROUND(J17+J22+J23+J24,0)</f>
        <v>0</v>
      </c>
      <c r="K16" s="1332" t="s">
        <v>1419</v>
      </c>
      <c r="L16" s="1333"/>
      <c r="M16" s="1289"/>
    </row>
    <row r="17" spans="1:37" s="1844" customFormat="1" ht="18" customHeight="1">
      <c r="A17" s="1196" t="s">
        <v>1384</v>
      </c>
      <c r="B17" s="347" t="s">
        <v>1420</v>
      </c>
      <c r="C17" s="24">
        <f ca="1">ROUND(F17*(F43+INDIRECT("'数据-取费表'!S"&amp;$G$1)),0)</f>
        <v>0</v>
      </c>
      <c r="D17" s="347" t="s">
        <v>1421</v>
      </c>
      <c r="E17" s="347" t="s">
        <v>1422</v>
      </c>
      <c r="F17" s="26">
        <f>'数据-取费表'!B35</f>
        <v>200</v>
      </c>
      <c r="G17" s="1840"/>
      <c r="H17" s="1196" t="s">
        <v>1031</v>
      </c>
      <c r="I17" s="347" t="s">
        <v>1423</v>
      </c>
      <c r="J17" s="24">
        <f ca="1">ROUND(IF(项目基本情况!B11="自然人",J6*M17/(1+'数据-取费表'!C42),J18+J19+J20),0)</f>
        <v>0</v>
      </c>
      <c r="K17" s="1786" t="s">
        <v>1424</v>
      </c>
      <c r="L17" s="1784" t="s">
        <v>1425</v>
      </c>
      <c r="M17" s="368">
        <f ca="1">IF(项目基本情况!B11="企业","",IF(INDIRECT("'数据-取费表'!c"&amp;$G$1)="住宅",5%,IF(M6*M7*M8/12/(1+'数据-取费表'!C42)&gt;20000,12%,7%)))</f>
        <v>7.0000000000000007E-2</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1385</v>
      </c>
      <c r="B18" s="347" t="s">
        <v>1426</v>
      </c>
      <c r="C18" s="24">
        <f ca="1">ROUND(C14*F18,0)</f>
        <v>0</v>
      </c>
      <c r="D18" s="347" t="s">
        <v>1415</v>
      </c>
      <c r="E18" s="347" t="s">
        <v>1416</v>
      </c>
      <c r="F18" s="367">
        <f>'数据-取费表'!B36</f>
        <v>1.4999999999999999E-2</v>
      </c>
      <c r="G18" s="1840"/>
      <c r="H18" s="1196" t="s">
        <v>1030</v>
      </c>
      <c r="I18" s="347" t="s">
        <v>1427</v>
      </c>
      <c r="J18" s="24">
        <f ca="1">ROUND(J6*M18/(1+'数据-取费表'!C42),0)</f>
        <v>0</v>
      </c>
      <c r="K18" s="1784" t="s">
        <v>1428</v>
      </c>
      <c r="L18" s="347" t="s">
        <v>1416</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1031</v>
      </c>
      <c r="B19" s="347" t="s">
        <v>1429</v>
      </c>
      <c r="C19" s="24">
        <f ca="1">SUM(C14:C18)</f>
        <v>0</v>
      </c>
      <c r="D19" s="140" t="s">
        <v>1430</v>
      </c>
      <c r="E19" s="1804"/>
      <c r="F19" s="26"/>
      <c r="G19" s="1837"/>
      <c r="H19" s="1196" t="s">
        <v>1032</v>
      </c>
      <c r="I19" s="347" t="s">
        <v>1431</v>
      </c>
      <c r="J19" s="24">
        <f ca="1">IF(K19="按租金收入计税",ROUND(J6*M19/(1+'数据-取费表'!C42),0),ROUND(C29*M19*0.7,0))</f>
        <v>0</v>
      </c>
      <c r="K19" s="1814" t="s">
        <v>1432</v>
      </c>
      <c r="L19" s="347" t="s">
        <v>1416</v>
      </c>
      <c r="M19" s="367">
        <f>IF(K19="按租金收入计税",'数据-取费表'!B51,'数据-取费表'!B50)</f>
        <v>1.2E-2</v>
      </c>
    </row>
    <row r="20" spans="1:37" s="1844" customFormat="1" ht="18" customHeight="1">
      <c r="A20" s="1196" t="s">
        <v>1035</v>
      </c>
      <c r="B20" s="347" t="s">
        <v>1433</v>
      </c>
      <c r="C20" s="24">
        <f ca="1">ROUND(C19*F20,0)</f>
        <v>0</v>
      </c>
      <c r="D20" s="369" t="s">
        <v>1434</v>
      </c>
      <c r="E20" s="347" t="s">
        <v>1416</v>
      </c>
      <c r="F20" s="367">
        <f>'数据-取费表'!B37</f>
        <v>2.5000000000000001E-2</v>
      </c>
      <c r="G20" s="1840"/>
      <c r="H20" s="1196" t="s">
        <v>1383</v>
      </c>
      <c r="I20" s="164" t="s">
        <v>1435</v>
      </c>
      <c r="J20" s="25">
        <f ca="1">ROUND(M20*M21,0)</f>
        <v>0</v>
      </c>
      <c r="K20" s="370" t="s">
        <v>1436</v>
      </c>
      <c r="L20" s="347" t="s">
        <v>1437</v>
      </c>
      <c r="M20" s="371">
        <f>'数据-取费表'!B52</f>
        <v>3</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1071</v>
      </c>
      <c r="B21" s="347" t="s">
        <v>1438</v>
      </c>
      <c r="C21" s="24" t="s">
        <v>1</v>
      </c>
      <c r="D21" s="369" t="s">
        <v>1439</v>
      </c>
      <c r="E21" s="347" t="s">
        <v>1440</v>
      </c>
      <c r="F21" s="367">
        <f>'数据-取费表'!B38</f>
        <v>0.02</v>
      </c>
      <c r="G21" s="1840"/>
      <c r="H21" s="372"/>
      <c r="I21" s="356"/>
      <c r="J21" s="29"/>
      <c r="K21" s="373"/>
      <c r="L21" s="347" t="s">
        <v>1441</v>
      </c>
      <c r="M21" s="348">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4"/>
      <c r="F22" s="26"/>
      <c r="G22" s="1837"/>
      <c r="H22" s="1196" t="s">
        <v>1035</v>
      </c>
      <c r="I22" s="347" t="s">
        <v>1443</v>
      </c>
      <c r="J22" s="24">
        <f ca="1">ROUND(J14*M22,0)</f>
        <v>0</v>
      </c>
      <c r="K22" s="1784" t="s">
        <v>1444</v>
      </c>
      <c r="L22" s="347" t="s">
        <v>1416</v>
      </c>
      <c r="M22" s="374">
        <f ca="1">INDIRECT("'数据-取费表'!Ak"&amp;$G$1)</f>
        <v>0</v>
      </c>
    </row>
    <row r="23" spans="1:37" s="1844" customFormat="1" ht="18" customHeight="1">
      <c r="A23" s="1196"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0"/>
      <c r="H23" s="1196" t="s">
        <v>1071</v>
      </c>
      <c r="I23" s="347" t="s">
        <v>1447</v>
      </c>
      <c r="J23" s="24">
        <f ca="1">ROUND(J13*M23,0)</f>
        <v>0</v>
      </c>
      <c r="K23" s="1784" t="s">
        <v>1448</v>
      </c>
      <c r="L23" s="347" t="s">
        <v>1449</v>
      </c>
      <c r="M23" s="376">
        <f ca="1">INDIRECT("'数据-取费表'!Al"&amp;$G$1)</f>
        <v>0</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0"/>
      <c r="H24" s="1334" t="s">
        <v>1387</v>
      </c>
      <c r="I24" s="1335" t="s">
        <v>1433</v>
      </c>
      <c r="J24" s="1336">
        <f ca="1">ROUND(J5*M24,0)</f>
        <v>0</v>
      </c>
      <c r="K24" s="1337" t="s">
        <v>1453</v>
      </c>
      <c r="L24" s="1335" t="s">
        <v>1449</v>
      </c>
      <c r="M24" s="1331">
        <f ca="1">INDIRECT("'数据-取费表'!Am"&amp;$G$1)</f>
        <v>0</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6" t="s">
        <v>1454</v>
      </c>
      <c r="B25" s="347" t="s">
        <v>1455</v>
      </c>
      <c r="C25" s="24"/>
      <c r="D25" s="140" t="s">
        <v>1456</v>
      </c>
      <c r="E25" s="1804"/>
      <c r="F25" s="26"/>
      <c r="G25" s="1837"/>
      <c r="H25" s="1324" t="s">
        <v>1027</v>
      </c>
      <c r="I25" s="1339" t="s">
        <v>1457</v>
      </c>
      <c r="J25" s="355">
        <f ca="1">J5-J16</f>
        <v>0</v>
      </c>
      <c r="K25" s="1340" t="s">
        <v>1458</v>
      </c>
      <c r="L25" s="1341"/>
      <c r="M25" s="1342"/>
    </row>
    <row r="26" spans="1:37" ht="18" customHeight="1">
      <c r="A26" s="1196" t="s">
        <v>1030</v>
      </c>
      <c r="B26" s="347" t="s">
        <v>1459</v>
      </c>
      <c r="C26" s="24">
        <f ca="1">ROUND((C19+C20)*F26,0)</f>
        <v>0</v>
      </c>
      <c r="D26" s="369" t="s">
        <v>1460</v>
      </c>
      <c r="E26" s="358" t="s">
        <v>1461</v>
      </c>
      <c r="F26" s="357">
        <f ca="1">INDIRECT("'数据-取费表'!q"&amp;$G$1)</f>
        <v>0</v>
      </c>
      <c r="G26" s="1837"/>
      <c r="H26" s="344" t="s">
        <v>1028</v>
      </c>
      <c r="I26" s="345" t="s">
        <v>1462</v>
      </c>
      <c r="J26" s="346">
        <f ca="1">IF(J5&lt;&gt;0,ROUND(J25*(1-((1+M28)/(1+M26))^M27)/(M26-M28),0),0)</f>
        <v>0</v>
      </c>
      <c r="K26" s="370" t="s">
        <v>1463</v>
      </c>
      <c r="L26" s="347" t="s">
        <v>1464</v>
      </c>
      <c r="M26" s="357">
        <f ca="1">INDIRECT("'数据-取费表'!I"&amp;$G$1)</f>
        <v>0</v>
      </c>
    </row>
    <row r="27" spans="1:37" ht="18" customHeight="1">
      <c r="A27" s="1196" t="s">
        <v>1032</v>
      </c>
      <c r="B27" s="347" t="s">
        <v>1465</v>
      </c>
      <c r="C27" s="24">
        <f ca="1">ROUND(F21*F26,4)</f>
        <v>0</v>
      </c>
      <c r="D27" s="369" t="s">
        <v>1466</v>
      </c>
      <c r="E27" s="365"/>
      <c r="F27" s="366"/>
      <c r="G27" s="1837"/>
      <c r="H27" s="349"/>
      <c r="I27" s="350"/>
      <c r="J27" s="351"/>
      <c r="K27" s="378" t="s">
        <v>1467</v>
      </c>
      <c r="L27" s="347" t="s">
        <v>1468</v>
      </c>
      <c r="M27" s="379">
        <f ca="1">INDIRECT("'数据-取费表'!ag"&amp;$G$1)</f>
        <v>0</v>
      </c>
    </row>
    <row r="28" spans="1:37" s="1844" customFormat="1" ht="18" customHeight="1">
      <c r="A28" s="1196" t="s">
        <v>1033</v>
      </c>
      <c r="B28" s="347" t="s">
        <v>1469</v>
      </c>
      <c r="C28" s="24">
        <f>ROUND(F28/(1+'数据-取费表'!C42),4)</f>
        <v>5.33E-2</v>
      </c>
      <c r="D28" s="369" t="s">
        <v>1470</v>
      </c>
      <c r="E28" s="347" t="s">
        <v>1416</v>
      </c>
      <c r="F28" s="367">
        <f>'数据-取费表'!B41</f>
        <v>5.6000000000000001E-2</v>
      </c>
      <c r="G28" s="1840"/>
      <c r="H28" s="353"/>
      <c r="I28" s="354"/>
      <c r="J28" s="355"/>
      <c r="K28" s="373"/>
      <c r="L28" s="347" t="s">
        <v>1471</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34" t="s">
        <v>1034</v>
      </c>
      <c r="B29" s="1335" t="s">
        <v>1472</v>
      </c>
      <c r="C29" s="1336">
        <f ca="1">ROUND((C19+C20+C23+C26)/(1-F21-C24-C27-C28),0)</f>
        <v>0</v>
      </c>
      <c r="D29" s="1337"/>
      <c r="E29" s="1335"/>
      <c r="F29" s="1338"/>
      <c r="G29" s="1840"/>
      <c r="H29" s="380" t="s">
        <v>1029</v>
      </c>
      <c r="I29" s="381" t="s">
        <v>1473</v>
      </c>
      <c r="J29" s="382">
        <f ca="1">ROUND(J26/(1+F40)^F41,0)</f>
        <v>0</v>
      </c>
      <c r="K29" s="383" t="s">
        <v>1474</v>
      </c>
      <c r="L29" s="384"/>
      <c r="M29" s="385">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24" t="s">
        <v>1026</v>
      </c>
      <c r="B30" s="1325" t="s">
        <v>1418</v>
      </c>
      <c r="C30" s="355">
        <f ca="1">ROUND(C31+C36+C37+C38,0)</f>
        <v>0</v>
      </c>
      <c r="D30" s="1332" t="s">
        <v>1419</v>
      </c>
      <c r="E30" s="1333"/>
      <c r="F30" s="1289"/>
      <c r="G30" s="1837"/>
      <c r="H30" s="745"/>
      <c r="I30" s="746"/>
      <c r="J30" s="747"/>
      <c r="K30" s="748"/>
      <c r="L30" s="749"/>
      <c r="M30" s="750"/>
    </row>
    <row r="31" spans="1:37" ht="18" customHeight="1">
      <c r="A31" s="1196" t="s">
        <v>1031</v>
      </c>
      <c r="B31" s="347" t="s">
        <v>1423</v>
      </c>
      <c r="C31" s="24">
        <f ca="1">ROUND(IF(项目基本情况!B11="自然人",C6*F31/(1+'数据-取费表'!C42),C32+C33+C34),0)</f>
        <v>0</v>
      </c>
      <c r="D31" s="1786" t="s">
        <v>1424</v>
      </c>
      <c r="E31" s="1784" t="s">
        <v>1475</v>
      </c>
      <c r="F31" s="368">
        <f ca="1">IF(项目基本情况!B11="企业","",IF(INDIRECT("'数据-取费表'!c"&amp;$G$1)="住宅",5%,IF(F6*F7*F8/12/(1+'数据-取费表'!C42)&gt;20000,12%,7%)))</f>
        <v>7.0000000000000007E-2</v>
      </c>
      <c r="G31" s="1837"/>
      <c r="H31" s="745"/>
      <c r="I31" s="746"/>
      <c r="J31" s="747"/>
      <c r="K31" s="748"/>
      <c r="L31" s="749"/>
      <c r="M31" s="750"/>
    </row>
    <row r="32" spans="1:37" ht="18" customHeight="1">
      <c r="A32" s="1196" t="s">
        <v>1030</v>
      </c>
      <c r="B32" s="347" t="s">
        <v>1427</v>
      </c>
      <c r="C32" s="24">
        <f ca="1">IF(项目基本情况!B11="自然人","——",ROUND(C6*F32/(1+'数据-取费表'!C42),0))</f>
        <v>0</v>
      </c>
      <c r="D32" s="1784" t="s">
        <v>1428</v>
      </c>
      <c r="E32" s="347" t="s">
        <v>1416</v>
      </c>
      <c r="F32" s="377">
        <f>'数据-取费表'!B41</f>
        <v>5.6000000000000001E-2</v>
      </c>
      <c r="G32" s="1837"/>
      <c r="H32" s="745"/>
      <c r="I32" s="746"/>
      <c r="J32" s="747"/>
      <c r="K32" s="748"/>
      <c r="L32" s="749"/>
      <c r="M32" s="750"/>
    </row>
    <row r="33" spans="1:18" ht="18" customHeight="1">
      <c r="A33" s="1196" t="s">
        <v>1032</v>
      </c>
      <c r="B33" s="347" t="s">
        <v>1431</v>
      </c>
      <c r="C33" s="24">
        <f ca="1">IF(项目基本情况!B11="自然人","——",IF(D33="按租金收入计税",ROUND(C6*F33/(1+'数据-取费表'!C42),0),IF(D33="按房产原值计税",ROUND(C29*F33*0.7,0),INDIRECT("'数据-取费表'!Aj"&amp;$G$1))))</f>
        <v>0</v>
      </c>
      <c r="D33" s="1814" t="s">
        <v>1432</v>
      </c>
      <c r="E33" s="347" t="s">
        <v>1416</v>
      </c>
      <c r="F33" s="367">
        <f>IF(D33="按票据","——",IF(D33="按租金收入计税",'数据-取费表'!B51,'数据-取费表'!B50))</f>
        <v>1.2E-2</v>
      </c>
      <c r="G33" s="1837"/>
      <c r="H33" s="1845"/>
      <c r="I33" s="1846"/>
      <c r="J33" s="1847"/>
      <c r="K33" s="1848"/>
      <c r="L33" s="1845"/>
      <c r="M33" s="1845"/>
    </row>
    <row r="34" spans="1:18" ht="18" customHeight="1">
      <c r="A34" s="1286" t="s">
        <v>1383</v>
      </c>
      <c r="B34" s="164" t="s">
        <v>1435</v>
      </c>
      <c r="C34" s="25">
        <f ca="1">IF(项目基本情况!B11="自然人","——",ROUND(F34*F35,))</f>
        <v>0</v>
      </c>
      <c r="D34" s="370" t="s">
        <v>1436</v>
      </c>
      <c r="E34" s="347" t="s">
        <v>1437</v>
      </c>
      <c r="F34" s="371">
        <f>'数据-取费表'!B52</f>
        <v>3</v>
      </c>
      <c r="G34" s="1837"/>
      <c r="H34" s="745"/>
      <c r="I34" s="1846"/>
      <c r="J34" s="1847"/>
      <c r="K34" s="1849"/>
      <c r="L34" s="1850"/>
      <c r="M34" s="1850"/>
    </row>
    <row r="35" spans="1:18" ht="18" customHeight="1">
      <c r="A35" s="1348"/>
      <c r="B35" s="1346"/>
      <c r="C35" s="29"/>
      <c r="D35" s="373"/>
      <c r="E35" s="347" t="s">
        <v>1441</v>
      </c>
      <c r="F35" s="348">
        <f ca="1">INDIRECT("'数据-取费表'!r"&amp;$G$1)</f>
        <v>0</v>
      </c>
      <c r="G35" s="1837"/>
      <c r="H35" s="745"/>
      <c r="I35" s="1846"/>
      <c r="J35" s="1847"/>
      <c r="K35" s="1848"/>
      <c r="L35" s="1845"/>
      <c r="M35" s="1845"/>
    </row>
    <row r="36" spans="1:18" ht="18" customHeight="1">
      <c r="A36" s="1347" t="s">
        <v>1035</v>
      </c>
      <c r="B36" s="347" t="s">
        <v>1443</v>
      </c>
      <c r="C36" s="24">
        <f ca="1">ROUND(C29*F36,0)</f>
        <v>0</v>
      </c>
      <c r="D36" s="1784" t="s">
        <v>1476</v>
      </c>
      <c r="E36" s="347" t="s">
        <v>1416</v>
      </c>
      <c r="F36" s="374">
        <f ca="1">INDIRECT("'数据-取费表'!Ak"&amp;$G$1)</f>
        <v>0</v>
      </c>
      <c r="G36" s="1837"/>
      <c r="H36" s="1845"/>
      <c r="I36" s="1846"/>
      <c r="J36" s="1847"/>
      <c r="K36" s="751"/>
      <c r="L36" s="1845"/>
      <c r="M36" s="1845"/>
    </row>
    <row r="37" spans="1:18" ht="18" customHeight="1">
      <c r="A37" s="1196" t="s">
        <v>1071</v>
      </c>
      <c r="B37" s="347" t="s">
        <v>1447</v>
      </c>
      <c r="C37" s="24">
        <f ca="1">ROUND(C13*F37,0)</f>
        <v>0</v>
      </c>
      <c r="D37" s="1784" t="s">
        <v>1448</v>
      </c>
      <c r="E37" s="347" t="s">
        <v>1449</v>
      </c>
      <c r="F37" s="376">
        <f ca="1">INDIRECT("'数据-取费表'!Al"&amp;$G$1)</f>
        <v>0</v>
      </c>
      <c r="G37" s="1837"/>
      <c r="H37" s="1845"/>
      <c r="I37" s="1846"/>
      <c r="J37" s="1847"/>
      <c r="K37" s="751"/>
      <c r="L37" s="1845"/>
      <c r="M37" s="1845"/>
    </row>
    <row r="38" spans="1:18" ht="18" customHeight="1" thickBot="1">
      <c r="A38" s="1334" t="s">
        <v>1387</v>
      </c>
      <c r="B38" s="1335" t="s">
        <v>1433</v>
      </c>
      <c r="C38" s="1336">
        <f ca="1">ROUND(C5*F38,1)</f>
        <v>0</v>
      </c>
      <c r="D38" s="1337" t="s">
        <v>1453</v>
      </c>
      <c r="E38" s="1335" t="s">
        <v>1449</v>
      </c>
      <c r="F38" s="1331">
        <f ca="1">INDIRECT("'数据-取费表'!Am"&amp;$G$1)</f>
        <v>0</v>
      </c>
      <c r="G38" s="1837"/>
      <c r="H38" s="1845"/>
      <c r="I38" s="1846"/>
      <c r="J38" s="1847"/>
      <c r="K38" s="1851"/>
      <c r="L38" s="1845"/>
      <c r="M38" s="1845"/>
    </row>
    <row r="39" spans="1:18" ht="24.6" customHeight="1" thickTop="1">
      <c r="A39" s="1324" t="s">
        <v>1027</v>
      </c>
      <c r="B39" s="1339" t="s">
        <v>1477</v>
      </c>
      <c r="C39" s="355">
        <f ca="1">C5-C30</f>
        <v>0</v>
      </c>
      <c r="D39" s="1340" t="s">
        <v>1478</v>
      </c>
      <c r="E39" s="1341"/>
      <c r="F39" s="1342"/>
      <c r="G39" s="1837"/>
      <c r="H39" s="1845"/>
      <c r="I39" s="1846"/>
      <c r="J39" s="1847"/>
      <c r="K39" s="1851"/>
      <c r="L39" s="1845"/>
      <c r="M39" s="1845"/>
    </row>
    <row r="40" spans="1:18" ht="18" customHeight="1">
      <c r="A40" s="344" t="s">
        <v>1028</v>
      </c>
      <c r="B40" s="345" t="s">
        <v>1479</v>
      </c>
      <c r="C40" s="346" t="e">
        <f ca="1">ROUND(C39*(1-((1+F42)/(1+F40))^F41)/(F40-F42),0)</f>
        <v>#DIV/0!</v>
      </c>
      <c r="D40" s="370" t="s">
        <v>1463</v>
      </c>
      <c r="E40" s="347" t="s">
        <v>1464</v>
      </c>
      <c r="F40" s="357">
        <f ca="1">INDIRECT("'数据-取费表'!I"&amp;$G$1)</f>
        <v>0</v>
      </c>
      <c r="G40" s="1837"/>
      <c r="H40" s="1825"/>
      <c r="I40" s="1846"/>
      <c r="J40" s="1847"/>
      <c r="K40" s="1851"/>
      <c r="L40" s="1825"/>
      <c r="M40" s="1825"/>
    </row>
    <row r="41" spans="1:18" ht="18" customHeight="1">
      <c r="A41" s="349"/>
      <c r="B41" s="350"/>
      <c r="C41" s="351"/>
      <c r="D41" s="378" t="s">
        <v>1480</v>
      </c>
      <c r="E41" s="347" t="s">
        <v>1468</v>
      </c>
      <c r="F41" s="379">
        <f ca="1">IF(INDIRECT("'数据-取费表'!af"&amp;$G$1)=0,INDIRECT("'数据-取费表'!ae"&amp;$G$1),INDIRECT("'数据-取费表'!af"&amp;$G$1))</f>
        <v>0</v>
      </c>
      <c r="G41" s="1837"/>
      <c r="H41" s="732"/>
      <c r="I41" s="1846"/>
      <c r="J41" s="1847"/>
      <c r="K41" s="751"/>
      <c r="L41" s="732"/>
      <c r="M41" s="732"/>
    </row>
    <row r="42" spans="1:18" ht="18" customHeight="1">
      <c r="A42" s="353"/>
      <c r="B42" s="354"/>
      <c r="C42" s="355"/>
      <c r="D42" s="373"/>
      <c r="E42" s="347" t="s">
        <v>1471</v>
      </c>
      <c r="F42" s="357">
        <f ca="1">INDIRECT("'数据-取费表'!v"&amp;$G$1)</f>
        <v>0</v>
      </c>
      <c r="G42" s="1837"/>
      <c r="H42" s="732"/>
      <c r="I42" s="1846"/>
      <c r="J42" s="1847"/>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37"/>
      <c r="H43" s="732"/>
      <c r="I43" s="732"/>
      <c r="J43" s="732"/>
      <c r="K43" s="751"/>
      <c r="L43" s="732"/>
      <c r="M43" s="732"/>
    </row>
    <row r="44" spans="1:18" s="1828" customFormat="1" ht="18" customHeight="1">
      <c r="A44" s="1852"/>
      <c r="B44" s="1852"/>
      <c r="C44" s="1853"/>
      <c r="D44" s="1852"/>
      <c r="E44" s="1852"/>
      <c r="F44" s="1852"/>
      <c r="K44" s="1854"/>
    </row>
    <row r="45" spans="1:18" s="1828" customFormat="1" ht="18" customHeight="1" thickBot="1">
      <c r="A45" s="1852"/>
      <c r="B45" s="1852"/>
      <c r="C45" s="1924" t="e">
        <f ca="1">C68-C40</f>
        <v>#DIV/0!</v>
      </c>
      <c r="D45" s="1925" t="s">
        <v>1598</v>
      </c>
      <c r="E45" s="1852"/>
      <c r="F45" s="1852"/>
      <c r="O45" s="1855" t="s">
        <v>1513</v>
      </c>
      <c r="P45" s="1825"/>
      <c r="Q45" s="1825"/>
      <c r="R45" s="1825"/>
    </row>
    <row r="46" spans="1:18" s="1828" customFormat="1" ht="13.8" thickBot="1">
      <c r="A46" s="1856" t="s">
        <v>1514</v>
      </c>
      <c r="C46" s="1857" t="e">
        <f ca="1">ROUND(C45/10000,0)</f>
        <v>#DIV/0!</v>
      </c>
      <c r="D46" s="1858" t="str">
        <f>C2</f>
        <v>万元</v>
      </c>
      <c r="I46" s="1859" t="s">
        <v>1515</v>
      </c>
      <c r="J46" s="1860"/>
      <c r="K46" s="1861"/>
      <c r="L46" s="1862" t="e">
        <f ca="1">IF(M47="住宅",0,IF(L48&gt;J51,L60,J60))</f>
        <v>#DIV/0!</v>
      </c>
      <c r="O46" s="1863" t="s">
        <v>1516</v>
      </c>
      <c r="P46" s="1864" t="s">
        <v>1517</v>
      </c>
      <c r="Q46" s="1865" t="s">
        <v>1518</v>
      </c>
      <c r="R46" s="1865" t="s">
        <v>1519</v>
      </c>
    </row>
    <row r="47" spans="1:18" s="1828" customFormat="1" ht="13.8" thickBot="1">
      <c r="A47" s="1160" t="s">
        <v>1390</v>
      </c>
      <c r="B47" s="1192" t="s">
        <v>1391</v>
      </c>
      <c r="C47" s="1192" t="s">
        <v>1392</v>
      </c>
      <c r="D47" s="1192" t="s">
        <v>1393</v>
      </c>
      <c r="E47" s="1274" t="s">
        <v>1394</v>
      </c>
      <c r="F47" s="1275"/>
      <c r="G47" s="792"/>
      <c r="I47" s="1866" t="s">
        <v>1520</v>
      </c>
      <c r="J47" s="1867"/>
      <c r="K47" s="1868" t="s">
        <v>1521</v>
      </c>
      <c r="L47" s="1869">
        <f ca="1">INDIRECT("'数据-取费表'!d"&amp;$G$1)</f>
        <v>0</v>
      </c>
      <c r="M47" s="1824" t="str">
        <f>IF(ISNUMBER(FIND("住宅",C1)),"住宅","非住宅")</f>
        <v>非住宅</v>
      </c>
      <c r="O47" s="1870" t="s">
        <v>1036</v>
      </c>
      <c r="P47" s="1871" t="s">
        <v>1522</v>
      </c>
      <c r="Q47" s="1872" t="e">
        <f ca="1">C40+J29</f>
        <v>#DIV/0!</v>
      </c>
      <c r="R47" s="1872" t="s">
        <v>1523</v>
      </c>
    </row>
    <row r="48" spans="1:18" s="1828" customFormat="1" ht="40.200000000000003" thickBot="1">
      <c r="A48" s="1355" t="s">
        <v>1131</v>
      </c>
      <c r="B48" s="345" t="s">
        <v>1395</v>
      </c>
      <c r="C48" s="1803">
        <f ca="1">C49+C53+C55</f>
        <v>0</v>
      </c>
      <c r="D48" s="1357"/>
      <c r="E48" s="1358"/>
      <c r="F48" s="1176"/>
      <c r="G48" s="792"/>
      <c r="H48" s="793"/>
      <c r="I48" s="1873" t="s">
        <v>1524</v>
      </c>
      <c r="J48" s="1874"/>
      <c r="K48" s="1875" t="s">
        <v>1525</v>
      </c>
      <c r="L48" s="1876">
        <f ca="1">INDIRECT("'数据-取费表'!f"&amp;$G$1)</f>
        <v>0</v>
      </c>
      <c r="O48" s="1870" t="s">
        <v>1037</v>
      </c>
      <c r="P48" s="1871" t="s">
        <v>1526</v>
      </c>
      <c r="Q48" s="1872" t="e">
        <f ca="1">J60</f>
        <v>#DIV/0!</v>
      </c>
      <c r="R48" s="1872" t="s">
        <v>1527</v>
      </c>
    </row>
    <row r="49" spans="1:18" s="1828" customFormat="1" ht="13.8" thickBot="1">
      <c r="A49" s="1189" t="s">
        <v>1132</v>
      </c>
      <c r="B49" s="1815" t="s">
        <v>1484</v>
      </c>
      <c r="C49" s="1359">
        <f ca="1">ROUND(F49*F51*F50*(1-F52),0)</f>
        <v>0</v>
      </c>
      <c r="D49" s="1271" t="s">
        <v>1398</v>
      </c>
      <c r="E49" s="1816" t="s">
        <v>1485</v>
      </c>
      <c r="F49" s="1276"/>
      <c r="G49" s="1877"/>
      <c r="H49" s="793"/>
      <c r="I49" s="1873" t="s">
        <v>1528</v>
      </c>
      <c r="J49" s="1878"/>
      <c r="K49" s="1875" t="s">
        <v>1529</v>
      </c>
      <c r="L49" s="1879"/>
      <c r="O49" s="1880" t="s">
        <v>1038</v>
      </c>
      <c r="P49" s="1871" t="s">
        <v>1530</v>
      </c>
      <c r="Q49" s="1872">
        <f ca="1">C29</f>
        <v>0</v>
      </c>
      <c r="R49" s="1872" t="s">
        <v>1523</v>
      </c>
    </row>
    <row r="50" spans="1:18" s="1828" customFormat="1" ht="13.8" thickBot="1">
      <c r="A50" s="1190"/>
      <c r="B50" s="1193"/>
      <c r="C50" s="1194"/>
      <c r="D50" s="1167"/>
      <c r="E50" s="1272" t="s">
        <v>1400</v>
      </c>
      <c r="F50" s="1273">
        <f ca="1">F7</f>
        <v>0</v>
      </c>
      <c r="H50" s="793"/>
      <c r="I50" s="1873" t="s">
        <v>1531</v>
      </c>
      <c r="J50" s="1881">
        <f>SUMPRODUCT((I63:I65=J47)*(J62:L62=J48)*(J63:L65))</f>
        <v>0</v>
      </c>
      <c r="K50" s="1875" t="s">
        <v>1532</v>
      </c>
      <c r="L50" s="1879"/>
      <c r="M50" s="1882"/>
      <c r="O50" s="1880" t="s">
        <v>1039</v>
      </c>
      <c r="P50" s="1871" t="s">
        <v>1533</v>
      </c>
      <c r="Q50" s="1883" t="e">
        <f ca="1">J58</f>
        <v>#DIV/0!</v>
      </c>
      <c r="R50" s="1872"/>
    </row>
    <row r="51" spans="1:18" s="1828" customFormat="1" ht="13.8" thickBot="1">
      <c r="A51" s="1191"/>
      <c r="B51" s="1193"/>
      <c r="C51" s="1194"/>
      <c r="D51" s="1167"/>
      <c r="E51" s="1195" t="s">
        <v>1401</v>
      </c>
      <c r="F51" s="348">
        <f ca="1">F8</f>
        <v>0</v>
      </c>
      <c r="I51" s="1884" t="s">
        <v>1534</v>
      </c>
      <c r="J51" s="1885">
        <f>IF(J49="",J50,J49+J50-YEAR('数据-取费表'!B2))</f>
        <v>0</v>
      </c>
      <c r="K51" s="1886" t="s">
        <v>1535</v>
      </c>
      <c r="L51" s="1887">
        <f ca="1">ROUND(-PV(INDIRECT("'数据-取费表'!h"&amp;$G$1),J51,(C39-C13*C76),0),0)</f>
        <v>0</v>
      </c>
      <c r="M51" s="1888"/>
      <c r="O51" s="1880" t="s">
        <v>1040</v>
      </c>
      <c r="P51" s="1871" t="s">
        <v>1536</v>
      </c>
      <c r="Q51" s="1883">
        <f>J52</f>
        <v>0</v>
      </c>
      <c r="R51" s="1872"/>
    </row>
    <row r="52" spans="1:18" s="1828" customFormat="1" ht="13.8" thickBot="1">
      <c r="A52" s="1191"/>
      <c r="B52" s="1193"/>
      <c r="C52" s="1194"/>
      <c r="D52" s="1167"/>
      <c r="E52" s="1195" t="s">
        <v>1402</v>
      </c>
      <c r="F52" s="1270"/>
      <c r="I52" s="1889" t="s">
        <v>1537</v>
      </c>
      <c r="J52" s="1890"/>
      <c r="K52" s="1889" t="s">
        <v>1538</v>
      </c>
      <c r="L52" s="1890"/>
      <c r="O52" s="1880" t="s">
        <v>1041</v>
      </c>
      <c r="P52" s="1871" t="s">
        <v>1539</v>
      </c>
      <c r="Q52" s="1872">
        <f ca="1">J53</f>
        <v>0</v>
      </c>
      <c r="R52" s="1872" t="s">
        <v>1540</v>
      </c>
    </row>
    <row r="53" spans="1:18" s="1828" customFormat="1" ht="30.75" customHeight="1" thickBot="1">
      <c r="A53" s="1356" t="s">
        <v>1133</v>
      </c>
      <c r="B53" s="369" t="s">
        <v>1403</v>
      </c>
      <c r="C53" s="361">
        <f ca="1">ROUND(IF(F53="押一",C49/12*F11,IF(F53="押二",C49/12*2*F11,IF(F53="押三",C49/12*3*F11,C54*F11))),0)</f>
        <v>0</v>
      </c>
      <c r="D53" s="1810" t="s">
        <v>3033</v>
      </c>
      <c r="E53" s="358" t="s">
        <v>1404</v>
      </c>
      <c r="F53" s="1361"/>
      <c r="I53" s="1891" t="s">
        <v>1541</v>
      </c>
      <c r="J53" s="2938">
        <f ca="1">IF(M47="住宅",IF(D1="——",MAX(J51,L48),MAX(J51,L48-'数据-取费表'!B24)),IF(D1="——",MIN(J51,L48),MIN(J51,L48-'数据-取费表'!B24)))</f>
        <v>0</v>
      </c>
      <c r="K53" s="3221" t="s">
        <v>1542</v>
      </c>
      <c r="L53" s="3222"/>
      <c r="O53" s="1870" t="s">
        <v>1042</v>
      </c>
      <c r="P53" s="1871" t="s">
        <v>1543</v>
      </c>
      <c r="Q53" s="1872" t="e">
        <f ca="1">Q47+Q48</f>
        <v>#DIV/0!</v>
      </c>
      <c r="R53" s="1872" t="s">
        <v>1043</v>
      </c>
    </row>
    <row r="54" spans="1:18" s="1828" customFormat="1" ht="13.8" thickBot="1">
      <c r="A54" s="1189"/>
      <c r="B54" s="1926" t="s">
        <v>1597</v>
      </c>
      <c r="C54" s="1173"/>
      <c r="D54" s="1810"/>
      <c r="E54" s="18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4"/>
      <c r="K54" s="1894"/>
      <c r="L54" s="1894"/>
      <c r="M54" s="1877"/>
      <c r="O54" s="1855" t="s">
        <v>1544</v>
      </c>
      <c r="P54" s="1825"/>
      <c r="Q54" s="1825"/>
      <c r="R54" s="1825"/>
    </row>
    <row r="55" spans="1:18" s="1828" customFormat="1" ht="13.8" thickBot="1">
      <c r="A55" s="1328" t="s">
        <v>1071</v>
      </c>
      <c r="B55" s="1813" t="s">
        <v>1407</v>
      </c>
      <c r="C55" s="1329"/>
      <c r="D55" s="1810"/>
      <c r="E55" s="1818"/>
      <c r="F55" s="1892"/>
      <c r="I55" s="1895" t="s">
        <v>1545</v>
      </c>
      <c r="J55" s="1896" t="e">
        <f ca="1">ROUND(IF(J47="钢混",J57/J50,1-(1-2%)*(J50-J57)/J50),3)</f>
        <v>#DIV/0!</v>
      </c>
      <c r="K55" s="1897" t="s">
        <v>1546</v>
      </c>
      <c r="L55" s="1898"/>
      <c r="O55" s="1863" t="s">
        <v>1516</v>
      </c>
      <c r="P55" s="1864" t="s">
        <v>1517</v>
      </c>
      <c r="Q55" s="1865" t="s">
        <v>1518</v>
      </c>
      <c r="R55" s="1865" t="s">
        <v>1519</v>
      </c>
    </row>
    <row r="56" spans="1:18" s="1828" customFormat="1" ht="36" customHeight="1" thickTop="1" thickBot="1">
      <c r="A56" s="1171">
        <v>2</v>
      </c>
      <c r="B56" s="1172" t="s">
        <v>1408</v>
      </c>
      <c r="C56" s="276">
        <f ca="1">C13</f>
        <v>0</v>
      </c>
      <c r="D56" s="1899"/>
      <c r="E56" s="1900"/>
      <c r="F56" s="1892"/>
      <c r="I56" s="1901" t="s">
        <v>1548</v>
      </c>
      <c r="J56" s="1902"/>
      <c r="K56" s="1873" t="s">
        <v>1549</v>
      </c>
      <c r="L56" s="1876">
        <f ca="1">IF(L48&lt;J51,"——",L48-J51)</f>
        <v>0</v>
      </c>
      <c r="O56" s="1870" t="s">
        <v>1036</v>
      </c>
      <c r="P56" s="1871" t="s">
        <v>1522</v>
      </c>
      <c r="Q56" s="1872" t="e">
        <f ca="1">C40+J29</f>
        <v>#DIV/0!</v>
      </c>
      <c r="R56" s="1872" t="s">
        <v>1523</v>
      </c>
    </row>
    <row r="57" spans="1:18" s="1828" customFormat="1" ht="24.6" thickBot="1">
      <c r="A57" s="1903"/>
      <c r="B57" s="1164" t="s">
        <v>1472</v>
      </c>
      <c r="C57" s="282">
        <f ca="1">C29</f>
        <v>0</v>
      </c>
      <c r="D57" s="1904"/>
      <c r="E57" s="1905"/>
      <c r="F57" s="1906"/>
      <c r="I57" s="1907" t="s">
        <v>1550</v>
      </c>
      <c r="J57" s="1908">
        <f ca="1">IF(OR(M47="住宅",J51&lt;L48,J56="是"),"——",J51-L48)</f>
        <v>0</v>
      </c>
      <c r="K57" s="1873" t="s">
        <v>1599</v>
      </c>
      <c r="L57" s="1876">
        <f ca="1">IF(L48&lt;J51,"——",IF(L55="比较法",L49,IF(L55="基准地价",L50,L51)))</f>
        <v>0</v>
      </c>
      <c r="O57" s="1870" t="s">
        <v>1037</v>
      </c>
      <c r="P57" s="1871" t="s">
        <v>1600</v>
      </c>
      <c r="Q57" s="1872" t="e">
        <f ca="1">L60</f>
        <v>#DIV/0!</v>
      </c>
      <c r="R57" s="1872" t="s">
        <v>1601</v>
      </c>
    </row>
    <row r="58" spans="1:18" s="1828" customFormat="1" ht="24.6" thickBot="1">
      <c r="A58" s="360" t="s">
        <v>1026</v>
      </c>
      <c r="B58" s="1172" t="s">
        <v>1418</v>
      </c>
      <c r="C58" s="361">
        <f ca="1">ROUND(C59+C64+C65+C66,0)</f>
        <v>0</v>
      </c>
      <c r="D58" s="1174" t="s">
        <v>1419</v>
      </c>
      <c r="E58" s="1175"/>
      <c r="F58" s="1176"/>
      <c r="I58" s="1907" t="s">
        <v>1554</v>
      </c>
      <c r="J58" s="1909" t="e">
        <f ca="1">IF(J55&lt;0.4,0.4,J55)</f>
        <v>#DIV/0!</v>
      </c>
      <c r="K58" s="1886" t="s">
        <v>1602</v>
      </c>
      <c r="L58" s="1876" t="e">
        <f ca="1">ROUND(POWER(1+L52,L47-L48)*(POWER(1+L52,L48)-1)/(POWER(1+L52,L47)-1),4)</f>
        <v>#DIV/0!</v>
      </c>
      <c r="O58" s="1880" t="s">
        <v>1038</v>
      </c>
      <c r="P58" s="1871" t="s">
        <v>1556</v>
      </c>
      <c r="Q58" s="1872">
        <f>IF(L55="比较法",L49,IF(L55="基准地价",L50,0))</f>
        <v>0</v>
      </c>
      <c r="R58" s="1872" t="s">
        <v>1523</v>
      </c>
    </row>
    <row r="59" spans="1:18" s="1828" customFormat="1" ht="24.6" thickBot="1">
      <c r="A59" s="1196" t="s">
        <v>1031</v>
      </c>
      <c r="B59" s="1164" t="s">
        <v>1423</v>
      </c>
      <c r="C59" s="24">
        <f ca="1">ROUND(IF(项目基本情况!B11="自然人",C48*F59,C60+C61+C62),0)</f>
        <v>0</v>
      </c>
      <c r="D59" s="1177" t="s">
        <v>1424</v>
      </c>
      <c r="E59" s="1178" t="s">
        <v>1425</v>
      </c>
      <c r="F59" s="368">
        <f ca="1">IF(项目基本情况!B11="企业","",IF(INDIRECT("'数据-取费表'!c"&amp;$G$1)="住宅",5%,IF(F49*F50*F51/12/(1+'数据-取费表'!C42)&gt;20000,12%,7%)))</f>
        <v>7.0000000000000007E-2</v>
      </c>
      <c r="I59" s="1907" t="s">
        <v>1557</v>
      </c>
      <c r="J59" s="1908"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1039</v>
      </c>
      <c r="P59" s="1871" t="s">
        <v>1558</v>
      </c>
      <c r="Q59" s="1883">
        <f>L52</f>
        <v>0</v>
      </c>
      <c r="R59" s="1872"/>
    </row>
    <row r="60" spans="1:18" s="1828" customFormat="1" ht="16.2" thickBot="1">
      <c r="A60" s="1196" t="s">
        <v>1030</v>
      </c>
      <c r="B60" s="1164" t="s">
        <v>1427</v>
      </c>
      <c r="C60" s="24">
        <f ca="1">IF(项目基本情况!B11="自然人","——",ROUND(C48*F60/(1+'数据-取费表'!C42),0))</f>
        <v>0</v>
      </c>
      <c r="D60" s="1178" t="s">
        <v>1428</v>
      </c>
      <c r="E60" s="1164" t="s">
        <v>1416</v>
      </c>
      <c r="F60" s="377">
        <f t="shared" ref="F60:F66" si="0">F32</f>
        <v>5.6000000000000001E-2</v>
      </c>
      <c r="I60" s="1910" t="s">
        <v>1559</v>
      </c>
      <c r="J60" s="1911" t="e">
        <f ca="1">IF(OR(M47="住宅",J51&lt;L48,J56="是"),"0",ROUND(J59/(1+J52)^J53,0))</f>
        <v>#DIV/0!</v>
      </c>
      <c r="K60" s="1912" t="s">
        <v>1560</v>
      </c>
      <c r="L60" s="1911" t="e">
        <f ca="1">IF(OR(M47="住宅",L48&lt;J51),0,ROUND(L57*(L58/L59-1),0))</f>
        <v>#DIV/0!</v>
      </c>
      <c r="O60" s="1880" t="s">
        <v>1040</v>
      </c>
      <c r="P60" s="1871" t="s">
        <v>1561</v>
      </c>
      <c r="Q60" s="1872" t="e">
        <f ca="1">L58</f>
        <v>#DIV/0!</v>
      </c>
      <c r="R60" s="1872" t="s">
        <v>1562</v>
      </c>
    </row>
    <row r="61" spans="1:18" s="1828" customFormat="1" ht="13.8" thickBot="1">
      <c r="A61" s="1196" t="s">
        <v>1486</v>
      </c>
      <c r="B61" s="1164" t="s">
        <v>1487</v>
      </c>
      <c r="C61" s="24">
        <f ca="1">IF(项目基本情况!B11="自然人","——",IF(D61="按租金收入计税",ROUND(C48*F61,0),IF(D61="按房产原值计税",ROUND(C57*F61*0.7,0),INDIRECT("'数据-取费表'!Aj"&amp;$G$1))))</f>
        <v>0</v>
      </c>
      <c r="D61" s="1814" t="s">
        <v>1432</v>
      </c>
      <c r="E61" s="1164" t="s">
        <v>1488</v>
      </c>
      <c r="F61" s="367">
        <f t="shared" si="0"/>
        <v>1.2E-2</v>
      </c>
      <c r="I61" s="1913"/>
      <c r="J61" s="1913"/>
      <c r="K61" s="1913"/>
      <c r="L61" s="1913"/>
      <c r="O61" s="1880" t="s">
        <v>1041</v>
      </c>
      <c r="P61" s="1871" t="str">
        <f>K59</f>
        <v>建设期及建筑物耐用年限下的土地年期修正系数Kn</v>
      </c>
      <c r="Q61" s="1872" t="e">
        <f ca="1">L59</f>
        <v>#DIV/0!</v>
      </c>
      <c r="R61" s="1872" t="s">
        <v>1563</v>
      </c>
    </row>
    <row r="62" spans="1:18" s="1828" customFormat="1" ht="13.8" thickBot="1">
      <c r="A62" s="1196" t="s">
        <v>1489</v>
      </c>
      <c r="B62" s="1163" t="s">
        <v>1490</v>
      </c>
      <c r="C62" s="25">
        <f ca="1">IF(项目基本情况!B11="自然人","——",ROUND(F62*F63,0))</f>
        <v>0</v>
      </c>
      <c r="D62" s="1179" t="s">
        <v>1491</v>
      </c>
      <c r="E62" s="1164" t="s">
        <v>1492</v>
      </c>
      <c r="F62" s="371">
        <f t="shared" si="0"/>
        <v>3</v>
      </c>
      <c r="I62" s="1914" t="s">
        <v>1564</v>
      </c>
      <c r="J62" s="1915" t="s">
        <v>1565</v>
      </c>
      <c r="K62" s="1915" t="s">
        <v>1566</v>
      </c>
      <c r="L62" s="1915" t="s">
        <v>1567</v>
      </c>
      <c r="M62" s="1916" t="s">
        <v>1568</v>
      </c>
      <c r="O62" s="1870" t="s">
        <v>1042</v>
      </c>
      <c r="P62" s="1871" t="s">
        <v>1569</v>
      </c>
      <c r="Q62" s="1872" t="e">
        <f ca="1">Q56+Q57</f>
        <v>#DIV/0!</v>
      </c>
      <c r="R62" s="1872" t="s">
        <v>1043</v>
      </c>
    </row>
    <row r="63" spans="1:18" s="1828" customFormat="1" ht="13.8" thickBot="1">
      <c r="A63" s="372"/>
      <c r="B63" s="1170"/>
      <c r="C63" s="29"/>
      <c r="D63" s="1180"/>
      <c r="E63" s="1164" t="s">
        <v>1493</v>
      </c>
      <c r="F63" s="348">
        <f t="shared" ca="1" si="0"/>
        <v>0</v>
      </c>
      <c r="I63" s="1914" t="s">
        <v>1570</v>
      </c>
      <c r="J63" s="1915">
        <v>70</v>
      </c>
      <c r="K63" s="1915">
        <v>50</v>
      </c>
      <c r="L63" s="1915">
        <v>80</v>
      </c>
      <c r="M63" s="1917">
        <v>0.02</v>
      </c>
      <c r="O63" s="1855" t="s">
        <v>1571</v>
      </c>
      <c r="P63" s="1825"/>
      <c r="Q63" s="1825"/>
      <c r="R63" s="1825"/>
    </row>
    <row r="64" spans="1:18" s="1828" customFormat="1" ht="13.8" thickBot="1">
      <c r="A64" s="1196" t="s">
        <v>1494</v>
      </c>
      <c r="B64" s="1164" t="s">
        <v>1495</v>
      </c>
      <c r="C64" s="24">
        <f ca="1">ROUND(C57*F64,0)</f>
        <v>0</v>
      </c>
      <c r="D64" s="1178" t="s">
        <v>1496</v>
      </c>
      <c r="E64" s="1164" t="s">
        <v>1488</v>
      </c>
      <c r="F64" s="374">
        <f t="shared" ca="1" si="0"/>
        <v>0</v>
      </c>
      <c r="I64" s="1914" t="s">
        <v>1572</v>
      </c>
      <c r="J64" s="1915">
        <v>50</v>
      </c>
      <c r="K64" s="1915">
        <v>35</v>
      </c>
      <c r="L64" s="1915">
        <v>60</v>
      </c>
      <c r="M64" s="1916">
        <v>0</v>
      </c>
      <c r="O64" s="1863" t="s">
        <v>1516</v>
      </c>
      <c r="P64" s="1864" t="s">
        <v>1517</v>
      </c>
      <c r="Q64" s="1865" t="s">
        <v>1518</v>
      </c>
      <c r="R64" s="1865" t="s">
        <v>1519</v>
      </c>
    </row>
    <row r="65" spans="1:18" s="1828" customFormat="1" ht="13.8" thickBot="1">
      <c r="A65" s="1196" t="s">
        <v>1497</v>
      </c>
      <c r="B65" s="1164" t="s">
        <v>1447</v>
      </c>
      <c r="C65" s="24">
        <f ca="1">ROUND(C56*F65,0)</f>
        <v>0</v>
      </c>
      <c r="D65" s="1178" t="s">
        <v>1448</v>
      </c>
      <c r="E65" s="1164" t="s">
        <v>1449</v>
      </c>
      <c r="F65" s="376">
        <f t="shared" ca="1" si="0"/>
        <v>0</v>
      </c>
      <c r="I65" s="1914" t="s">
        <v>1573</v>
      </c>
      <c r="J65" s="1915">
        <v>40</v>
      </c>
      <c r="K65" s="1915">
        <v>30</v>
      </c>
      <c r="L65" s="1915">
        <v>50</v>
      </c>
      <c r="M65" s="1917">
        <v>0.02</v>
      </c>
      <c r="O65" s="1870" t="s">
        <v>1036</v>
      </c>
      <c r="P65" s="1871" t="s">
        <v>1574</v>
      </c>
      <c r="Q65" s="1872" t="e">
        <f ca="1">C40+J29</f>
        <v>#DIV/0!</v>
      </c>
      <c r="R65" s="1872" t="s">
        <v>1523</v>
      </c>
    </row>
    <row r="66" spans="1:18" s="1828" customFormat="1" ht="16.2" thickBot="1">
      <c r="A66" s="1196" t="s">
        <v>1498</v>
      </c>
      <c r="B66" s="1164" t="s">
        <v>1433</v>
      </c>
      <c r="C66" s="24">
        <f ca="1">ROUND(C48*F66,0)</f>
        <v>0</v>
      </c>
      <c r="D66" s="1178" t="s">
        <v>1499</v>
      </c>
      <c r="E66" s="1164" t="s">
        <v>1416</v>
      </c>
      <c r="F66" s="357">
        <f t="shared" ca="1" si="0"/>
        <v>0</v>
      </c>
      <c r="O66" s="1870" t="s">
        <v>1037</v>
      </c>
      <c r="P66" s="1871" t="s">
        <v>1552</v>
      </c>
      <c r="Q66" s="1872" t="e">
        <f ca="1">L60</f>
        <v>#DIV/0!</v>
      </c>
      <c r="R66" s="1872" t="s">
        <v>1575</v>
      </c>
    </row>
    <row r="67" spans="1:18" s="1828" customFormat="1" ht="24.6" thickBot="1">
      <c r="A67" s="1171" t="s">
        <v>1027</v>
      </c>
      <c r="B67" s="1181" t="s">
        <v>1457</v>
      </c>
      <c r="C67" s="361">
        <f ca="1">C48-C58</f>
        <v>0</v>
      </c>
      <c r="D67" s="1177" t="s">
        <v>1458</v>
      </c>
      <c r="E67" s="1182"/>
      <c r="F67" s="1183"/>
      <c r="O67" s="1880" t="s">
        <v>1038</v>
      </c>
      <c r="P67" s="1871" t="s">
        <v>1556</v>
      </c>
      <c r="Q67" s="1918">
        <f ca="1">L51</f>
        <v>0</v>
      </c>
      <c r="R67" s="1872" t="s">
        <v>1576</v>
      </c>
    </row>
    <row r="68" spans="1:18" s="1828" customFormat="1" ht="16.2" thickBot="1">
      <c r="A68" s="1161" t="s">
        <v>1028</v>
      </c>
      <c r="B68" s="1162" t="s">
        <v>1479</v>
      </c>
      <c r="C68" s="346" t="e">
        <f ca="1">ROUND(C67*(1-((1+F70)/(1+F68))^F69)/(F68-F70),0)</f>
        <v>#DIV/0!</v>
      </c>
      <c r="D68" s="1179" t="s">
        <v>1463</v>
      </c>
      <c r="E68" s="1164" t="s">
        <v>1464</v>
      </c>
      <c r="F68" s="357">
        <f ca="1">F40</f>
        <v>0</v>
      </c>
      <c r="O68" s="1880" t="s">
        <v>1039</v>
      </c>
      <c r="P68" s="1919" t="s">
        <v>1577</v>
      </c>
      <c r="Q68" s="1872">
        <f ca="1">ROUND(Q69-Q70*Q71,0)</f>
        <v>0</v>
      </c>
      <c r="R68" s="1872" t="s">
        <v>1047</v>
      </c>
    </row>
    <row r="69" spans="1:18" s="1828" customFormat="1" ht="13.8" thickBot="1">
      <c r="A69" s="1165"/>
      <c r="B69" s="1166"/>
      <c r="C69" s="351"/>
      <c r="D69" s="1184" t="s">
        <v>1467</v>
      </c>
      <c r="E69" s="1164" t="s">
        <v>1468</v>
      </c>
      <c r="F69" s="379">
        <f ca="1">F41</f>
        <v>0</v>
      </c>
      <c r="O69" s="1880" t="s">
        <v>1044</v>
      </c>
      <c r="P69" s="1919" t="s">
        <v>1578</v>
      </c>
      <c r="Q69" s="1872">
        <f ca="1">C39</f>
        <v>0</v>
      </c>
      <c r="R69" s="1872" t="s">
        <v>1523</v>
      </c>
    </row>
    <row r="70" spans="1:18" s="1828" customFormat="1" ht="13.8" thickBot="1">
      <c r="A70" s="1168"/>
      <c r="B70" s="1169"/>
      <c r="C70" s="355"/>
      <c r="D70" s="1180"/>
      <c r="E70" s="1164" t="s">
        <v>1471</v>
      </c>
      <c r="F70" s="1270">
        <f ca="1">F42</f>
        <v>0</v>
      </c>
      <c r="O70" s="1880" t="s">
        <v>1045</v>
      </c>
      <c r="P70" s="1919" t="s">
        <v>1579</v>
      </c>
      <c r="Q70" s="1872">
        <f ca="1">C13</f>
        <v>0</v>
      </c>
      <c r="R70" s="1872" t="s">
        <v>1523</v>
      </c>
    </row>
    <row r="71" spans="1:18" s="1828" customFormat="1" ht="13.8" thickBot="1">
      <c r="A71" s="1185" t="s">
        <v>1029</v>
      </c>
      <c r="B71" s="1186" t="s">
        <v>1481</v>
      </c>
      <c r="C71" s="382" t="e">
        <f ca="1">ROUND(C68/F71,0)</f>
        <v>#DIV/0!</v>
      </c>
      <c r="D71" s="1187" t="s">
        <v>1482</v>
      </c>
      <c r="E71" s="1188" t="s">
        <v>1483</v>
      </c>
      <c r="F71" s="385">
        <f ca="1">F43</f>
        <v>0</v>
      </c>
      <c r="O71" s="1880" t="s">
        <v>1046</v>
      </c>
      <c r="P71" s="1919" t="s">
        <v>1580</v>
      </c>
      <c r="Q71" s="1883">
        <f ca="1">C76</f>
        <v>0</v>
      </c>
      <c r="R71" s="1872"/>
    </row>
    <row r="72" spans="1:18" s="1828" customFormat="1" ht="13.8" thickBot="1">
      <c r="B72" s="796"/>
      <c r="C72" s="796"/>
      <c r="O72" s="1880" t="s">
        <v>1040</v>
      </c>
      <c r="P72" s="1871" t="s">
        <v>1558</v>
      </c>
      <c r="Q72" s="1883">
        <f>L52</f>
        <v>0</v>
      </c>
      <c r="R72" s="1872"/>
    </row>
    <row r="73" spans="1:18" ht="16.2" thickBot="1">
      <c r="A73" s="1828"/>
      <c r="B73" s="796"/>
      <c r="C73" s="796"/>
      <c r="D73" s="1828"/>
      <c r="E73" s="1828"/>
      <c r="F73" s="1828"/>
      <c r="O73" s="1880" t="s">
        <v>1041</v>
      </c>
      <c r="P73" s="1871" t="s">
        <v>1561</v>
      </c>
      <c r="Q73" s="1872" t="e">
        <f ca="1">L58</f>
        <v>#DIV/0!</v>
      </c>
      <c r="R73" s="1872" t="s">
        <v>1562</v>
      </c>
    </row>
    <row r="74" spans="1:18" ht="13.8" thickBot="1">
      <c r="A74" s="1828"/>
      <c r="B74" s="317" t="s">
        <v>1581</v>
      </c>
      <c r="C74" s="1921"/>
      <c r="D74" s="1828"/>
      <c r="E74" s="1828"/>
      <c r="F74" s="1828"/>
      <c r="O74" s="1880" t="s">
        <v>1048</v>
      </c>
      <c r="P74" s="1871" t="str">
        <f>K59</f>
        <v>建设期及建筑物耐用年限下的土地年期修正系数Kn</v>
      </c>
      <c r="Q74" s="1872" t="e">
        <f ca="1">L59</f>
        <v>#DIV/0!</v>
      </c>
      <c r="R74" s="1872" t="s">
        <v>1563</v>
      </c>
    </row>
    <row r="75" spans="1:18" ht="13.8" thickBot="1">
      <c r="A75" s="1828"/>
      <c r="B75" s="386" t="s">
        <v>1500</v>
      </c>
      <c r="C75" s="387">
        <f ca="1">ROUND(C13*C76,0)</f>
        <v>0</v>
      </c>
      <c r="D75" s="1828"/>
      <c r="E75" s="1828"/>
      <c r="F75" s="1828"/>
      <c r="K75" s="1854"/>
      <c r="L75" s="1828"/>
      <c r="O75" s="1870" t="s">
        <v>1042</v>
      </c>
      <c r="P75" s="1871" t="s">
        <v>1543</v>
      </c>
      <c r="Q75" s="1872" t="e">
        <f ca="1">Q65+Q66</f>
        <v>#DIV/0!</v>
      </c>
      <c r="R75" s="1872" t="s">
        <v>1043</v>
      </c>
    </row>
    <row r="76" spans="1:18">
      <c r="B76" s="388" t="s">
        <v>1501</v>
      </c>
      <c r="C76" s="389">
        <f ca="1">INDIRECT("'数据-取费表'!j"&amp;$G$1)</f>
        <v>0</v>
      </c>
      <c r="I76" s="1828"/>
      <c r="J76" s="1828"/>
      <c r="K76" s="1854"/>
      <c r="L76" s="1828"/>
    </row>
    <row r="77" spans="1:18">
      <c r="B77" s="390" t="s">
        <v>1502</v>
      </c>
      <c r="C77" s="391"/>
      <c r="I77" s="1828"/>
      <c r="J77" s="1828"/>
      <c r="K77" s="1854"/>
      <c r="L77" s="1828"/>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0" customWidth="1"/>
    <col min="2" max="16384" width="9" style="1930"/>
  </cols>
  <sheetData>
    <row r="1" spans="1:1" ht="22.8">
      <c r="A1" s="1929" t="s">
        <v>1605</v>
      </c>
    </row>
    <row r="2" spans="1:1">
      <c r="A2" s="1931"/>
    </row>
    <row r="3" spans="1:1" ht="17.399999999999999">
      <c r="A3" s="1932" t="str">
        <f>项目基本情况!B5&amp;"："</f>
        <v>：</v>
      </c>
    </row>
    <row r="4" spans="1:1" ht="17.399999999999999">
      <c r="A4" s="1933" t="str">
        <f>"受贵公司委托，我公司对"&amp;项目基本情况!S1&amp;"进行了预评估。"</f>
        <v>受贵公司委托，我公司对进行了预评估。</v>
      </c>
    </row>
    <row r="5" spans="1:1" ht="17.399999999999999">
      <c r="A5" s="1934" t="s">
        <v>1606</v>
      </c>
    </row>
    <row r="6" spans="1:1" ht="17.399999999999999">
      <c r="A6" s="1935" t="s">
        <v>1607</v>
      </c>
    </row>
    <row r="7" spans="1:1" ht="52.2">
      <c r="A7" s="1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估价对象为房地产，为所有。根据《国有土地使用证》[]，估价对象（分摊）出让国有建设用地使用权面积为8010.13平方米，建筑面积为26881.28平方米。</v>
      </c>
    </row>
    <row r="8" spans="1:1" ht="54.6">
      <c r="A8" s="1936" t="s">
        <v>1608</v>
      </c>
    </row>
    <row r="9" spans="1:1" ht="17.399999999999999">
      <c r="A9" s="1935" t="s">
        <v>1609</v>
      </c>
    </row>
    <row r="10" spans="1:1" ht="52.2">
      <c r="A10" s="1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估价对象为房地产,为开发建设的，该项目尚在开发建设中。根据《国有土地使用证》[]，估价对象（分摊）出让国有建设用地使用权面积为8010.13平方米，规划建筑面积为26881.28平方米。</v>
      </c>
    </row>
    <row r="11" spans="1:1" ht="72">
      <c r="A11" s="1936" t="s">
        <v>1610</v>
      </c>
    </row>
    <row r="12" spans="1:1" ht="17.399999999999999">
      <c r="A12" s="1934" t="s">
        <v>1611</v>
      </c>
    </row>
    <row r="13" spans="1:1" ht="38.25" customHeight="1">
      <c r="A13" s="1937" t="str">
        <f>IF(项目基本情况!B8="抵押",IF(项目基本情况!B5=项目基本情况!B6,定义!C51,定义!B51),定义!D51)</f>
        <v>为估价委托人了解估价对象房地产市场价值提供参考依据。</v>
      </c>
    </row>
    <row r="14" spans="1:1" ht="17.399999999999999">
      <c r="A14" s="1938" t="s">
        <v>1612</v>
      </c>
    </row>
    <row r="15" spans="1:1" ht="17.399999999999999">
      <c r="A15" s="1939" t="str">
        <f>TEXT(项目基本情况!D3,"yyyy年m月d日;;")&amp;IF(项目基本情况!D3=项目基本情况!B3,"（评估专业人员实地查勘之日）","")</f>
        <v>2020年7月8日（评估专业人员实地查勘之日）</v>
      </c>
    </row>
    <row r="16" spans="1:1" ht="17.399999999999999">
      <c r="A16" s="1938" t="s">
        <v>1613</v>
      </c>
    </row>
    <row r="17" spans="1:1" ht="69.599999999999994">
      <c r="A17" s="1933" t="s">
        <v>1614</v>
      </c>
    </row>
    <row r="18" spans="1:1" ht="69.599999999999994">
      <c r="A18" s="1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9" spans="1:1" ht="157.5" customHeight="1">
      <c r="A19" s="1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8" t="s">
        <v>1603</v>
      </c>
    </row>
    <row r="24" spans="1:1" ht="17.399999999999999">
      <c r="A24" s="1940" t="str">
        <f>"本次评估采用的主估价方法为"&amp;结果表!K4&amp;"和"&amp;结果表!L4&amp;"。"</f>
        <v>本次评估采用的主估价方法为成本法和收益法。</v>
      </c>
    </row>
    <row r="25" spans="1:1" ht="17.399999999999999">
      <c r="A25" s="1940"/>
    </row>
    <row r="26" spans="1:1" ht="17.399999999999999">
      <c r="A26" s="1941" t="s">
        <v>1604</v>
      </c>
    </row>
    <row r="27" spans="1:1">
      <c r="A27" s="1942"/>
    </row>
    <row r="28" spans="1:1">
      <c r="A28" s="1942"/>
    </row>
    <row r="29" spans="1:1">
      <c r="A29" s="1942"/>
    </row>
    <row r="30" spans="1:1">
      <c r="A30" s="1942"/>
    </row>
    <row r="31" spans="1:1">
      <c r="A31" s="1942"/>
    </row>
    <row r="32" spans="1:1">
      <c r="A32" s="1942"/>
    </row>
    <row r="33" spans="1:1">
      <c r="A33" s="1942"/>
    </row>
    <row r="34" spans="1:1">
      <c r="A34" s="1942"/>
    </row>
    <row r="35" spans="1:1">
      <c r="A35" s="1942"/>
    </row>
    <row r="36" spans="1:1">
      <c r="A36" s="1942"/>
    </row>
    <row r="37" spans="1:1">
      <c r="A37" s="1942"/>
    </row>
    <row r="38" spans="1:1">
      <c r="A38" s="1942"/>
    </row>
    <row r="39" spans="1:1">
      <c r="A39" s="1942"/>
    </row>
    <row r="40" spans="1:1">
      <c r="A40" s="1942"/>
    </row>
    <row r="41" spans="1:1">
      <c r="A41" s="1942"/>
    </row>
    <row r="42" spans="1:1">
      <c r="A42" s="1942"/>
    </row>
    <row r="43" spans="1:1">
      <c r="A43" s="1942"/>
    </row>
    <row r="44" spans="1:1">
      <c r="A44" s="1942"/>
    </row>
    <row r="45" spans="1:1">
      <c r="A45" s="1942"/>
    </row>
    <row r="46" spans="1:1">
      <c r="A46" s="1942"/>
    </row>
    <row r="47" spans="1:1">
      <c r="A47" s="1942"/>
    </row>
    <row r="48" spans="1:1">
      <c r="A48" s="194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6"/>
  <sheetViews>
    <sheetView tabSelected="1" workbookViewId="0">
      <selection activeCell="J21" sqref="J21"/>
    </sheetView>
  </sheetViews>
  <sheetFormatPr defaultColWidth="9" defaultRowHeight="13.8"/>
  <cols>
    <col min="1" max="1" width="23.6640625" style="1930" customWidth="1"/>
    <col min="2" max="2" width="12" style="1930" customWidth="1"/>
    <col min="3" max="3" width="9" style="1930"/>
    <col min="4" max="4" width="14.109375" style="1930" customWidth="1"/>
    <col min="5" max="5" width="9" style="1930"/>
    <col min="6" max="6" width="12.88671875" style="1930" customWidth="1"/>
    <col min="7" max="16384" width="9" style="1930"/>
  </cols>
  <sheetData>
    <row r="1" spans="1:19" ht="21.6">
      <c r="A1" s="2549" t="s">
        <v>2516</v>
      </c>
      <c r="B1" s="2550"/>
      <c r="C1" s="2550"/>
      <c r="D1" s="2550"/>
      <c r="E1" s="2551"/>
      <c r="G1" s="1942"/>
      <c r="H1" s="1942"/>
      <c r="I1" s="1942"/>
      <c r="J1" s="1942"/>
      <c r="K1" s="1942"/>
      <c r="L1" s="1942"/>
      <c r="M1" s="1942"/>
      <c r="N1" s="1942"/>
      <c r="O1" s="1942"/>
      <c r="P1" s="1942"/>
      <c r="Q1" s="1942"/>
      <c r="R1" s="1942"/>
      <c r="S1" s="1942"/>
    </row>
    <row r="2" spans="1:19" ht="15.6">
      <c r="A2" s="2552" t="s">
        <v>2317</v>
      </c>
      <c r="B2" s="2553">
        <f ca="1">SUMIF(B6:B13,"&lt;&gt;#ref!",B6:B13)</f>
        <v>62215</v>
      </c>
      <c r="C2" s="2554" t="s">
        <v>2509</v>
      </c>
      <c r="D2" s="2555" t="s">
        <v>2510</v>
      </c>
      <c r="E2" s="2556">
        <f>SUM(E6:E13)</f>
        <v>26881.280000000002</v>
      </c>
      <c r="G2" s="1942"/>
      <c r="H2" s="1942">
        <f ca="1">结果表!G19</f>
        <v>60459</v>
      </c>
      <c r="I2" s="1942"/>
      <c r="J2" s="1942"/>
      <c r="K2" s="1942"/>
      <c r="L2" s="1942"/>
      <c r="M2" s="1942"/>
      <c r="N2" s="1942"/>
      <c r="O2" s="1942"/>
      <c r="P2" s="1942"/>
      <c r="Q2" s="1942"/>
      <c r="R2" s="1942"/>
      <c r="S2" s="1942"/>
    </row>
    <row r="3" spans="1:19" ht="15.6">
      <c r="A3" s="2552" t="s">
        <v>1389</v>
      </c>
      <c r="B3" s="2553">
        <f ca="1">ROUND(B2*10000/E2,0)</f>
        <v>23144</v>
      </c>
      <c r="C3" s="2554" t="s">
        <v>2517</v>
      </c>
      <c r="D3" s="2557"/>
      <c r="E3" s="2558"/>
      <c r="G3" s="1942"/>
      <c r="H3" s="1942"/>
      <c r="I3" s="1942"/>
      <c r="J3" s="1942"/>
      <c r="K3" s="1942"/>
      <c r="L3" s="1942"/>
      <c r="M3" s="1942"/>
      <c r="N3" s="1942"/>
      <c r="O3" s="1942"/>
      <c r="P3" s="1942"/>
      <c r="Q3" s="1942"/>
      <c r="R3" s="1942"/>
      <c r="S3" s="1942"/>
    </row>
    <row r="4" spans="1:19" ht="15.6">
      <c r="A4" s="2559"/>
      <c r="B4" s="2557"/>
      <c r="C4" s="2557"/>
      <c r="D4" s="2557"/>
      <c r="E4" s="2558"/>
      <c r="G4" s="1942"/>
      <c r="H4" s="2983" t="s">
        <v>4213</v>
      </c>
      <c r="I4" s="2983" t="s">
        <v>4214</v>
      </c>
      <c r="J4" s="1942"/>
      <c r="K4" s="1942"/>
      <c r="L4" s="1942"/>
      <c r="M4" s="1942"/>
      <c r="N4" s="1942"/>
      <c r="O4" s="1942"/>
      <c r="P4" s="1942"/>
      <c r="Q4" s="1942"/>
      <c r="R4" s="1942"/>
      <c r="S4" s="1942"/>
    </row>
    <row r="5" spans="1:19" ht="14.4">
      <c r="A5" s="2560" t="s">
        <v>2511</v>
      </c>
      <c r="B5" s="3226" t="s">
        <v>2512</v>
      </c>
      <c r="C5" s="3226"/>
      <c r="D5" s="2561"/>
      <c r="E5" s="2562" t="s">
        <v>2513</v>
      </c>
      <c r="F5" s="2563" t="s">
        <v>2514</v>
      </c>
      <c r="G5" s="1942"/>
      <c r="H5" s="2982">
        <f ca="1">H2-H9</f>
        <v>56137</v>
      </c>
      <c r="I5" s="2982">
        <f ca="1">H5*10000/(E6+E7+E8)</f>
        <v>29659.776678582632</v>
      </c>
      <c r="J5" s="1942"/>
      <c r="K5" s="1942"/>
      <c r="L5" s="1942"/>
      <c r="M5" s="1942"/>
      <c r="N5" s="1942"/>
      <c r="O5" s="1942"/>
      <c r="P5" s="1942"/>
      <c r="Q5" s="1942"/>
      <c r="R5" s="1942"/>
      <c r="S5" s="1942"/>
    </row>
    <row r="6" spans="1:19" ht="14.4">
      <c r="A6" s="2564" t="str">
        <f>'数据-取费表'!AN6</f>
        <v>地上1层</v>
      </c>
      <c r="B6" s="2563">
        <f ca="1">IF(F6="是",'数据-取费表'!AO6,0)</f>
        <v>22910</v>
      </c>
      <c r="C6" s="2554" t="s">
        <v>2509</v>
      </c>
      <c r="D6" s="2557"/>
      <c r="E6" s="2565">
        <f>IF(OR(A6=0,F6="否"),0,'数据-取费表'!K6+'数据-取费表'!S6)</f>
        <v>4323.09</v>
      </c>
      <c r="F6" s="2566" t="s">
        <v>2515</v>
      </c>
      <c r="G6" s="1942">
        <v>1</v>
      </c>
      <c r="H6" s="2982">
        <f ca="1">I6*E6/10000</f>
        <v>20864.123032188578</v>
      </c>
      <c r="I6" s="2982">
        <f ca="1">H5*10000/(E6*G6+E7*G7+E8*G8)</f>
        <v>48262.060313776899</v>
      </c>
      <c r="J6" s="1942"/>
      <c r="K6" s="1942"/>
      <c r="L6" s="1942"/>
      <c r="M6" s="1942"/>
      <c r="N6" s="1942"/>
      <c r="O6" s="1942"/>
      <c r="P6" s="1942"/>
      <c r="Q6" s="1942"/>
      <c r="R6" s="1942"/>
      <c r="S6" s="1942"/>
    </row>
    <row r="7" spans="1:19" ht="14.4">
      <c r="A7" s="2564" t="str">
        <f>'数据-取费表'!AN7</f>
        <v>地下1层</v>
      </c>
      <c r="B7" s="2563">
        <f ca="1">IF(F7="是",'数据-取费表'!AO7,0)</f>
        <v>25588</v>
      </c>
      <c r="C7" s="2554" t="s">
        <v>2509</v>
      </c>
      <c r="D7" s="2557"/>
      <c r="E7" s="2565">
        <f>IF(OR(A7=0,F7="否"),0,'数据-取费表'!K7+'数据-取费表'!S7)</f>
        <v>7335.29</v>
      </c>
      <c r="F7" s="2566" t="s">
        <v>2515</v>
      </c>
      <c r="G7" s="1942">
        <v>0.6</v>
      </c>
      <c r="H7" s="2982">
        <f t="shared" ref="H7:H8" ca="1" si="0">I7*E7/10000</f>
        <v>21240.97250394267</v>
      </c>
      <c r="I7" s="2982">
        <f ca="1">I6*G7</f>
        <v>28957.236188266139</v>
      </c>
      <c r="J7" s="1942"/>
      <c r="K7" s="1942"/>
      <c r="L7" s="1942"/>
      <c r="M7" s="1942"/>
      <c r="N7" s="1942"/>
      <c r="O7" s="1942"/>
      <c r="P7" s="1942"/>
      <c r="Q7" s="1942"/>
      <c r="R7" s="1942"/>
      <c r="S7" s="1942"/>
    </row>
    <row r="8" spans="1:19" ht="14.4">
      <c r="A8" s="2564" t="str">
        <f>'数据-取费表'!AN8</f>
        <v>地下2层</v>
      </c>
      <c r="B8" s="2563">
        <f ca="1">IF(F8="是",'数据-取费表'!AO8,0)</f>
        <v>12159</v>
      </c>
      <c r="C8" s="2554" t="s">
        <v>2509</v>
      </c>
      <c r="D8" s="2557"/>
      <c r="E8" s="2565">
        <f>IF(OR(A8=0,F8="否"),0,'数据-取费表'!K8+'数据-取费表'!S8)</f>
        <v>7268.6</v>
      </c>
      <c r="F8" s="2566" t="s">
        <v>2515</v>
      </c>
      <c r="G8" s="1942">
        <v>0.4</v>
      </c>
      <c r="H8" s="2982">
        <f t="shared" ca="1" si="0"/>
        <v>14031.904463868752</v>
      </c>
      <c r="I8" s="2982">
        <f ca="1">I6*G8</f>
        <v>19304.82412551076</v>
      </c>
      <c r="J8" s="1942"/>
      <c r="K8" s="1942"/>
      <c r="L8" s="1942"/>
      <c r="M8" s="1942"/>
      <c r="N8" s="1942"/>
      <c r="O8" s="1942"/>
      <c r="P8" s="1942"/>
      <c r="Q8" s="1942"/>
      <c r="R8" s="1942"/>
      <c r="S8" s="1942"/>
    </row>
    <row r="9" spans="1:19" ht="14.4">
      <c r="A9" s="2564" t="str">
        <f>'数据-取费表'!AN9</f>
        <v>地下3层</v>
      </c>
      <c r="B9" s="2563">
        <f ca="1">IF(F9="是",'数据-取费表'!AO9,0)</f>
        <v>1558</v>
      </c>
      <c r="C9" s="2554" t="s">
        <v>2509</v>
      </c>
      <c r="D9" s="2557"/>
      <c r="E9" s="2565">
        <f>IF(OR(A9=0,F9="否"),0,'数据-取费表'!K9+'数据-取费表'!S9)</f>
        <v>7954.3</v>
      </c>
      <c r="F9" s="2566" t="s">
        <v>2515</v>
      </c>
      <c r="G9" s="1942"/>
      <c r="H9" s="2982">
        <f>'土地比较法-住宅、综合'!F64+'数据-取费表'!M9</f>
        <v>4322</v>
      </c>
      <c r="I9" s="2982">
        <f>H9*10000/E9</f>
        <v>5433.5390920634118</v>
      </c>
      <c r="J9" s="1942"/>
      <c r="K9" s="1942"/>
      <c r="L9" s="1942"/>
      <c r="M9" s="1942"/>
      <c r="N9" s="1942"/>
      <c r="O9" s="1942"/>
      <c r="P9" s="1942"/>
      <c r="Q9" s="1942"/>
      <c r="R9" s="1942"/>
      <c r="S9" s="1942"/>
    </row>
    <row r="10" spans="1:19" ht="14.4">
      <c r="A10" s="2564">
        <f>'数据-取费表'!AN10</f>
        <v>0</v>
      </c>
      <c r="B10" s="2563" t="e">
        <f ca="1">IF(F10="是",'数据-取费表'!AO10,0)</f>
        <v>#REF!</v>
      </c>
      <c r="C10" s="2554" t="s">
        <v>2509</v>
      </c>
      <c r="D10" s="2557"/>
      <c r="E10" s="2565">
        <f>IF(OR(A10=0,F10="否"),0,'数据-取费表'!K10+'数据-取费表'!S10)</f>
        <v>0</v>
      </c>
      <c r="F10" s="2566" t="s">
        <v>2515</v>
      </c>
      <c r="G10" s="1942"/>
      <c r="H10" s="1942" t="s">
        <v>4215</v>
      </c>
      <c r="I10" s="1942"/>
      <c r="J10" s="1942"/>
      <c r="K10" s="1942"/>
      <c r="L10" s="1942"/>
      <c r="M10" s="1942"/>
      <c r="N10" s="1942"/>
      <c r="O10" s="1942"/>
      <c r="P10" s="1942"/>
      <c r="Q10" s="1942"/>
      <c r="R10" s="1942"/>
      <c r="S10" s="1942"/>
    </row>
    <row r="11" spans="1:19" ht="14.4">
      <c r="A11" s="2564">
        <f>'数据-取费表'!AN11</f>
        <v>0</v>
      </c>
      <c r="B11" s="2563" t="e">
        <f ca="1">IF(F11="是",'数据-取费表'!AO11,0)</f>
        <v>#REF!</v>
      </c>
      <c r="C11" s="2554" t="s">
        <v>2509</v>
      </c>
      <c r="D11" s="2557"/>
      <c r="E11" s="2565">
        <f>IF(OR(A11=0,F11="否"),0,'数据-取费表'!K11+'数据-取费表'!S11)</f>
        <v>0</v>
      </c>
      <c r="F11" s="2566" t="s">
        <v>2515</v>
      </c>
      <c r="G11" s="1942"/>
      <c r="H11" s="1942"/>
      <c r="I11" s="1942"/>
      <c r="J11" s="1942"/>
      <c r="K11" s="1942"/>
      <c r="L11" s="1942"/>
      <c r="M11" s="1942"/>
      <c r="N11" s="1942"/>
      <c r="O11" s="1942"/>
      <c r="P11" s="1942"/>
      <c r="Q11" s="1942"/>
      <c r="R11" s="1942"/>
      <c r="S11" s="1942"/>
    </row>
    <row r="12" spans="1:19" ht="14.4">
      <c r="A12" s="2564">
        <f>'数据-取费表'!AN12</f>
        <v>0</v>
      </c>
      <c r="B12" s="2563" t="e">
        <f ca="1">IF(F12="是",'数据-取费表'!AO12,0)</f>
        <v>#REF!</v>
      </c>
      <c r="C12" s="2554" t="s">
        <v>2509</v>
      </c>
      <c r="D12" s="2557"/>
      <c r="E12" s="2565">
        <f>IF(OR(A12=0,F12="否"),0,'数据-取费表'!K12+'数据-取费表'!S12)</f>
        <v>0</v>
      </c>
      <c r="F12" s="2566" t="s">
        <v>2515</v>
      </c>
      <c r="G12" s="1942"/>
      <c r="H12" s="1942"/>
      <c r="I12" s="1942"/>
      <c r="J12" s="1942"/>
      <c r="K12" s="1942"/>
      <c r="L12" s="1942"/>
      <c r="M12" s="1942"/>
      <c r="N12" s="1942"/>
      <c r="O12" s="1942"/>
      <c r="P12" s="1942"/>
      <c r="Q12" s="1942"/>
      <c r="R12" s="1942"/>
      <c r="S12" s="1942"/>
    </row>
    <row r="13" spans="1:19" ht="15" thickBot="1">
      <c r="A13" s="2567">
        <f>'数据-取费表'!AN13</f>
        <v>0</v>
      </c>
      <c r="B13" s="2563" t="e">
        <f ca="1">IF(F13="是",'数据-取费表'!AO13,0)</f>
        <v>#REF!</v>
      </c>
      <c r="C13" s="2568" t="s">
        <v>2509</v>
      </c>
      <c r="D13" s="2569"/>
      <c r="E13" s="2565">
        <f>IF(OR(A13=0,F13="否"),0,'数据-取费表'!K13+'数据-取费表'!S13)</f>
        <v>0</v>
      </c>
      <c r="F13" s="2566" t="s">
        <v>2515</v>
      </c>
      <c r="G13" s="1942"/>
      <c r="H13" s="1942"/>
      <c r="I13" s="1942"/>
      <c r="J13" s="1942"/>
      <c r="K13" s="1942"/>
      <c r="L13" s="1942"/>
      <c r="M13" s="1942"/>
      <c r="N13" s="1942"/>
      <c r="O13" s="1942"/>
      <c r="P13" s="1942"/>
      <c r="Q13" s="1942"/>
      <c r="R13" s="1942"/>
      <c r="S13" s="1942"/>
    </row>
    <row r="14" spans="1:19">
      <c r="A14" s="1942"/>
      <c r="B14" s="1942"/>
      <c r="C14" s="1942"/>
      <c r="D14" s="1942"/>
      <c r="E14" s="1942"/>
      <c r="F14" s="1942"/>
      <c r="G14" s="1942"/>
      <c r="H14" s="1942"/>
      <c r="I14" s="1942"/>
      <c r="J14" s="1942"/>
      <c r="K14" s="1942"/>
      <c r="L14" s="1942"/>
      <c r="M14" s="1942"/>
      <c r="N14" s="1942"/>
      <c r="O14" s="1942"/>
      <c r="P14" s="1942"/>
      <c r="Q14" s="1942"/>
      <c r="R14" s="1942"/>
      <c r="S14" s="1942"/>
    </row>
    <row r="15" spans="1:19">
      <c r="A15" s="1942"/>
      <c r="B15" s="1942"/>
      <c r="C15" s="1942"/>
      <c r="D15" s="1942"/>
      <c r="E15" s="1942"/>
      <c r="F15" s="1942"/>
      <c r="G15" s="1942"/>
      <c r="H15" s="1942"/>
      <c r="I15" s="1942"/>
      <c r="J15" s="1942"/>
      <c r="K15" s="1942"/>
      <c r="L15" s="1942"/>
      <c r="M15" s="1942"/>
      <c r="N15" s="1942"/>
      <c r="O15" s="1942"/>
      <c r="P15" s="1942"/>
      <c r="Q15" s="1942"/>
      <c r="R15" s="1942"/>
      <c r="S15" s="1942"/>
    </row>
    <row r="16" spans="1:19">
      <c r="A16" s="1942"/>
      <c r="B16" s="1942"/>
      <c r="C16" s="1942"/>
      <c r="D16" s="1942"/>
      <c r="E16" s="1942"/>
      <c r="F16" s="1942"/>
      <c r="G16" s="1942"/>
      <c r="H16" s="1942"/>
      <c r="I16" s="1942"/>
      <c r="J16" s="1942"/>
      <c r="K16" s="1942"/>
      <c r="L16" s="1942"/>
      <c r="M16" s="1942"/>
      <c r="N16" s="1942"/>
      <c r="O16" s="1942"/>
      <c r="P16" s="1942"/>
      <c r="Q16" s="1942"/>
      <c r="R16" s="1942"/>
      <c r="S16" s="1942"/>
    </row>
    <row r="17" spans="1:19">
      <c r="A17" s="1942"/>
      <c r="B17" s="1942"/>
      <c r="C17" s="1942"/>
      <c r="D17" s="1942"/>
      <c r="E17" s="1942"/>
      <c r="F17" s="1942"/>
      <c r="G17" s="1942"/>
      <c r="H17" s="1942"/>
      <c r="I17" s="1942"/>
      <c r="J17" s="1942"/>
      <c r="K17" s="1942"/>
      <c r="L17" s="1942"/>
      <c r="M17" s="1942"/>
      <c r="N17" s="1942"/>
      <c r="O17" s="1942"/>
      <c r="P17" s="1942"/>
      <c r="Q17" s="1942"/>
      <c r="R17" s="1942"/>
      <c r="S17" s="1942"/>
    </row>
    <row r="18" spans="1:19">
      <c r="A18" s="1942"/>
      <c r="B18" s="1942"/>
      <c r="C18" s="1942"/>
      <c r="D18" s="1942"/>
      <c r="E18" s="1942"/>
      <c r="F18" s="1942"/>
      <c r="G18" s="1942"/>
      <c r="H18" s="1942"/>
      <c r="I18" s="1942"/>
      <c r="J18" s="1942"/>
      <c r="K18" s="1942"/>
      <c r="L18" s="1942"/>
      <c r="M18" s="1942"/>
      <c r="N18" s="1942"/>
      <c r="O18" s="1942"/>
      <c r="P18" s="1942"/>
      <c r="Q18" s="1942"/>
      <c r="R18" s="1942"/>
      <c r="S18" s="1942"/>
    </row>
    <row r="19" spans="1:19">
      <c r="A19" s="1942"/>
      <c r="B19" s="1942"/>
      <c r="C19" s="1942"/>
      <c r="D19" s="1942"/>
      <c r="E19" s="1942"/>
      <c r="F19" s="1942"/>
      <c r="G19" s="1942"/>
      <c r="H19" s="1942"/>
      <c r="I19" s="1942"/>
      <c r="J19" s="1942"/>
      <c r="K19" s="1942"/>
      <c r="L19" s="1942"/>
      <c r="M19" s="1942"/>
      <c r="N19" s="1942"/>
      <c r="O19" s="1942"/>
      <c r="P19" s="1942"/>
      <c r="Q19" s="1942"/>
      <c r="R19" s="1942"/>
      <c r="S19" s="1942"/>
    </row>
    <row r="20" spans="1:19">
      <c r="A20" s="1942"/>
      <c r="B20" s="1942"/>
      <c r="C20" s="1942"/>
      <c r="D20" s="1942"/>
      <c r="E20" s="1942"/>
      <c r="F20" s="1942"/>
      <c r="G20" s="1942"/>
      <c r="H20" s="1942"/>
      <c r="I20" s="1942"/>
      <c r="J20" s="1942"/>
      <c r="K20" s="1942"/>
      <c r="L20" s="1942"/>
      <c r="M20" s="1942"/>
      <c r="N20" s="1942"/>
      <c r="O20" s="1942"/>
      <c r="P20" s="1942"/>
      <c r="Q20" s="1942"/>
      <c r="R20" s="1942"/>
      <c r="S20" s="1942"/>
    </row>
    <row r="21" spans="1:19">
      <c r="A21" s="1942"/>
      <c r="B21" s="1942"/>
      <c r="C21" s="1942"/>
      <c r="D21" s="1942"/>
      <c r="E21" s="1942"/>
      <c r="F21" s="1942"/>
      <c r="G21" s="1942"/>
      <c r="H21" s="1942"/>
      <c r="I21" s="1942"/>
      <c r="J21" s="1942"/>
      <c r="K21" s="1942"/>
      <c r="L21" s="1942"/>
      <c r="M21" s="1942"/>
      <c r="N21" s="1942"/>
      <c r="O21" s="1942"/>
      <c r="P21" s="1942"/>
      <c r="Q21" s="1942"/>
      <c r="R21" s="1942"/>
      <c r="S21" s="1942"/>
    </row>
    <row r="22" spans="1:19">
      <c r="A22" s="1942"/>
      <c r="B22" s="1942"/>
      <c r="C22" s="1942"/>
      <c r="D22" s="1942"/>
      <c r="E22" s="1942"/>
      <c r="F22" s="1942"/>
      <c r="G22" s="1942"/>
      <c r="H22" s="1942"/>
      <c r="I22" s="1942"/>
      <c r="J22" s="1942"/>
      <c r="K22" s="1942"/>
      <c r="L22" s="1942"/>
      <c r="M22" s="1942"/>
      <c r="N22" s="1942"/>
      <c r="O22" s="1942"/>
      <c r="P22" s="1942"/>
      <c r="Q22" s="1942"/>
      <c r="R22" s="1942"/>
      <c r="S22" s="1942"/>
    </row>
    <row r="23" spans="1:19">
      <c r="A23" s="1942"/>
      <c r="B23" s="1942"/>
      <c r="C23" s="1942"/>
      <c r="D23" s="1942"/>
      <c r="E23" s="1942"/>
      <c r="F23" s="1942"/>
      <c r="G23" s="1942"/>
      <c r="H23" s="1942"/>
      <c r="I23" s="1942"/>
      <c r="J23" s="1942"/>
      <c r="K23" s="1942"/>
      <c r="L23" s="1942"/>
      <c r="M23" s="1942"/>
      <c r="N23" s="1942"/>
      <c r="O23" s="1942"/>
      <c r="P23" s="1942"/>
      <c r="Q23" s="1942"/>
      <c r="R23" s="1942"/>
      <c r="S23" s="1942"/>
    </row>
    <row r="24" spans="1:19">
      <c r="A24" s="1942"/>
      <c r="B24" s="1942"/>
      <c r="C24" s="1942"/>
      <c r="D24" s="1942"/>
      <c r="E24" s="1942"/>
      <c r="F24" s="1942"/>
      <c r="G24" s="1942"/>
      <c r="H24" s="1942"/>
      <c r="I24" s="1942"/>
      <c r="J24" s="1942"/>
      <c r="K24" s="1942"/>
      <c r="L24" s="1942"/>
      <c r="M24" s="1942"/>
      <c r="N24" s="1942"/>
      <c r="O24" s="1942"/>
      <c r="P24" s="1942"/>
      <c r="Q24" s="1942"/>
      <c r="R24" s="1942"/>
      <c r="S24" s="1942"/>
    </row>
    <row r="25" spans="1:19">
      <c r="A25" s="1942"/>
      <c r="B25" s="1942"/>
      <c r="C25" s="1942"/>
      <c r="D25" s="1942"/>
      <c r="E25" s="1942"/>
      <c r="F25" s="1942"/>
      <c r="G25" s="1942"/>
      <c r="H25" s="1942"/>
      <c r="I25" s="1942"/>
      <c r="J25" s="1942"/>
      <c r="K25" s="1942"/>
      <c r="L25" s="1942"/>
      <c r="M25" s="1942"/>
      <c r="N25" s="1942"/>
      <c r="O25" s="1942"/>
      <c r="P25" s="1942"/>
      <c r="Q25" s="1942"/>
      <c r="R25" s="1942"/>
      <c r="S25" s="1942"/>
    </row>
    <row r="26" spans="1:19">
      <c r="A26" s="1942"/>
      <c r="B26" s="1942"/>
      <c r="C26" s="1942"/>
      <c r="D26" s="1942"/>
      <c r="E26" s="1942"/>
      <c r="F26" s="1942"/>
      <c r="G26" s="1942"/>
      <c r="H26" s="1942"/>
      <c r="I26" s="1942"/>
      <c r="J26" s="1942"/>
      <c r="K26" s="1942"/>
      <c r="L26" s="1942"/>
      <c r="M26" s="1942"/>
      <c r="N26" s="1942"/>
      <c r="O26" s="1942"/>
      <c r="P26" s="1942"/>
      <c r="Q26" s="1942"/>
      <c r="R26" s="1942"/>
      <c r="S26" s="1942"/>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7" t="s">
        <v>1072</v>
      </c>
      <c r="B1" s="3228"/>
      <c r="C1" s="3229"/>
      <c r="D1" s="3230">
        <f>SUM(I10,I15,I20,I21,I23)</f>
        <v>0</v>
      </c>
      <c r="E1" s="3230"/>
      <c r="F1" s="3230"/>
      <c r="G1" s="3230"/>
      <c r="H1" s="3230"/>
      <c r="I1" s="3231"/>
    </row>
    <row r="2" spans="1:9">
      <c r="A2" s="3232" t="s">
        <v>1073</v>
      </c>
      <c r="B2" s="3233" t="s">
        <v>1074</v>
      </c>
      <c r="C2" s="3233"/>
      <c r="D2" s="1296" t="s">
        <v>1075</v>
      </c>
      <c r="E2" s="1296" t="s">
        <v>1076</v>
      </c>
      <c r="F2" s="1296" t="s">
        <v>1077</v>
      </c>
      <c r="G2" s="1296" t="s">
        <v>1078</v>
      </c>
      <c r="H2" s="1296" t="s">
        <v>1079</v>
      </c>
      <c r="I2" s="1297" t="s">
        <v>1080</v>
      </c>
    </row>
    <row r="3" spans="1:9">
      <c r="A3" s="3232"/>
      <c r="B3" s="3233" t="s">
        <v>1081</v>
      </c>
      <c r="C3" s="3233"/>
      <c r="D3" s="1298"/>
      <c r="E3" s="1296"/>
      <c r="F3" s="1299"/>
      <c r="G3" s="1299"/>
      <c r="H3" s="1300"/>
      <c r="I3" s="1301">
        <f>ROUND(D3*E3*F3*G3*H3/10000,0)</f>
        <v>0</v>
      </c>
    </row>
    <row r="4" spans="1:9">
      <c r="A4" s="3232"/>
      <c r="B4" s="3233" t="s">
        <v>1082</v>
      </c>
      <c r="C4" s="3233"/>
      <c r="D4" s="1298"/>
      <c r="E4" s="1296"/>
      <c r="F4" s="1299"/>
      <c r="G4" s="1299"/>
      <c r="H4" s="1300"/>
      <c r="I4" s="1301">
        <f t="shared" ref="I4:I9" si="0">ROUND(D4*E4*F4*G4*H4/10000,0)</f>
        <v>0</v>
      </c>
    </row>
    <row r="5" spans="1:9">
      <c r="A5" s="3232"/>
      <c r="B5" s="3233" t="s">
        <v>1083</v>
      </c>
      <c r="C5" s="3233"/>
      <c r="D5" s="1298"/>
      <c r="E5" s="1296"/>
      <c r="F5" s="1299"/>
      <c r="G5" s="1299"/>
      <c r="H5" s="1300"/>
      <c r="I5" s="1301">
        <f t="shared" si="0"/>
        <v>0</v>
      </c>
    </row>
    <row r="6" spans="1:9">
      <c r="A6" s="3232"/>
      <c r="B6" s="3233" t="s">
        <v>1084</v>
      </c>
      <c r="C6" s="3233"/>
      <c r="D6" s="1298"/>
      <c r="E6" s="1296"/>
      <c r="F6" s="1299"/>
      <c r="G6" s="1299"/>
      <c r="H6" s="1300"/>
      <c r="I6" s="1301">
        <f t="shared" si="0"/>
        <v>0</v>
      </c>
    </row>
    <row r="7" spans="1:9">
      <c r="A7" s="3232"/>
      <c r="B7" s="3233" t="s">
        <v>1085</v>
      </c>
      <c r="C7" s="3233"/>
      <c r="D7" s="1298"/>
      <c r="E7" s="1296"/>
      <c r="F7" s="1299"/>
      <c r="G7" s="1299"/>
      <c r="H7" s="1300"/>
      <c r="I7" s="1301">
        <f t="shared" si="0"/>
        <v>0</v>
      </c>
    </row>
    <row r="8" spans="1:9">
      <c r="A8" s="3232"/>
      <c r="B8" s="3233" t="s">
        <v>1086</v>
      </c>
      <c r="C8" s="3233"/>
      <c r="D8" s="1298"/>
      <c r="E8" s="1296"/>
      <c r="F8" s="1299"/>
      <c r="G8" s="1299"/>
      <c r="H8" s="1300"/>
      <c r="I8" s="1301">
        <f t="shared" si="0"/>
        <v>0</v>
      </c>
    </row>
    <row r="9" spans="1:9">
      <c r="A9" s="3232"/>
      <c r="B9" s="3233" t="s">
        <v>1087</v>
      </c>
      <c r="C9" s="3233"/>
      <c r="D9" s="1298"/>
      <c r="E9" s="1296"/>
      <c r="F9" s="1299"/>
      <c r="G9" s="1299"/>
      <c r="H9" s="1300"/>
      <c r="I9" s="1301">
        <f t="shared" si="0"/>
        <v>0</v>
      </c>
    </row>
    <row r="10" spans="1:9">
      <c r="A10" s="3232"/>
      <c r="B10" s="3234" t="s">
        <v>1088</v>
      </c>
      <c r="C10" s="3234"/>
      <c r="D10" s="1302"/>
      <c r="E10" s="1302" t="e">
        <f>ROUND(D1*10000/D10/H9,0)</f>
        <v>#DIV/0!</v>
      </c>
      <c r="F10" s="1303"/>
      <c r="G10" s="1303"/>
      <c r="H10" s="1304"/>
      <c r="I10" s="1305">
        <f>SUM(I3:I9)</f>
        <v>0</v>
      </c>
    </row>
    <row r="11" spans="1:9" ht="15.6">
      <c r="A11" s="3232" t="s">
        <v>1089</v>
      </c>
      <c r="B11" s="3233" t="s">
        <v>1090</v>
      </c>
      <c r="C11" s="3233"/>
      <c r="D11" s="1298" t="s">
        <v>1091</v>
      </c>
      <c r="E11" s="1298" t="s">
        <v>1092</v>
      </c>
      <c r="F11" s="1299" t="s">
        <v>1093</v>
      </c>
      <c r="G11" s="1299" t="s">
        <v>1079</v>
      </c>
      <c r="H11" s="1306" t="s">
        <v>1094</v>
      </c>
      <c r="I11" s="1297" t="s">
        <v>1080</v>
      </c>
    </row>
    <row r="12" spans="1:9">
      <c r="A12" s="3232"/>
      <c r="B12" s="3233" t="s">
        <v>1095</v>
      </c>
      <c r="C12" s="3233"/>
      <c r="D12" s="1298"/>
      <c r="E12" s="1298"/>
      <c r="F12" s="1299"/>
      <c r="G12" s="1300"/>
      <c r="H12" s="1307"/>
      <c r="I12" s="1297">
        <f>ROUND(D12*E12*F12*G12/10000,0)</f>
        <v>0</v>
      </c>
    </row>
    <row r="13" spans="1:9">
      <c r="A13" s="3232"/>
      <c r="B13" s="3233" t="s">
        <v>1096</v>
      </c>
      <c r="C13" s="3233"/>
      <c r="D13" s="1298"/>
      <c r="E13" s="1298"/>
      <c r="F13" s="1299"/>
      <c r="G13" s="1300"/>
      <c r="H13" s="1307"/>
      <c r="I13" s="1297">
        <f>ROUND(D13*E13*F13*G13/10000,0)</f>
        <v>0</v>
      </c>
    </row>
    <row r="14" spans="1:9">
      <c r="A14" s="3232"/>
      <c r="B14" s="3233" t="s">
        <v>1097</v>
      </c>
      <c r="C14" s="3233"/>
      <c r="D14" s="1298"/>
      <c r="E14" s="1298"/>
      <c r="F14" s="1299"/>
      <c r="G14" s="1300"/>
      <c r="H14" s="1307"/>
      <c r="I14" s="1297">
        <f>ROUND(D14*E14*F14*G14/10000,0)</f>
        <v>0</v>
      </c>
    </row>
    <row r="15" spans="1:9">
      <c r="A15" s="3232"/>
      <c r="B15" s="3234" t="s">
        <v>1088</v>
      </c>
      <c r="C15" s="3234"/>
      <c r="D15" s="1302"/>
      <c r="E15" s="1302">
        <f>SUM(E12:E14)</f>
        <v>0</v>
      </c>
      <c r="F15" s="1303"/>
      <c r="G15" s="1300"/>
      <c r="H15" s="1307"/>
      <c r="I15" s="1308">
        <f>SUM(I12:I14)</f>
        <v>0</v>
      </c>
    </row>
    <row r="16" spans="1:9" ht="24">
      <c r="A16" s="3232" t="s">
        <v>1098</v>
      </c>
      <c r="B16" s="3233" t="s">
        <v>1099</v>
      </c>
      <c r="C16" s="3233"/>
      <c r="D16" s="1298" t="s">
        <v>1075</v>
      </c>
      <c r="E16" s="1309" t="s">
        <v>1100</v>
      </c>
      <c r="F16" s="1299" t="s">
        <v>1101</v>
      </c>
      <c r="G16" s="1300" t="s">
        <v>1079</v>
      </c>
      <c r="H16" s="1306" t="s">
        <v>1094</v>
      </c>
      <c r="I16" s="1297" t="s">
        <v>1080</v>
      </c>
    </row>
    <row r="17" spans="1:9" ht="15.6">
      <c r="A17" s="3232"/>
      <c r="B17" s="3233" t="s">
        <v>1102</v>
      </c>
      <c r="C17" s="3233"/>
      <c r="D17" s="1298"/>
      <c r="E17" s="1298"/>
      <c r="F17" s="1299"/>
      <c r="G17" s="1300"/>
      <c r="H17" s="1310"/>
      <c r="I17" s="1311">
        <f>ROUND(D17*E17*F17*G17/10000,0)</f>
        <v>0</v>
      </c>
    </row>
    <row r="18" spans="1:9" ht="15.6">
      <c r="A18" s="3232"/>
      <c r="B18" s="3233" t="s">
        <v>1103</v>
      </c>
      <c r="C18" s="3233"/>
      <c r="D18" s="1298"/>
      <c r="E18" s="1298"/>
      <c r="F18" s="1299"/>
      <c r="G18" s="1300"/>
      <c r="H18" s="1310"/>
      <c r="I18" s="1311">
        <f>ROUND(D18*E18*F18*G18/10000,0)</f>
        <v>0</v>
      </c>
    </row>
    <row r="19" spans="1:9" ht="15.6">
      <c r="A19" s="3232"/>
      <c r="B19" s="3233" t="s">
        <v>1104</v>
      </c>
      <c r="C19" s="3233"/>
      <c r="D19" s="1298"/>
      <c r="E19" s="1298"/>
      <c r="F19" s="1299"/>
      <c r="G19" s="1300"/>
      <c r="H19" s="1310"/>
      <c r="I19" s="1311">
        <f>ROUND(D19*E19*F19*G19/10000,0)</f>
        <v>0</v>
      </c>
    </row>
    <row r="20" spans="1:9">
      <c r="A20" s="3232"/>
      <c r="B20" s="3234" t="s">
        <v>1088</v>
      </c>
      <c r="C20" s="3234"/>
      <c r="D20" s="1302">
        <f>SUM(D17:D19)</f>
        <v>0</v>
      </c>
      <c r="E20" s="1302"/>
      <c r="F20" s="1303"/>
      <c r="G20" s="1300"/>
      <c r="H20" s="1307"/>
      <c r="I20" s="1308">
        <f>SUM(I17:I19)</f>
        <v>0</v>
      </c>
    </row>
    <row r="21" spans="1:9">
      <c r="A21" s="3232" t="s">
        <v>1105</v>
      </c>
      <c r="B21" s="3236"/>
      <c r="C21" s="3236"/>
      <c r="D21" s="3236"/>
      <c r="E21" s="3236"/>
      <c r="F21" s="3236"/>
      <c r="G21" s="3236"/>
      <c r="H21" s="1751">
        <v>0.1</v>
      </c>
      <c r="I21" s="1305">
        <f>ROUND(I10*H21,0)</f>
        <v>0</v>
      </c>
    </row>
    <row r="22" spans="1:9" ht="15.6">
      <c r="A22" s="3237" t="s">
        <v>1106</v>
      </c>
      <c r="B22" s="3238"/>
      <c r="C22" s="3239"/>
      <c r="D22" s="1312" t="s">
        <v>1107</v>
      </c>
      <c r="E22" s="1312" t="s">
        <v>1108</v>
      </c>
      <c r="F22" s="1313" t="s">
        <v>1109</v>
      </c>
      <c r="G22" s="1313" t="s">
        <v>1110</v>
      </c>
      <c r="H22" s="1306" t="s">
        <v>1111</v>
      </c>
      <c r="I22" s="1297" t="s">
        <v>1112</v>
      </c>
    </row>
    <row r="23" spans="1:9" ht="15" thickBot="1">
      <c r="A23" s="3240"/>
      <c r="B23" s="3241"/>
      <c r="C23" s="3242"/>
      <c r="D23" s="1314"/>
      <c r="E23" s="1314"/>
      <c r="F23" s="1314"/>
      <c r="G23" s="1315"/>
      <c r="H23" s="1316"/>
      <c r="I23" s="1317">
        <f>ROUND(E23*D23*F23*(1-G23)/10000,0)</f>
        <v>0</v>
      </c>
    </row>
    <row r="26" spans="1:9">
      <c r="A26" s="1318" t="s">
        <v>1113</v>
      </c>
      <c r="B26" s="1318"/>
      <c r="C26" s="1318"/>
      <c r="D26" s="1318"/>
      <c r="E26" s="3243">
        <f>C27-C30-C31-C32</f>
        <v>0</v>
      </c>
      <c r="F26" s="3243"/>
      <c r="G26" s="3243"/>
      <c r="H26" s="1731" t="s">
        <v>1335</v>
      </c>
    </row>
    <row r="27" spans="1:9">
      <c r="A27" s="1319">
        <v>1</v>
      </c>
      <c r="B27" s="1320" t="s">
        <v>1114</v>
      </c>
      <c r="C27" s="1320">
        <f>C28+C29</f>
        <v>0</v>
      </c>
      <c r="D27" s="1320"/>
      <c r="E27" s="3244"/>
      <c r="F27" s="3244"/>
      <c r="G27" s="3244"/>
    </row>
    <row r="28" spans="1:9">
      <c r="A28" s="1321" t="s">
        <v>1115</v>
      </c>
      <c r="B28" s="1320" t="s">
        <v>1116</v>
      </c>
      <c r="C28" s="1320"/>
      <c r="D28" s="1320"/>
      <c r="E28" s="3244"/>
      <c r="F28" s="3244"/>
      <c r="G28" s="3244"/>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35"/>
      <c r="F32" s="3235"/>
      <c r="G32" s="3235"/>
    </row>
    <row r="33" spans="1:7" hidden="1">
      <c r="A33" s="3245" t="s">
        <v>1125</v>
      </c>
      <c r="B33" s="3246"/>
      <c r="C33" s="3246"/>
      <c r="D33" s="3247"/>
      <c r="E33" s="3243"/>
      <c r="F33" s="3243"/>
      <c r="G33" s="3243"/>
    </row>
    <row r="34" spans="1:7" hidden="1">
      <c r="A34" s="1323">
        <v>1</v>
      </c>
      <c r="B34" s="1320" t="s">
        <v>1126</v>
      </c>
      <c r="C34" s="1320"/>
      <c r="D34" s="1320"/>
      <c r="E34" s="3244"/>
      <c r="F34" s="3244"/>
      <c r="G34" s="3244"/>
    </row>
    <row r="35" spans="1:7" hidden="1">
      <c r="A35" s="1323">
        <v>2</v>
      </c>
      <c r="B35" s="1320" t="s">
        <v>1127</v>
      </c>
      <c r="C35" s="1320"/>
      <c r="D35" s="1320"/>
      <c r="E35" s="3244"/>
      <c r="F35" s="3244"/>
      <c r="G35" s="3244"/>
    </row>
    <row r="36" spans="1:7" hidden="1">
      <c r="A36" s="1323">
        <v>3</v>
      </c>
      <c r="B36" s="1320" t="s">
        <v>1128</v>
      </c>
      <c r="C36" s="1320"/>
      <c r="D36" s="1320"/>
      <c r="E36" s="3244"/>
      <c r="F36" s="3244"/>
      <c r="G36" s="3244"/>
    </row>
    <row r="37" spans="1:7" hidden="1">
      <c r="A37" s="1323">
        <v>4</v>
      </c>
      <c r="B37" s="1320" t="s">
        <v>1129</v>
      </c>
      <c r="C37" s="1320"/>
      <c r="D37" s="1320"/>
      <c r="E37" s="3244"/>
      <c r="F37" s="3244"/>
      <c r="G37" s="3244"/>
    </row>
    <row r="38" spans="1:7" hidden="1">
      <c r="A38" s="3245" t="s">
        <v>1130</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2518</v>
      </c>
      <c r="B1" s="2570" t="s">
        <v>2519</v>
      </c>
      <c r="C1" s="1628" t="s">
        <v>2520</v>
      </c>
      <c r="D1" s="1615"/>
      <c r="E1" s="2571"/>
      <c r="F1" s="2572" t="s">
        <v>2521</v>
      </c>
      <c r="G1" s="1625" t="s">
        <v>2522</v>
      </c>
      <c r="H1" s="1624"/>
      <c r="I1" s="1624"/>
      <c r="J1" s="1624"/>
      <c r="K1" s="1626"/>
      <c r="L1" s="1627"/>
      <c r="M1" s="1628"/>
      <c r="N1" s="1628"/>
      <c r="O1" s="1628"/>
      <c r="P1" s="2573"/>
      <c r="Q1" s="1614"/>
      <c r="R1" s="1614"/>
      <c r="S1" s="1614"/>
      <c r="T1" s="1614"/>
      <c r="U1" s="1614"/>
      <c r="V1" s="1614"/>
      <c r="W1" s="1614"/>
      <c r="X1" s="1614"/>
      <c r="Y1" s="1614"/>
      <c r="Z1" s="1614"/>
      <c r="AA1" s="1614"/>
      <c r="AB1" s="1614"/>
      <c r="AC1" s="1622"/>
    </row>
    <row r="2" spans="1:29" s="393" customFormat="1" ht="28.5" customHeight="1" thickTop="1">
      <c r="A2" s="1611" t="s">
        <v>1388</v>
      </c>
      <c r="B2" s="1413" t="e">
        <f ca="1">IF(C2="——",ROUND(C49*D3/10000,0),ROUND(C49*D3/10000,0)-D2)</f>
        <v>#DIV/0!</v>
      </c>
      <c r="C2" s="2574"/>
      <c r="D2" s="1360" t="e">
        <f ca="1">SUMIF(INDIRECT("'"&amp;F2&amp;"'"&amp;"!A:A"),"承租人权益价值",INDIRECT("'"&amp;F2&amp;"'"&amp;"!c:c"))</f>
        <v>#REF!</v>
      </c>
      <c r="E2" s="2575" t="s">
        <v>2523</v>
      </c>
      <c r="F2" s="2576"/>
      <c r="G2" s="1119"/>
      <c r="H2" s="1119"/>
      <c r="I2" s="1119"/>
      <c r="J2" s="1119"/>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2524</v>
      </c>
      <c r="D3" s="399">
        <f>IF(D1="",'数据-汇总表'!E3,SUMIF('数据-汇总表'!$C19:$C33,D1,'数据-汇总表'!$E19:$E33))</f>
        <v>26881.280000000002</v>
      </c>
      <c r="E3" s="1119"/>
      <c r="F3" s="2583"/>
      <c r="G3" s="1119"/>
      <c r="H3" s="1119"/>
      <c r="I3" s="1119"/>
      <c r="J3" s="1119"/>
      <c r="K3" s="2577"/>
      <c r="L3" s="2578"/>
      <c r="M3" s="2579"/>
      <c r="N3" s="2579"/>
      <c r="O3" s="2579"/>
      <c r="P3" s="2580"/>
      <c r="Q3" s="2581"/>
      <c r="R3" s="2581"/>
      <c r="S3" s="2581"/>
      <c r="T3" s="2581"/>
      <c r="U3" s="2581"/>
      <c r="V3" s="2581"/>
      <c r="W3" s="2581"/>
      <c r="X3" s="2581"/>
      <c r="Y3" s="2581"/>
      <c r="Z3" s="2581"/>
      <c r="AA3" s="2581"/>
      <c r="AB3" s="2581"/>
      <c r="AC3" s="1277"/>
    </row>
    <row r="4" spans="1:29" ht="14.4">
      <c r="A4" s="401" t="s">
        <v>2525</v>
      </c>
      <c r="B4" s="402"/>
      <c r="C4" s="3196" t="s">
        <v>2526</v>
      </c>
      <c r="D4" s="3197"/>
      <c r="E4" s="3198" t="s">
        <v>2527</v>
      </c>
      <c r="F4" s="3199"/>
      <c r="G4" s="3196" t="s">
        <v>2528</v>
      </c>
      <c r="H4" s="3197"/>
      <c r="I4" s="3196" t="s">
        <v>2529</v>
      </c>
      <c r="J4" s="3197"/>
      <c r="K4" s="2584" t="s">
        <v>2530</v>
      </c>
      <c r="L4" s="1125"/>
      <c r="M4" s="1126"/>
      <c r="N4" s="1126"/>
      <c r="O4" s="1126"/>
      <c r="P4" s="3200" t="s">
        <v>2531</v>
      </c>
      <c r="Q4" s="3201"/>
      <c r="R4" s="3183" t="s">
        <v>2527</v>
      </c>
      <c r="S4" s="3184"/>
      <c r="T4" s="3183" t="s">
        <v>2528</v>
      </c>
      <c r="U4" s="3184"/>
      <c r="V4" s="3208" t="s">
        <v>2529</v>
      </c>
      <c r="W4" s="3208"/>
      <c r="X4" s="1799"/>
      <c r="Y4" s="3183" t="s">
        <v>2531</v>
      </c>
      <c r="Z4" s="3184"/>
      <c r="AA4" s="3178" t="s">
        <v>2527</v>
      </c>
      <c r="AB4" s="3178" t="s">
        <v>2528</v>
      </c>
      <c r="AC4" s="3178" t="s">
        <v>2529</v>
      </c>
    </row>
    <row r="5" spans="1:29">
      <c r="A5" s="404"/>
      <c r="B5" s="405"/>
      <c r="C5" s="3189" t="s">
        <v>2532</v>
      </c>
      <c r="D5" s="3190"/>
      <c r="E5" s="3187" t="s">
        <v>2533</v>
      </c>
      <c r="F5" s="3188"/>
      <c r="G5" s="3189" t="s">
        <v>2534</v>
      </c>
      <c r="H5" s="3190"/>
      <c r="I5" s="3189" t="s">
        <v>2535</v>
      </c>
      <c r="J5" s="3190"/>
      <c r="K5" s="2585"/>
      <c r="L5" s="1125"/>
      <c r="M5" s="1126"/>
      <c r="N5" s="1126"/>
      <c r="O5" s="1126"/>
      <c r="P5" s="3202"/>
      <c r="Q5" s="3203"/>
      <c r="R5" s="3185"/>
      <c r="S5" s="3186"/>
      <c r="T5" s="3185"/>
      <c r="U5" s="3186"/>
      <c r="V5" s="3208"/>
      <c r="W5" s="3208"/>
      <c r="X5" s="1799"/>
      <c r="Y5" s="3185"/>
      <c r="Z5" s="3186"/>
      <c r="AA5" s="3179"/>
      <c r="AB5" s="3179"/>
      <c r="AC5" s="3179"/>
    </row>
    <row r="6" spans="1:29" ht="15" thickBot="1">
      <c r="A6" s="406"/>
      <c r="B6" s="407"/>
      <c r="C6" s="3191" t="s">
        <v>2536</v>
      </c>
      <c r="D6" s="3192"/>
      <c r="E6" s="3193" t="s">
        <v>2536</v>
      </c>
      <c r="F6" s="3194"/>
      <c r="G6" s="3191" t="s">
        <v>2536</v>
      </c>
      <c r="H6" s="3192"/>
      <c r="I6" s="3191" t="s">
        <v>2536</v>
      </c>
      <c r="J6" s="3192"/>
      <c r="K6" s="2585" t="s">
        <v>2537</v>
      </c>
      <c r="L6" s="1125"/>
      <c r="M6" s="1126"/>
      <c r="N6" s="1126"/>
      <c r="O6" s="1126"/>
      <c r="P6" s="3204"/>
      <c r="Q6" s="3205"/>
      <c r="R6" s="3185"/>
      <c r="S6" s="3186"/>
      <c r="T6" s="3206"/>
      <c r="U6" s="3207"/>
      <c r="V6" s="3208"/>
      <c r="W6" s="3208"/>
      <c r="X6" s="1799"/>
      <c r="Y6" s="3206"/>
      <c r="Z6" s="3207"/>
      <c r="AA6" s="3180"/>
      <c r="AB6" s="3180"/>
      <c r="AC6" s="3180"/>
    </row>
    <row r="7" spans="1:29" s="117" customFormat="1" ht="15" thickBot="1">
      <c r="A7" s="408" t="s">
        <v>2538</v>
      </c>
      <c r="B7" s="409"/>
      <c r="C7" s="410">
        <f>'数据-取费表'!B2</f>
        <v>44020</v>
      </c>
      <c r="D7" s="411">
        <v>100</v>
      </c>
      <c r="E7" s="412"/>
      <c r="F7" s="413">
        <f>SUMIF(58:58,YEAR(E7)&amp;"-"&amp;MONTH(E7),59:59)</f>
        <v>0</v>
      </c>
      <c r="G7" s="412"/>
      <c r="H7" s="411">
        <f>SUMIF(58:58,YEAR(G7)&amp;"-"&amp;MONTH(G7),59:59)</f>
        <v>0</v>
      </c>
      <c r="I7" s="412"/>
      <c r="J7" s="411">
        <f>SUMIF(58:58,YEAR(I7)&amp;"-"&amp;MONTH(I7),59:59)</f>
        <v>0</v>
      </c>
      <c r="K7" s="2586"/>
      <c r="L7" s="1127"/>
      <c r="M7" s="1128"/>
      <c r="N7" s="1128"/>
      <c r="O7" s="1128"/>
      <c r="P7" s="3181" t="s">
        <v>2539</v>
      </c>
      <c r="Q7" s="3209"/>
      <c r="R7" s="770" t="s">
        <v>23</v>
      </c>
      <c r="S7" s="771">
        <f t="shared" ref="S7:S15" si="0">F7</f>
        <v>0</v>
      </c>
      <c r="T7" s="770" t="s">
        <v>23</v>
      </c>
      <c r="U7" s="771">
        <f t="shared" ref="U7:U15" si="1">H7</f>
        <v>0</v>
      </c>
      <c r="V7" s="770" t="s">
        <v>23</v>
      </c>
      <c r="W7" s="771">
        <f t="shared" ref="W7:W15" si="2">J7</f>
        <v>0</v>
      </c>
      <c r="X7" s="772"/>
      <c r="Y7" s="3181" t="s">
        <v>2539</v>
      </c>
      <c r="Z7" s="3182"/>
      <c r="AA7" s="773" t="e">
        <f>D7/F7</f>
        <v>#DIV/0!</v>
      </c>
      <c r="AB7" s="773" t="e">
        <f>D7/H7</f>
        <v>#DIV/0!</v>
      </c>
      <c r="AC7" s="773" t="e">
        <f>D7/J7</f>
        <v>#DIV/0!</v>
      </c>
    </row>
    <row r="8" spans="1:29" s="117" customFormat="1" ht="15" thickBot="1">
      <c r="A8" s="408" t="s">
        <v>2540</v>
      </c>
      <c r="B8" s="409"/>
      <c r="C8" s="414" t="s">
        <v>2541</v>
      </c>
      <c r="D8" s="411">
        <v>100</v>
      </c>
      <c r="E8" s="2587"/>
      <c r="F8" s="413">
        <f>SUMIF(61:61,E8,62:62)-SUMIF(61:61,C8,62:62)+100</f>
        <v>0</v>
      </c>
      <c r="G8" s="414"/>
      <c r="H8" s="411">
        <f>SUMIF(61:61,G8,62:62)-SUMIF(61:61,C8,62:62)+100</f>
        <v>0</v>
      </c>
      <c r="I8" s="2587"/>
      <c r="J8" s="411">
        <f>SUMIF(61:61,I8,62:62)-SUMIF(61:61,C8,62:62)+100</f>
        <v>0</v>
      </c>
      <c r="K8" s="2586"/>
      <c r="L8" s="1127"/>
      <c r="M8" s="1128"/>
      <c r="N8" s="1128"/>
      <c r="O8" s="1128"/>
      <c r="P8" s="3181" t="s">
        <v>2542</v>
      </c>
      <c r="Q8" s="3182"/>
      <c r="R8" s="770" t="s">
        <v>23</v>
      </c>
      <c r="S8" s="771">
        <f t="shared" si="0"/>
        <v>0</v>
      </c>
      <c r="T8" s="770" t="s">
        <v>23</v>
      </c>
      <c r="U8" s="771">
        <f t="shared" si="1"/>
        <v>0</v>
      </c>
      <c r="V8" s="770" t="s">
        <v>23</v>
      </c>
      <c r="W8" s="771">
        <f t="shared" si="2"/>
        <v>0</v>
      </c>
      <c r="X8" s="772"/>
      <c r="Y8" s="3181" t="s">
        <v>2542</v>
      </c>
      <c r="Z8" s="3182"/>
      <c r="AA8" s="773" t="e">
        <f t="shared" ref="AA8:AA19" si="3">D8/F8</f>
        <v>#DIV/0!</v>
      </c>
      <c r="AB8" s="773" t="e">
        <f t="shared" ref="AB8:AB19" si="4">D8/H8</f>
        <v>#DIV/0!</v>
      </c>
      <c r="AC8" s="773" t="e">
        <f t="shared" ref="AC8:AC19" si="5">D8/J8</f>
        <v>#DIV/0!</v>
      </c>
    </row>
    <row r="9" spans="1:29" s="117" customFormat="1" ht="14.4">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86"/>
      <c r="L9" s="1127"/>
      <c r="M9" s="1128"/>
      <c r="N9" s="1128"/>
      <c r="O9" s="1128"/>
      <c r="P9" s="3219"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773">
        <f t="shared" si="5"/>
        <v>1</v>
      </c>
    </row>
    <row r="10" spans="1:29" s="427" customFormat="1" ht="28.8">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19"/>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19"/>
      <c r="Q11" s="1781"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7"/>
      <c r="M12" s="1128"/>
      <c r="N12" s="1128"/>
      <c r="O12" s="1128"/>
      <c r="P12" s="3219"/>
      <c r="Q12" s="1781">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5"/>
      <c r="M13" s="1126"/>
      <c r="N13" s="1126"/>
      <c r="O13" s="1126"/>
      <c r="P13" s="3219"/>
      <c r="Q13" s="1781">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6"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5"/>
      <c r="M14" s="1126"/>
      <c r="N14" s="1126"/>
      <c r="O14" s="1126"/>
      <c r="P14" s="3219"/>
      <c r="Q14" s="1781">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15">
      <c r="A15" s="440" t="s">
        <v>2549</v>
      </c>
      <c r="B15" s="69" t="s">
        <v>2083</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54" t="s">
        <v>2550</v>
      </c>
      <c r="Q15" s="1796" t="str">
        <f t="shared" si="6"/>
        <v>居住社区成熟度</v>
      </c>
      <c r="R15" s="774" t="s">
        <v>21</v>
      </c>
      <c r="S15" s="775">
        <f t="shared" si="0"/>
        <v>100</v>
      </c>
      <c r="T15" s="774" t="s">
        <v>21</v>
      </c>
      <c r="U15" s="775">
        <f t="shared" si="1"/>
        <v>100</v>
      </c>
      <c r="V15" s="774" t="s">
        <v>21</v>
      </c>
      <c r="W15" s="775">
        <f t="shared" si="2"/>
        <v>100</v>
      </c>
      <c r="X15" s="1799"/>
      <c r="Y15" s="3210" t="s">
        <v>2550</v>
      </c>
      <c r="Z15" s="1800" t="str">
        <f t="shared" si="7"/>
        <v>居住社区成熟度</v>
      </c>
      <c r="AA15" s="1797">
        <f t="shared" si="3"/>
        <v>1</v>
      </c>
      <c r="AB15" s="1797">
        <f t="shared" si="4"/>
        <v>1</v>
      </c>
      <c r="AC15" s="1797">
        <f t="shared" si="5"/>
        <v>1</v>
      </c>
    </row>
    <row r="16" spans="1:29" ht="15">
      <c r="A16" s="428"/>
      <c r="B16" s="446"/>
      <c r="C16" s="447"/>
      <c r="D16" s="448"/>
      <c r="E16" s="2592"/>
      <c r="F16" s="448"/>
      <c r="G16" s="2593"/>
      <c r="H16" s="450"/>
      <c r="I16" s="2593"/>
      <c r="J16" s="448"/>
      <c r="K16" s="2594"/>
      <c r="L16" s="1135"/>
      <c r="M16" s="1126"/>
      <c r="N16" s="1126"/>
      <c r="O16" s="1126"/>
      <c r="P16" s="3255"/>
      <c r="Q16" s="1796"/>
      <c r="R16" s="774"/>
      <c r="S16" s="775"/>
      <c r="T16" s="774"/>
      <c r="U16" s="775"/>
      <c r="V16" s="774"/>
      <c r="W16" s="775"/>
      <c r="X16" s="1799"/>
      <c r="Y16" s="3211"/>
      <c r="Z16" s="1800"/>
      <c r="AA16" s="1797">
        <v>1</v>
      </c>
      <c r="AB16" s="1797">
        <v>1</v>
      </c>
      <c r="AC16" s="1797">
        <v>1</v>
      </c>
    </row>
    <row r="17" spans="1:29" ht="15">
      <c r="A17" s="428"/>
      <c r="B17" s="451" t="s">
        <v>2089</v>
      </c>
      <c r="C17" s="259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55"/>
      <c r="Q17" s="1796" t="str">
        <f>B17</f>
        <v>交通便捷度</v>
      </c>
      <c r="R17" s="774" t="s">
        <v>21</v>
      </c>
      <c r="S17" s="775">
        <f>F17</f>
        <v>100</v>
      </c>
      <c r="T17" s="774" t="s">
        <v>21</v>
      </c>
      <c r="U17" s="775">
        <f>H17</f>
        <v>100</v>
      </c>
      <c r="V17" s="774" t="s">
        <v>21</v>
      </c>
      <c r="W17" s="775">
        <f>J17</f>
        <v>100</v>
      </c>
      <c r="X17" s="1799"/>
      <c r="Y17" s="3211"/>
      <c r="Z17" s="1800" t="str">
        <f>Q17</f>
        <v>交通便捷度</v>
      </c>
      <c r="AA17" s="1797">
        <f t="shared" si="3"/>
        <v>1</v>
      </c>
      <c r="AB17" s="1797">
        <f t="shared" si="4"/>
        <v>1</v>
      </c>
      <c r="AC17" s="1797">
        <f t="shared" si="5"/>
        <v>1</v>
      </c>
    </row>
    <row r="18" spans="1:29" ht="15">
      <c r="A18" s="428"/>
      <c r="B18" s="456"/>
      <c r="C18" s="2596"/>
      <c r="D18" s="450"/>
      <c r="E18" s="2597"/>
      <c r="F18" s="450"/>
      <c r="G18" s="2598"/>
      <c r="H18" s="448"/>
      <c r="I18" s="2598"/>
      <c r="J18" s="448"/>
      <c r="K18" s="2594"/>
      <c r="L18" s="1135"/>
      <c r="M18" s="1126"/>
      <c r="N18" s="1126"/>
      <c r="O18" s="1126"/>
      <c r="P18" s="3255"/>
      <c r="Q18" s="1796"/>
      <c r="R18" s="774"/>
      <c r="S18" s="775"/>
      <c r="T18" s="774"/>
      <c r="U18" s="775"/>
      <c r="V18" s="774"/>
      <c r="W18" s="775"/>
      <c r="X18" s="1799"/>
      <c r="Y18" s="3211"/>
      <c r="Z18" s="1800"/>
      <c r="AA18" s="1797">
        <v>1</v>
      </c>
      <c r="AB18" s="1797">
        <v>1</v>
      </c>
      <c r="AC18" s="1797">
        <v>1</v>
      </c>
    </row>
    <row r="19" spans="1:29" ht="15">
      <c r="A19" s="428"/>
      <c r="B19" s="451" t="s">
        <v>2088</v>
      </c>
      <c r="C19" s="259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55"/>
      <c r="Q19" s="1796" t="str">
        <f>B19</f>
        <v>公共配套设施</v>
      </c>
      <c r="R19" s="774" t="s">
        <v>21</v>
      </c>
      <c r="S19" s="775">
        <f>F19</f>
        <v>100</v>
      </c>
      <c r="T19" s="774" t="s">
        <v>21</v>
      </c>
      <c r="U19" s="775">
        <f>H19</f>
        <v>100</v>
      </c>
      <c r="V19" s="774" t="s">
        <v>21</v>
      </c>
      <c r="W19" s="775">
        <f>J19</f>
        <v>100</v>
      </c>
      <c r="X19" s="1799"/>
      <c r="Y19" s="3211"/>
      <c r="Z19" s="1800" t="str">
        <f>Q19</f>
        <v>公共配套设施</v>
      </c>
      <c r="AA19" s="1797">
        <f t="shared" si="3"/>
        <v>1</v>
      </c>
      <c r="AB19" s="1797">
        <f t="shared" si="4"/>
        <v>1</v>
      </c>
      <c r="AC19" s="1797">
        <f t="shared" si="5"/>
        <v>1</v>
      </c>
    </row>
    <row r="20" spans="1:29" ht="15">
      <c r="A20" s="428"/>
      <c r="B20" s="456"/>
      <c r="C20" s="447"/>
      <c r="D20" s="448"/>
      <c r="E20" s="2592"/>
      <c r="F20" s="448"/>
      <c r="G20" s="2593"/>
      <c r="H20" s="448"/>
      <c r="I20" s="2593"/>
      <c r="J20" s="448"/>
      <c r="K20" s="2594"/>
      <c r="L20" s="1135"/>
      <c r="M20" s="1126"/>
      <c r="N20" s="1126"/>
      <c r="O20" s="1126"/>
      <c r="P20" s="3255"/>
      <c r="Q20" s="1796"/>
      <c r="R20" s="774"/>
      <c r="S20" s="775"/>
      <c r="T20" s="774"/>
      <c r="U20" s="775"/>
      <c r="V20" s="774"/>
      <c r="W20" s="775"/>
      <c r="X20" s="1799"/>
      <c r="Y20" s="3211"/>
      <c r="Z20" s="1800"/>
      <c r="AA20" s="1797">
        <v>1</v>
      </c>
      <c r="AB20" s="1797">
        <v>1</v>
      </c>
      <c r="AC20" s="1797">
        <v>1</v>
      </c>
    </row>
    <row r="21" spans="1:29" ht="15">
      <c r="A21" s="428"/>
      <c r="B21" s="1379" t="s">
        <v>2090</v>
      </c>
      <c r="C21" s="259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55"/>
      <c r="Q21" s="1796" t="str">
        <f>B21</f>
        <v>基础设施水平</v>
      </c>
      <c r="R21" s="774" t="s">
        <v>17</v>
      </c>
      <c r="S21" s="775">
        <f>F21</f>
        <v>100</v>
      </c>
      <c r="T21" s="774" t="s">
        <v>17</v>
      </c>
      <c r="U21" s="775">
        <f>H21</f>
        <v>100</v>
      </c>
      <c r="V21" s="774" t="s">
        <v>17</v>
      </c>
      <c r="W21" s="775">
        <f>J21</f>
        <v>100</v>
      </c>
      <c r="X21" s="1799"/>
      <c r="Y21" s="3211"/>
      <c r="Z21" s="1800" t="str">
        <f>Q21</f>
        <v>基础设施水平</v>
      </c>
      <c r="AA21" s="1797">
        <f t="shared" ref="AA21" si="8">D21/F21</f>
        <v>1</v>
      </c>
      <c r="AB21" s="1797">
        <f t="shared" ref="AB21" si="9">D21/H21</f>
        <v>1</v>
      </c>
      <c r="AC21" s="1797">
        <f t="shared" ref="AC21" si="10">D21/J21</f>
        <v>1</v>
      </c>
    </row>
    <row r="22" spans="1:29" ht="15">
      <c r="A22" s="428"/>
      <c r="B22" s="1379"/>
      <c r="C22" s="2596"/>
      <c r="D22" s="448"/>
      <c r="E22" s="447"/>
      <c r="F22" s="448"/>
      <c r="G22" s="2599"/>
      <c r="H22" s="448"/>
      <c r="I22" s="447"/>
      <c r="J22" s="448"/>
      <c r="K22" s="2600"/>
      <c r="L22" s="1135"/>
      <c r="M22" s="1126"/>
      <c r="N22" s="1126"/>
      <c r="O22" s="1126"/>
      <c r="P22" s="3255"/>
      <c r="Q22" s="1796"/>
      <c r="R22" s="774"/>
      <c r="S22" s="775"/>
      <c r="T22" s="774"/>
      <c r="U22" s="775"/>
      <c r="V22" s="774"/>
      <c r="W22" s="775"/>
      <c r="X22" s="1799"/>
      <c r="Y22" s="3211"/>
      <c r="Z22" s="1800"/>
      <c r="AA22" s="1797">
        <v>1</v>
      </c>
      <c r="AB22" s="1797">
        <v>1</v>
      </c>
      <c r="AC22" s="1797">
        <v>1</v>
      </c>
    </row>
    <row r="23" spans="1:29" ht="15">
      <c r="A23" s="428"/>
      <c r="B23" s="451" t="s">
        <v>2092</v>
      </c>
      <c r="C23" s="259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55"/>
      <c r="Q23" s="1796" t="str">
        <f>B23</f>
        <v>自然及人文环境</v>
      </c>
      <c r="R23" s="774" t="s">
        <v>21</v>
      </c>
      <c r="S23" s="775">
        <f>F23</f>
        <v>100</v>
      </c>
      <c r="T23" s="774" t="s">
        <v>21</v>
      </c>
      <c r="U23" s="775">
        <f>H23</f>
        <v>100</v>
      </c>
      <c r="V23" s="774" t="s">
        <v>21</v>
      </c>
      <c r="W23" s="775">
        <f>J23</f>
        <v>100</v>
      </c>
      <c r="X23" s="1799"/>
      <c r="Y23" s="3211"/>
      <c r="Z23" s="1800" t="str">
        <f>Q23</f>
        <v>自然及人文环境</v>
      </c>
      <c r="AA23" s="1797">
        <f>D23/F23</f>
        <v>1</v>
      </c>
      <c r="AB23" s="1797">
        <f>D23/H23</f>
        <v>1</v>
      </c>
      <c r="AC23" s="1797">
        <f>D23/J23</f>
        <v>1</v>
      </c>
    </row>
    <row r="24" spans="1:29" ht="15">
      <c r="A24" s="428"/>
      <c r="B24" s="456"/>
      <c r="C24" s="447"/>
      <c r="D24" s="448"/>
      <c r="E24" s="2592"/>
      <c r="F24" s="448"/>
      <c r="G24" s="2593"/>
      <c r="H24" s="448"/>
      <c r="I24" s="2593"/>
      <c r="J24" s="448"/>
      <c r="K24" s="2594"/>
      <c r="L24" s="1135"/>
      <c r="M24" s="1126"/>
      <c r="N24" s="1126"/>
      <c r="O24" s="1126"/>
      <c r="P24" s="3255"/>
      <c r="Q24" s="1796"/>
      <c r="R24" s="774"/>
      <c r="S24" s="775"/>
      <c r="T24" s="774"/>
      <c r="U24" s="775"/>
      <c r="V24" s="774"/>
      <c r="W24" s="775"/>
      <c r="X24" s="1799"/>
      <c r="Y24" s="3211"/>
      <c r="Z24" s="1800"/>
      <c r="AA24" s="1797">
        <v>1</v>
      </c>
      <c r="AB24" s="1797">
        <v>1</v>
      </c>
      <c r="AC24" s="1797">
        <v>1</v>
      </c>
    </row>
    <row r="25" spans="1:29" ht="15">
      <c r="A25" s="428"/>
      <c r="B25" s="422" t="s">
        <v>2551</v>
      </c>
      <c r="C25" s="460"/>
      <c r="D25" s="435">
        <v>100</v>
      </c>
      <c r="E25" s="2601"/>
      <c r="F25" s="435">
        <f>SUMIF(86:86,E25,87:87)-SUMIF(86:86,C25,87:87)+100</f>
        <v>100</v>
      </c>
      <c r="G25" s="2602"/>
      <c r="H25" s="435">
        <f>SUMIF(86:86,G25,87:87)-SUMIF(86:86,C25,87:87)+100</f>
        <v>100</v>
      </c>
      <c r="I25" s="2602"/>
      <c r="J25" s="435">
        <f>SUMIF(86:86,I25,87:87)-SUMIF(86:86,C25,87:87)+100</f>
        <v>100</v>
      </c>
      <c r="K25" s="426"/>
      <c r="L25" s="1135"/>
      <c r="M25" s="1126"/>
      <c r="N25" s="1126"/>
      <c r="O25" s="1126"/>
      <c r="P25" s="3255"/>
      <c r="Q25" s="1796" t="str">
        <f t="shared" ref="Q25:Q46" si="11">B25</f>
        <v>楼层-1</v>
      </c>
      <c r="R25" s="774" t="s">
        <v>21</v>
      </c>
      <c r="S25" s="775">
        <f t="shared" ref="S25:S46" si="12">F25</f>
        <v>100</v>
      </c>
      <c r="T25" s="774" t="s">
        <v>21</v>
      </c>
      <c r="U25" s="775">
        <f t="shared" ref="U25:U46" si="13">H25</f>
        <v>100</v>
      </c>
      <c r="V25" s="774" t="s">
        <v>21</v>
      </c>
      <c r="W25" s="775">
        <f t="shared" ref="W25:W46" si="14">J25</f>
        <v>100</v>
      </c>
      <c r="X25" s="1799"/>
      <c r="Y25" s="3211"/>
      <c r="Z25" s="1800" t="str">
        <f>Q25</f>
        <v>楼层-1</v>
      </c>
      <c r="AA25" s="1797">
        <f t="shared" ref="AA25:AA46" si="15">D25/F25</f>
        <v>1</v>
      </c>
      <c r="AB25" s="1797">
        <f t="shared" ref="AB25:AB46" si="16">D25/H25</f>
        <v>1</v>
      </c>
      <c r="AC25" s="1797">
        <f t="shared" ref="AC25:AC46" si="17">D25/J25</f>
        <v>1</v>
      </c>
    </row>
    <row r="26" spans="1:29" ht="15">
      <c r="A26" s="428"/>
      <c r="B26" s="422" t="s">
        <v>2552</v>
      </c>
      <c r="C26" s="460"/>
      <c r="D26" s="435">
        <v>100</v>
      </c>
      <c r="E26" s="2601"/>
      <c r="F26" s="435">
        <f>SUMIF(88:88,E26,89:89)-SUMIF(88:88,C26,89:89)+100</f>
        <v>100</v>
      </c>
      <c r="G26" s="2602"/>
      <c r="H26" s="435">
        <f>SUMIF(88:88,G26,89:89)-SUMIF(88:88,C26,89:89)+100</f>
        <v>100</v>
      </c>
      <c r="I26" s="2602"/>
      <c r="J26" s="435">
        <f>SUMIF(88:88,I26,89:89)-SUMIF(88:88,C26,89:89)+100</f>
        <v>100</v>
      </c>
      <c r="K26" s="426"/>
      <c r="L26" s="1135"/>
      <c r="M26" s="1126"/>
      <c r="N26" s="1126"/>
      <c r="O26" s="1126"/>
      <c r="P26" s="3255"/>
      <c r="Q26" s="1796" t="str">
        <f t="shared" si="11"/>
        <v>朝向</v>
      </c>
      <c r="R26" s="774" t="s">
        <v>21</v>
      </c>
      <c r="S26" s="775">
        <f t="shared" si="12"/>
        <v>100</v>
      </c>
      <c r="T26" s="774" t="s">
        <v>21</v>
      </c>
      <c r="U26" s="775">
        <f t="shared" si="13"/>
        <v>100</v>
      </c>
      <c r="V26" s="774" t="s">
        <v>21</v>
      </c>
      <c r="W26" s="775">
        <f t="shared" si="14"/>
        <v>100</v>
      </c>
      <c r="X26" s="1799"/>
      <c r="Y26" s="3211"/>
      <c r="Z26" s="1800" t="str">
        <f>Q26</f>
        <v>朝向</v>
      </c>
      <c r="AA26" s="1797">
        <f t="shared" si="15"/>
        <v>1</v>
      </c>
      <c r="AB26" s="1797">
        <f t="shared" si="16"/>
        <v>1</v>
      </c>
      <c r="AC26" s="1797">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89"/>
      <c r="L27" s="1127"/>
      <c r="M27" s="1128"/>
      <c r="N27" s="1128"/>
      <c r="O27" s="1128"/>
      <c r="P27" s="3255"/>
      <c r="Q27" s="1781">
        <f t="shared" si="11"/>
        <v>111</v>
      </c>
      <c r="R27" s="770" t="s">
        <v>21</v>
      </c>
      <c r="S27" s="771">
        <f t="shared" si="12"/>
        <v>100</v>
      </c>
      <c r="T27" s="770" t="s">
        <v>21</v>
      </c>
      <c r="U27" s="771">
        <f t="shared" si="13"/>
        <v>100</v>
      </c>
      <c r="V27" s="770" t="s">
        <v>21</v>
      </c>
      <c r="W27" s="771">
        <f t="shared" si="14"/>
        <v>100</v>
      </c>
      <c r="X27" s="772"/>
      <c r="Y27" s="3211"/>
      <c r="Z27" s="55">
        <f>Q27</f>
        <v>111</v>
      </c>
      <c r="AA27" s="1797">
        <f t="shared" si="15"/>
        <v>1</v>
      </c>
      <c r="AB27" s="1797">
        <f t="shared" si="16"/>
        <v>1</v>
      </c>
      <c r="AC27" s="1797">
        <f t="shared" si="17"/>
        <v>1</v>
      </c>
    </row>
    <row r="28" spans="1:29" ht="15">
      <c r="A28" s="428"/>
      <c r="B28" s="1381">
        <v>111</v>
      </c>
      <c r="C28" s="434"/>
      <c r="D28" s="435">
        <v>100</v>
      </c>
      <c r="E28" s="434"/>
      <c r="F28" s="435">
        <f>SUMIF(92:92,E28,93:93)-SUMIF(92:92,C28,93:93)+100</f>
        <v>100</v>
      </c>
      <c r="G28" s="2603"/>
      <c r="H28" s="435">
        <f>SUMIF(92:92,G28,93:93)-SUMIF(92:92,C28,93:93)+100</f>
        <v>100</v>
      </c>
      <c r="I28" s="434"/>
      <c r="J28" s="435">
        <f>SUMIF(92:92,I28,93:93)-SUMIF(92:92,C28,93:93)+100</f>
        <v>100</v>
      </c>
      <c r="K28" s="2589"/>
      <c r="L28" s="1135"/>
      <c r="M28" s="1126"/>
      <c r="N28" s="1126"/>
      <c r="O28" s="1126"/>
      <c r="P28" s="3255"/>
      <c r="Q28" s="1796">
        <f t="shared" si="11"/>
        <v>111</v>
      </c>
      <c r="R28" s="774" t="s">
        <v>21</v>
      </c>
      <c r="S28" s="775">
        <f t="shared" si="12"/>
        <v>100</v>
      </c>
      <c r="T28" s="774" t="s">
        <v>21</v>
      </c>
      <c r="U28" s="775">
        <f t="shared" si="13"/>
        <v>100</v>
      </c>
      <c r="V28" s="774" t="s">
        <v>21</v>
      </c>
      <c r="W28" s="775">
        <f t="shared" si="14"/>
        <v>100</v>
      </c>
      <c r="X28" s="1799"/>
      <c r="Y28" s="3211"/>
      <c r="Z28" s="1800">
        <f t="shared" ref="Z28:Z46" si="18">Q28</f>
        <v>111</v>
      </c>
      <c r="AA28" s="1797">
        <f t="shared" si="15"/>
        <v>1</v>
      </c>
      <c r="AB28" s="1797">
        <f t="shared" si="16"/>
        <v>1</v>
      </c>
      <c r="AC28" s="1797">
        <f t="shared" si="17"/>
        <v>1</v>
      </c>
    </row>
    <row r="29" spans="1:29" ht="15">
      <c r="A29" s="428"/>
      <c r="B29" s="1381">
        <v>111</v>
      </c>
      <c r="C29" s="434"/>
      <c r="D29" s="435">
        <v>100</v>
      </c>
      <c r="E29" s="434"/>
      <c r="F29" s="435">
        <f>SUMIF(94:94,E29,95:95)-SUMIF(94:94,C29,95:95)+100</f>
        <v>100</v>
      </c>
      <c r="G29" s="2603"/>
      <c r="H29" s="435">
        <f>SUMIF(94:94,G29,95:95)-SUMIF(94:94,C29,95:95)+100</f>
        <v>100</v>
      </c>
      <c r="I29" s="434"/>
      <c r="J29" s="435">
        <f>SUMIF(94:94,I29,95:95)-SUMIF(94:94,C29,95:95)+100</f>
        <v>100</v>
      </c>
      <c r="K29" s="2589"/>
      <c r="L29" s="1135"/>
      <c r="M29" s="1126"/>
      <c r="N29" s="1126"/>
      <c r="O29" s="1126"/>
      <c r="P29" s="3255"/>
      <c r="Q29" s="1796">
        <f t="shared" si="11"/>
        <v>111</v>
      </c>
      <c r="R29" s="774" t="s">
        <v>21</v>
      </c>
      <c r="S29" s="775">
        <f t="shared" si="12"/>
        <v>100</v>
      </c>
      <c r="T29" s="774" t="s">
        <v>21</v>
      </c>
      <c r="U29" s="775">
        <f t="shared" si="13"/>
        <v>100</v>
      </c>
      <c r="V29" s="774" t="s">
        <v>21</v>
      </c>
      <c r="W29" s="775">
        <f t="shared" si="14"/>
        <v>100</v>
      </c>
      <c r="X29" s="1799"/>
      <c r="Y29" s="3211"/>
      <c r="Z29" s="1800">
        <f t="shared" si="18"/>
        <v>111</v>
      </c>
      <c r="AA29" s="1797">
        <f t="shared" si="15"/>
        <v>1</v>
      </c>
      <c r="AB29" s="1797">
        <f t="shared" si="16"/>
        <v>1</v>
      </c>
      <c r="AC29" s="1797">
        <f t="shared" si="17"/>
        <v>1</v>
      </c>
    </row>
    <row r="30" spans="1:29" ht="15">
      <c r="A30" s="428"/>
      <c r="B30" s="1381">
        <v>111</v>
      </c>
      <c r="C30" s="434"/>
      <c r="D30" s="435">
        <v>100</v>
      </c>
      <c r="E30" s="434"/>
      <c r="F30" s="435">
        <f>SUMIF(96:96,E30,97:97)-SUMIF(96:96,C30,97:97)+100</f>
        <v>100</v>
      </c>
      <c r="G30" s="2603"/>
      <c r="H30" s="435">
        <f>SUMIF(96:96,G30,97:97)-SUMIF(96:96,C30,97:97)+100</f>
        <v>100</v>
      </c>
      <c r="I30" s="434"/>
      <c r="J30" s="435">
        <f>SUMIF(96:96,I30,97:97)-SUMIF(96:96,C30,97:97)+100</f>
        <v>100</v>
      </c>
      <c r="K30" s="2589"/>
      <c r="L30" s="1135"/>
      <c r="M30" s="1126"/>
      <c r="N30" s="1126"/>
      <c r="O30" s="1126"/>
      <c r="P30" s="3255"/>
      <c r="Q30" s="1796">
        <f t="shared" si="11"/>
        <v>111</v>
      </c>
      <c r="R30" s="774" t="s">
        <v>21</v>
      </c>
      <c r="S30" s="775">
        <f t="shared" si="12"/>
        <v>100</v>
      </c>
      <c r="T30" s="774" t="s">
        <v>21</v>
      </c>
      <c r="U30" s="775">
        <f t="shared" si="13"/>
        <v>100</v>
      </c>
      <c r="V30" s="774" t="s">
        <v>21</v>
      </c>
      <c r="W30" s="775">
        <f t="shared" si="14"/>
        <v>100</v>
      </c>
      <c r="X30" s="1799"/>
      <c r="Y30" s="3211"/>
      <c r="Z30" s="1800">
        <f t="shared" si="18"/>
        <v>111</v>
      </c>
      <c r="AA30" s="1797">
        <f t="shared" si="15"/>
        <v>1</v>
      </c>
      <c r="AB30" s="1797">
        <f t="shared" si="16"/>
        <v>1</v>
      </c>
      <c r="AC30" s="1797">
        <f t="shared" si="17"/>
        <v>1</v>
      </c>
    </row>
    <row r="31" spans="1:29" ht="15.6" thickBot="1">
      <c r="A31" s="436"/>
      <c r="B31" s="1381">
        <v>111</v>
      </c>
      <c r="C31" s="437"/>
      <c r="D31" s="438">
        <v>100</v>
      </c>
      <c r="E31" s="437"/>
      <c r="F31" s="438">
        <f>SUMIF(98:98,E31,99:99)-SUMIF(98:98,C31,99:99)+100</f>
        <v>100</v>
      </c>
      <c r="G31" s="2604"/>
      <c r="H31" s="438">
        <f>SUMIF(98:98,G31,99:99)-SUMIF(98:98,C31,99:99)+100</f>
        <v>100</v>
      </c>
      <c r="I31" s="437"/>
      <c r="J31" s="438">
        <f>SUMIF(98:98,I31,99:99)-SUMIF(98:98,C31,99:99)+100</f>
        <v>100</v>
      </c>
      <c r="K31" s="2589"/>
      <c r="L31" s="1135"/>
      <c r="M31" s="1126"/>
      <c r="N31" s="1126"/>
      <c r="O31" s="1126"/>
      <c r="P31" s="3255"/>
      <c r="Q31" s="1796">
        <f t="shared" si="11"/>
        <v>111</v>
      </c>
      <c r="R31" s="774" t="s">
        <v>21</v>
      </c>
      <c r="S31" s="775">
        <f t="shared" si="12"/>
        <v>100</v>
      </c>
      <c r="T31" s="774" t="s">
        <v>21</v>
      </c>
      <c r="U31" s="775">
        <f t="shared" si="13"/>
        <v>100</v>
      </c>
      <c r="V31" s="774" t="s">
        <v>21</v>
      </c>
      <c r="W31" s="775">
        <f t="shared" si="14"/>
        <v>100</v>
      </c>
      <c r="X31" s="1799"/>
      <c r="Y31" s="3211"/>
      <c r="Z31" s="1800">
        <f t="shared" si="18"/>
        <v>111</v>
      </c>
      <c r="AA31" s="1797">
        <f t="shared" si="15"/>
        <v>1</v>
      </c>
      <c r="AB31" s="1797">
        <f t="shared" si="16"/>
        <v>1</v>
      </c>
      <c r="AC31" s="1797">
        <f t="shared" si="17"/>
        <v>1</v>
      </c>
    </row>
    <row r="32" spans="1:29" ht="15">
      <c r="A32" s="440" t="s">
        <v>2553</v>
      </c>
      <c r="B32" s="71" t="s">
        <v>2554</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5"/>
      <c r="M32" s="1126"/>
      <c r="N32" s="1126"/>
      <c r="O32" s="1126"/>
      <c r="P32" s="3250" t="s">
        <v>2555</v>
      </c>
      <c r="Q32" s="1796" t="str">
        <f t="shared" si="11"/>
        <v>建筑类型</v>
      </c>
      <c r="R32" s="774" t="s">
        <v>21</v>
      </c>
      <c r="S32" s="775">
        <f t="shared" si="12"/>
        <v>100</v>
      </c>
      <c r="T32" s="774" t="s">
        <v>21</v>
      </c>
      <c r="U32" s="775">
        <f t="shared" si="13"/>
        <v>100</v>
      </c>
      <c r="V32" s="774" t="s">
        <v>21</v>
      </c>
      <c r="W32" s="775">
        <f t="shared" si="14"/>
        <v>100</v>
      </c>
      <c r="X32" s="1799"/>
      <c r="Y32" s="3213" t="s">
        <v>2555</v>
      </c>
      <c r="Z32" s="1800" t="str">
        <f t="shared" si="18"/>
        <v>建筑类型</v>
      </c>
      <c r="AA32" s="1797">
        <f t="shared" si="15"/>
        <v>1</v>
      </c>
      <c r="AB32" s="1797">
        <f t="shared" si="16"/>
        <v>1</v>
      </c>
      <c r="AC32" s="1797">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3"/>
      <c r="M33" s="1136"/>
      <c r="N33" s="1136"/>
      <c r="O33" s="1136"/>
      <c r="P33" s="325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797" t="e">
        <f t="shared" si="15"/>
        <v>#N/A</v>
      </c>
      <c r="AB33" s="1797" t="e">
        <f t="shared" si="16"/>
        <v>#N/A</v>
      </c>
      <c r="AC33" s="1797" t="e">
        <f t="shared" si="17"/>
        <v>#N/A</v>
      </c>
    </row>
    <row r="34" spans="1:29" ht="15">
      <c r="A34" s="472"/>
      <c r="B34" s="422" t="s">
        <v>2557</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5"/>
      <c r="M34" s="1126"/>
      <c r="N34" s="1126"/>
      <c r="O34" s="1126"/>
      <c r="P34" s="3251"/>
      <c r="Q34" s="1796" t="str">
        <f t="shared" si="11"/>
        <v>建筑结构</v>
      </c>
      <c r="R34" s="774" t="s">
        <v>21</v>
      </c>
      <c r="S34" s="775">
        <f t="shared" si="12"/>
        <v>100</v>
      </c>
      <c r="T34" s="774" t="s">
        <v>21</v>
      </c>
      <c r="U34" s="775">
        <f t="shared" si="13"/>
        <v>100</v>
      </c>
      <c r="V34" s="774" t="s">
        <v>21</v>
      </c>
      <c r="W34" s="775">
        <f t="shared" si="14"/>
        <v>100</v>
      </c>
      <c r="X34" s="1799"/>
      <c r="Y34" s="3213"/>
      <c r="Z34" s="1800" t="str">
        <f t="shared" si="18"/>
        <v>建筑结构</v>
      </c>
      <c r="AA34" s="1797">
        <f t="shared" si="15"/>
        <v>1</v>
      </c>
      <c r="AB34" s="1797">
        <f t="shared" si="16"/>
        <v>1</v>
      </c>
      <c r="AC34" s="1797">
        <f t="shared" si="17"/>
        <v>1</v>
      </c>
    </row>
    <row r="35" spans="1:29" ht="15">
      <c r="A35" s="472"/>
      <c r="B35" s="422" t="s">
        <v>2558</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5"/>
      <c r="M35" s="1126"/>
      <c r="N35" s="1126"/>
      <c r="O35" s="1126"/>
      <c r="P35" s="3251"/>
      <c r="Q35" s="1796" t="str">
        <f t="shared" si="11"/>
        <v>建筑品质</v>
      </c>
      <c r="R35" s="774" t="s">
        <v>21</v>
      </c>
      <c r="S35" s="775">
        <f t="shared" si="12"/>
        <v>100</v>
      </c>
      <c r="T35" s="774" t="s">
        <v>21</v>
      </c>
      <c r="U35" s="775">
        <f t="shared" si="13"/>
        <v>100</v>
      </c>
      <c r="V35" s="774" t="s">
        <v>21</v>
      </c>
      <c r="W35" s="775">
        <f t="shared" si="14"/>
        <v>100</v>
      </c>
      <c r="X35" s="1799"/>
      <c r="Y35" s="3213"/>
      <c r="Z35" s="1800" t="str">
        <f t="shared" si="18"/>
        <v>建筑品质</v>
      </c>
      <c r="AA35" s="1797">
        <f t="shared" si="15"/>
        <v>1</v>
      </c>
      <c r="AB35" s="1797">
        <f t="shared" si="16"/>
        <v>1</v>
      </c>
      <c r="AC35" s="1797">
        <f t="shared" si="17"/>
        <v>1</v>
      </c>
    </row>
    <row r="36" spans="1:29" ht="15">
      <c r="A36" s="472"/>
      <c r="B36" s="422" t="s">
        <v>2559</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5"/>
      <c r="M36" s="1126"/>
      <c r="N36" s="1126"/>
      <c r="O36" s="1126"/>
      <c r="P36" s="3251"/>
      <c r="Q36" s="1796" t="str">
        <f t="shared" si="11"/>
        <v>公共部分装修</v>
      </c>
      <c r="R36" s="774" t="s">
        <v>21</v>
      </c>
      <c r="S36" s="775">
        <f t="shared" si="12"/>
        <v>100</v>
      </c>
      <c r="T36" s="774" t="s">
        <v>21</v>
      </c>
      <c r="U36" s="775">
        <f t="shared" si="13"/>
        <v>100</v>
      </c>
      <c r="V36" s="774" t="s">
        <v>21</v>
      </c>
      <c r="W36" s="775">
        <f t="shared" si="14"/>
        <v>100</v>
      </c>
      <c r="X36" s="1799"/>
      <c r="Y36" s="3213"/>
      <c r="Z36" s="1800" t="str">
        <f t="shared" si="18"/>
        <v>公共部分装修</v>
      </c>
      <c r="AA36" s="1797">
        <f t="shared" si="15"/>
        <v>1</v>
      </c>
      <c r="AB36" s="1797">
        <f t="shared" si="16"/>
        <v>1</v>
      </c>
      <c r="AC36" s="1797">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51"/>
      <c r="Q37" s="1781"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2561</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5"/>
      <c r="M38" s="1126"/>
      <c r="N38" s="1126"/>
      <c r="O38" s="1126"/>
      <c r="P38" s="3251" t="s">
        <v>2555</v>
      </c>
      <c r="Q38" s="1796" t="str">
        <f t="shared" si="11"/>
        <v>物业管理</v>
      </c>
      <c r="R38" s="774" t="s">
        <v>21</v>
      </c>
      <c r="S38" s="775">
        <f t="shared" si="12"/>
        <v>100</v>
      </c>
      <c r="T38" s="774" t="s">
        <v>21</v>
      </c>
      <c r="U38" s="775">
        <f t="shared" si="13"/>
        <v>100</v>
      </c>
      <c r="V38" s="774" t="s">
        <v>21</v>
      </c>
      <c r="W38" s="775">
        <f t="shared" si="14"/>
        <v>100</v>
      </c>
      <c r="X38" s="1799"/>
      <c r="Y38" s="3213" t="s">
        <v>2555</v>
      </c>
      <c r="Z38" s="1800" t="str">
        <f t="shared" si="18"/>
        <v>物业管理</v>
      </c>
      <c r="AA38" s="1797">
        <f t="shared" si="15"/>
        <v>1</v>
      </c>
      <c r="AB38" s="1797">
        <f t="shared" si="16"/>
        <v>1</v>
      </c>
      <c r="AC38" s="1797">
        <f t="shared" si="17"/>
        <v>1</v>
      </c>
    </row>
    <row r="39" spans="1:29" ht="15">
      <c r="A39" s="472"/>
      <c r="B39" s="422" t="s">
        <v>2562</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5"/>
      <c r="M39" s="1126"/>
      <c r="N39" s="1126"/>
      <c r="O39" s="1126"/>
      <c r="P39" s="3251"/>
      <c r="Q39" s="1796" t="str">
        <f t="shared" si="11"/>
        <v>市政基础设施</v>
      </c>
      <c r="R39" s="774" t="s">
        <v>21</v>
      </c>
      <c r="S39" s="775">
        <f t="shared" si="12"/>
        <v>100</v>
      </c>
      <c r="T39" s="774" t="s">
        <v>21</v>
      </c>
      <c r="U39" s="775">
        <f t="shared" si="13"/>
        <v>100</v>
      </c>
      <c r="V39" s="774" t="s">
        <v>21</v>
      </c>
      <c r="W39" s="775">
        <f t="shared" si="14"/>
        <v>100</v>
      </c>
      <c r="X39" s="1799"/>
      <c r="Y39" s="3213"/>
      <c r="Z39" s="1800" t="str">
        <f t="shared" si="18"/>
        <v>市政基础设施</v>
      </c>
      <c r="AA39" s="1797">
        <f t="shared" si="15"/>
        <v>1</v>
      </c>
      <c r="AB39" s="1797">
        <f t="shared" si="16"/>
        <v>1</v>
      </c>
      <c r="AC39" s="1797">
        <f t="shared" si="17"/>
        <v>1</v>
      </c>
    </row>
    <row r="40" spans="1:29" ht="15">
      <c r="A40" s="472"/>
      <c r="B40" s="422" t="s">
        <v>2563</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5"/>
      <c r="M40" s="1126"/>
      <c r="N40" s="1126"/>
      <c r="O40" s="1126"/>
      <c r="P40" s="3251"/>
      <c r="Q40" s="1796" t="str">
        <f t="shared" si="11"/>
        <v>房型</v>
      </c>
      <c r="R40" s="774" t="s">
        <v>21</v>
      </c>
      <c r="S40" s="775">
        <f t="shared" si="12"/>
        <v>100</v>
      </c>
      <c r="T40" s="774" t="s">
        <v>21</v>
      </c>
      <c r="U40" s="775">
        <f t="shared" si="13"/>
        <v>100</v>
      </c>
      <c r="V40" s="774" t="s">
        <v>21</v>
      </c>
      <c r="W40" s="775">
        <f t="shared" si="14"/>
        <v>100</v>
      </c>
      <c r="X40" s="1799"/>
      <c r="Y40" s="3213"/>
      <c r="Z40" s="1800" t="str">
        <f t="shared" si="18"/>
        <v>房型</v>
      </c>
      <c r="AA40" s="1797">
        <f t="shared" si="15"/>
        <v>1</v>
      </c>
      <c r="AB40" s="1797">
        <f t="shared" si="16"/>
        <v>1</v>
      </c>
      <c r="AC40" s="1797">
        <f t="shared" si="17"/>
        <v>1</v>
      </c>
    </row>
    <row r="41" spans="1:29" s="471" customFormat="1" ht="28.8">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3"/>
      <c r="M41" s="1136"/>
      <c r="N41" s="1136"/>
      <c r="O41" s="1136"/>
      <c r="P41" s="325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797">
        <f t="shared" si="15"/>
        <v>1</v>
      </c>
      <c r="AB41" s="1797">
        <f t="shared" si="16"/>
        <v>1</v>
      </c>
      <c r="AC41" s="1797">
        <f t="shared" si="17"/>
        <v>1</v>
      </c>
    </row>
    <row r="42" spans="1:29" ht="15">
      <c r="A42" s="472"/>
      <c r="B42" s="422" t="s">
        <v>2565</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5"/>
      <c r="M42" s="1126"/>
      <c r="N42" s="1126"/>
      <c r="O42" s="1126"/>
      <c r="P42" s="3251"/>
      <c r="Q42" s="1796" t="str">
        <f t="shared" si="11"/>
        <v>内部装修</v>
      </c>
      <c r="R42" s="774" t="s">
        <v>21</v>
      </c>
      <c r="S42" s="775">
        <f t="shared" si="12"/>
        <v>100</v>
      </c>
      <c r="T42" s="774" t="s">
        <v>21</v>
      </c>
      <c r="U42" s="775">
        <f t="shared" si="13"/>
        <v>100</v>
      </c>
      <c r="V42" s="774" t="s">
        <v>21</v>
      </c>
      <c r="W42" s="775">
        <f t="shared" si="14"/>
        <v>100</v>
      </c>
      <c r="X42" s="1799"/>
      <c r="Y42" s="3213"/>
      <c r="Z42" s="1800" t="str">
        <f t="shared" si="18"/>
        <v>内部装修</v>
      </c>
      <c r="AA42" s="1797">
        <f t="shared" si="15"/>
        <v>1</v>
      </c>
      <c r="AB42" s="1797">
        <f t="shared" si="16"/>
        <v>1</v>
      </c>
      <c r="AC42" s="1797">
        <f t="shared" si="17"/>
        <v>1</v>
      </c>
    </row>
    <row r="43" spans="1:29" ht="28.8">
      <c r="A43" s="472"/>
      <c r="B43" s="422" t="s">
        <v>2566</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5"/>
      <c r="M43" s="1126"/>
      <c r="N43" s="1126"/>
      <c r="O43" s="1126"/>
      <c r="P43" s="3251"/>
      <c r="Q43" s="1796" t="str">
        <f t="shared" si="11"/>
        <v>内部装修维护情况</v>
      </c>
      <c r="R43" s="774" t="s">
        <v>21</v>
      </c>
      <c r="S43" s="775">
        <f t="shared" si="12"/>
        <v>100</v>
      </c>
      <c r="T43" s="774" t="s">
        <v>21</v>
      </c>
      <c r="U43" s="775">
        <f t="shared" si="13"/>
        <v>100</v>
      </c>
      <c r="V43" s="774" t="s">
        <v>21</v>
      </c>
      <c r="W43" s="775">
        <f t="shared" si="14"/>
        <v>100</v>
      </c>
      <c r="X43" s="1799"/>
      <c r="Y43" s="3213"/>
      <c r="Z43" s="1800" t="str">
        <f t="shared" si="18"/>
        <v>内部装修维护情况</v>
      </c>
      <c r="AA43" s="1797">
        <f t="shared" si="15"/>
        <v>1</v>
      </c>
      <c r="AB43" s="1797">
        <f t="shared" si="16"/>
        <v>1</v>
      </c>
      <c r="AC43" s="1797">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7"/>
      <c r="M44" s="1128"/>
      <c r="N44" s="1128"/>
      <c r="O44" s="1128"/>
      <c r="P44" s="3251"/>
      <c r="Q44" s="1781">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5"/>
      <c r="M45" s="1126"/>
      <c r="N45" s="1126"/>
      <c r="O45" s="1126"/>
      <c r="P45" s="3251"/>
      <c r="Q45" s="1796">
        <f t="shared" si="11"/>
        <v>111</v>
      </c>
      <c r="R45" s="774" t="s">
        <v>21</v>
      </c>
      <c r="S45" s="775">
        <f t="shared" si="12"/>
        <v>100</v>
      </c>
      <c r="T45" s="774" t="s">
        <v>21</v>
      </c>
      <c r="U45" s="775">
        <f t="shared" si="13"/>
        <v>100</v>
      </c>
      <c r="V45" s="774" t="s">
        <v>21</v>
      </c>
      <c r="W45" s="775">
        <f t="shared" si="14"/>
        <v>100</v>
      </c>
      <c r="X45" s="1799"/>
      <c r="Y45" s="3213"/>
      <c r="Z45" s="1800">
        <f t="shared" si="18"/>
        <v>111</v>
      </c>
      <c r="AA45" s="1797">
        <f t="shared" si="15"/>
        <v>1</v>
      </c>
      <c r="AB45" s="1797">
        <f t="shared" si="16"/>
        <v>1</v>
      </c>
      <c r="AC45" s="1797">
        <f t="shared" si="17"/>
        <v>1</v>
      </c>
    </row>
    <row r="46" spans="1:29" ht="15.6"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5"/>
      <c r="M46" s="1126"/>
      <c r="N46" s="1126"/>
      <c r="O46" s="1126"/>
      <c r="P46" s="3252"/>
      <c r="Q46" s="1796">
        <f t="shared" si="11"/>
        <v>111</v>
      </c>
      <c r="R46" s="774" t="s">
        <v>20</v>
      </c>
      <c r="S46" s="775">
        <f t="shared" si="12"/>
        <v>100</v>
      </c>
      <c r="T46" s="774" t="s">
        <v>20</v>
      </c>
      <c r="U46" s="775">
        <f t="shared" si="13"/>
        <v>100</v>
      </c>
      <c r="V46" s="774" t="s">
        <v>20</v>
      </c>
      <c r="W46" s="775">
        <f t="shared" si="14"/>
        <v>100</v>
      </c>
      <c r="X46" s="1799"/>
      <c r="Y46" s="3253"/>
      <c r="Z46" s="1800">
        <f t="shared" si="18"/>
        <v>111</v>
      </c>
      <c r="AA46" s="1797">
        <f t="shared" si="15"/>
        <v>1</v>
      </c>
      <c r="AB46" s="1797">
        <f t="shared" si="16"/>
        <v>1</v>
      </c>
      <c r="AC46" s="1797">
        <f t="shared" si="17"/>
        <v>1</v>
      </c>
    </row>
    <row r="47" spans="1:29" ht="14.4">
      <c r="A47" s="479" t="s">
        <v>2567</v>
      </c>
      <c r="B47" s="480"/>
      <c r="C47" s="1402" t="s">
        <v>19</v>
      </c>
      <c r="D47" s="1403"/>
      <c r="E47" s="1404"/>
      <c r="F47" s="1405"/>
      <c r="G47" s="1406"/>
      <c r="H47" s="1407"/>
      <c r="I47" s="1404"/>
      <c r="J47" s="1407"/>
      <c r="K47" s="2609"/>
      <c r="L47" s="1138"/>
      <c r="M47" s="1139"/>
      <c r="N47" s="1126"/>
      <c r="O47" s="1139"/>
      <c r="P47" s="3195" t="str">
        <f>A47</f>
        <v>成交单价（元/平方米）</v>
      </c>
      <c r="Q47" s="3195"/>
      <c r="R47" s="3249">
        <f>E47</f>
        <v>0</v>
      </c>
      <c r="S47" s="3249"/>
      <c r="T47" s="3249">
        <f>G47</f>
        <v>0</v>
      </c>
      <c r="U47" s="3249"/>
      <c r="V47" s="3249">
        <f>I47</f>
        <v>0</v>
      </c>
      <c r="W47" s="3249"/>
      <c r="X47" s="759"/>
      <c r="Y47" s="781"/>
      <c r="Z47" s="759"/>
      <c r="AA47" s="759"/>
      <c r="AB47" s="759"/>
      <c r="AC47" s="759"/>
    </row>
    <row r="48" spans="1:29" ht="15" thickBot="1">
      <c r="A48" s="486" t="s">
        <v>2568</v>
      </c>
      <c r="B48" s="487"/>
      <c r="C48" s="1408" t="e">
        <f>R49</f>
        <v>#DIV/0!</v>
      </c>
      <c r="D48" s="1409"/>
      <c r="E48" s="1410" t="e">
        <f>R48</f>
        <v>#DIV/0!</v>
      </c>
      <c r="F48" s="1410"/>
      <c r="G48" s="1408" t="e">
        <f>T48</f>
        <v>#DIV/0!</v>
      </c>
      <c r="H48" s="1409"/>
      <c r="I48" s="1410" t="e">
        <f>V48</f>
        <v>#DIV/0!</v>
      </c>
      <c r="J48" s="1409"/>
      <c r="K48" s="2610"/>
      <c r="L48" s="1138"/>
      <c r="M48" s="1139"/>
      <c r="N48" s="1139"/>
      <c r="O48" s="1139"/>
      <c r="P48" s="3195" t="str">
        <f>A48</f>
        <v>比较价值（元/平方米）</v>
      </c>
      <c r="Q48" s="319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 thickBot="1">
      <c r="A49" s="492" t="s">
        <v>2569</v>
      </c>
      <c r="B49" s="493"/>
      <c r="C49" s="1411" t="e">
        <f>R49</f>
        <v>#DIV/0!</v>
      </c>
      <c r="D49" s="1412"/>
      <c r="E49" s="1412"/>
      <c r="F49" s="1412"/>
      <c r="G49" s="1412"/>
      <c r="H49" s="1412"/>
      <c r="I49" s="1412"/>
      <c r="J49" s="1412"/>
      <c r="K49" s="2611"/>
      <c r="L49" s="1138"/>
      <c r="M49" s="1139"/>
      <c r="N49" s="1139"/>
      <c r="O49" s="1139"/>
      <c r="P49" s="3215" t="str">
        <f>A49</f>
        <v>估价对象XX用房的比较价值（楼面单价，元/平方米）</v>
      </c>
      <c r="Q49" s="3216"/>
      <c r="R49" s="3248" t="e">
        <f>IF(F1="售价",ROUND(AVERAGE(R48:V48),0),ROUND(AVERAGE(R48:V48),1))</f>
        <v>#DIV/0!</v>
      </c>
      <c r="S49" s="3248"/>
      <c r="T49" s="3248"/>
      <c r="U49" s="3248"/>
      <c r="V49" s="3248"/>
      <c r="W49" s="324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3"/>
    </row>
    <row r="55" spans="1:29" s="502" customFormat="1">
      <c r="A55" s="1140"/>
      <c r="B55" s="1141"/>
      <c r="C55" s="1145"/>
      <c r="D55" s="1140"/>
      <c r="E55" s="1140"/>
      <c r="F55" s="1140"/>
      <c r="G55" s="1140"/>
      <c r="H55" s="1140"/>
      <c r="I55" s="1140"/>
      <c r="J55" s="1140"/>
      <c r="K55" s="1143"/>
      <c r="L55" s="1144"/>
      <c r="M55" s="1140"/>
      <c r="N55" s="1140"/>
      <c r="O55" s="1140"/>
      <c r="P55" s="2613"/>
    </row>
    <row r="56" spans="1:29">
      <c r="A56" s="1139"/>
      <c r="B56" s="1141"/>
      <c r="C56" s="1145"/>
      <c r="D56" s="1139"/>
      <c r="E56" s="1139"/>
      <c r="F56" s="1139"/>
      <c r="G56" s="1139"/>
      <c r="H56" s="1139"/>
      <c r="I56" s="1139"/>
      <c r="J56" s="1139"/>
      <c r="K56" s="1100"/>
      <c r="L56" s="1101"/>
      <c r="M56" s="1139"/>
      <c r="N56" s="1139"/>
      <c r="O56" s="1139"/>
    </row>
    <row r="57" spans="1:29" ht="22.2" thickBot="1">
      <c r="A57" s="763" t="s">
        <v>2573</v>
      </c>
      <c r="B57" s="759"/>
      <c r="C57" s="764"/>
      <c r="D57" s="764"/>
      <c r="E57" s="764"/>
      <c r="F57" s="765"/>
      <c r="G57" s="765"/>
      <c r="H57" s="764"/>
      <c r="I57" s="764"/>
      <c r="J57" s="764"/>
      <c r="K57" s="1155"/>
      <c r="L57" s="1156"/>
      <c r="M57" s="1154"/>
      <c r="N57" s="1154"/>
      <c r="O57" s="1154"/>
      <c r="P57" s="2614"/>
      <c r="Q57" s="504"/>
    </row>
    <row r="58" spans="1:29" s="508" customFormat="1" ht="14.4">
      <c r="A58" s="505" t="s">
        <v>2574</v>
      </c>
      <c r="B58" s="506"/>
      <c r="C58" s="1570" t="str">
        <f>YEAR(C7)&amp;"-"&amp;MONTH(C7)</f>
        <v>2020-7</v>
      </c>
      <c r="D58" s="1569">
        <f>EDATE(C58,-1)</f>
        <v>43983</v>
      </c>
      <c r="E58" s="1569">
        <f>EDATE(D58,-1)</f>
        <v>43952</v>
      </c>
      <c r="F58" s="1569">
        <f t="shared" ref="F58:O58" si="19">EDATE(E58,-1)</f>
        <v>43922</v>
      </c>
      <c r="G58" s="1569">
        <f t="shared" si="19"/>
        <v>43891</v>
      </c>
      <c r="H58" s="1569">
        <f t="shared" si="19"/>
        <v>43862</v>
      </c>
      <c r="I58" s="1569">
        <f t="shared" si="19"/>
        <v>43831</v>
      </c>
      <c r="J58" s="1569">
        <f t="shared" si="19"/>
        <v>43800</v>
      </c>
      <c r="K58" s="1569">
        <f t="shared" si="19"/>
        <v>43770</v>
      </c>
      <c r="L58" s="1569">
        <f t="shared" si="19"/>
        <v>43739</v>
      </c>
      <c r="M58" s="1569">
        <f t="shared" si="19"/>
        <v>43709</v>
      </c>
      <c r="N58" s="1569">
        <f t="shared" si="19"/>
        <v>43678</v>
      </c>
      <c r="O58" s="1569">
        <f t="shared" si="19"/>
        <v>43647</v>
      </c>
      <c r="P58" s="1564"/>
    </row>
    <row r="59" spans="1:29" s="117" customFormat="1">
      <c r="A59" s="509"/>
      <c r="B59" s="2615"/>
      <c r="C59" s="1567">
        <v>100</v>
      </c>
      <c r="D59" s="511"/>
      <c r="E59" s="512"/>
      <c r="F59" s="512"/>
      <c r="G59" s="512"/>
      <c r="H59" s="512"/>
      <c r="I59" s="512"/>
      <c r="J59" s="512"/>
      <c r="K59" s="512"/>
      <c r="L59" s="512"/>
      <c r="M59" s="513"/>
      <c r="N59" s="512"/>
      <c r="O59" s="513"/>
      <c r="P59" s="2616"/>
    </row>
    <row r="60" spans="1:29" s="117" customFormat="1" ht="15" thickBot="1">
      <c r="A60" s="515" t="s">
        <v>2575</v>
      </c>
      <c r="B60" s="516"/>
      <c r="C60" s="517"/>
      <c r="D60" s="518"/>
      <c r="E60" s="518"/>
      <c r="F60" s="518"/>
      <c r="G60" s="518"/>
      <c r="H60" s="518"/>
      <c r="I60" s="518"/>
      <c r="J60" s="518"/>
      <c r="K60" s="518"/>
      <c r="L60" s="518"/>
      <c r="M60" s="519"/>
      <c r="N60" s="518"/>
      <c r="O60" s="519"/>
      <c r="P60" s="2616"/>
      <c r="Q60" s="504"/>
    </row>
    <row r="61" spans="1:29" s="117" customFormat="1" ht="14.4">
      <c r="A61" s="521" t="s">
        <v>2576</v>
      </c>
      <c r="B61" s="510"/>
      <c r="C61" s="522" t="s">
        <v>2577</v>
      </c>
      <c r="D61" s="523"/>
      <c r="E61" s="523"/>
      <c r="F61" s="523"/>
      <c r="G61" s="523"/>
      <c r="H61" s="523"/>
      <c r="I61" s="523"/>
      <c r="J61" s="523"/>
      <c r="K61" s="523"/>
      <c r="L61" s="524"/>
      <c r="M61" s="525"/>
      <c r="N61" s="1146"/>
      <c r="O61" s="1146"/>
      <c r="P61" s="2617"/>
      <c r="Q61" s="504"/>
    </row>
    <row r="62" spans="1:29" s="117" customFormat="1" ht="14.4" thickBot="1">
      <c r="A62" s="521"/>
      <c r="B62" s="510"/>
      <c r="C62" s="511">
        <v>100</v>
      </c>
      <c r="D62" s="512"/>
      <c r="E62" s="512"/>
      <c r="F62" s="512"/>
      <c r="G62" s="512"/>
      <c r="H62" s="512"/>
      <c r="I62" s="512"/>
      <c r="J62" s="512"/>
      <c r="K62" s="512"/>
      <c r="L62" s="512"/>
      <c r="M62" s="514"/>
      <c r="N62" s="1146"/>
      <c r="O62" s="1146"/>
      <c r="P62" s="2616"/>
      <c r="Q62" s="504"/>
    </row>
    <row r="63" spans="1:29" ht="14.4">
      <c r="A63" s="527" t="s">
        <v>2578</v>
      </c>
      <c r="B63" s="528" t="s">
        <v>2544</v>
      </c>
      <c r="C63" s="529">
        <f>C9</f>
        <v>0</v>
      </c>
      <c r="D63" s="530"/>
      <c r="E63" s="530"/>
      <c r="F63" s="530"/>
      <c r="G63" s="530"/>
      <c r="H63" s="530"/>
      <c r="I63" s="530"/>
      <c r="J63" s="530"/>
      <c r="K63" s="531"/>
      <c r="L63" s="532"/>
      <c r="M63" s="533"/>
      <c r="N63" s="1147"/>
      <c r="O63" s="1147"/>
      <c r="P63" s="2618"/>
      <c r="Q63" s="504"/>
    </row>
    <row r="64" spans="1:29" ht="14.4" thickBot="1">
      <c r="A64" s="534"/>
      <c r="B64" s="535"/>
      <c r="C64" s="536">
        <v>100</v>
      </c>
      <c r="D64" s="536"/>
      <c r="E64" s="536"/>
      <c r="F64" s="536"/>
      <c r="G64" s="536"/>
      <c r="H64" s="536"/>
      <c r="I64" s="536"/>
      <c r="J64" s="536"/>
      <c r="K64" s="536"/>
      <c r="L64" s="536"/>
      <c r="M64" s="537"/>
      <c r="N64" s="1148"/>
      <c r="O64" s="1148"/>
      <c r="P64" s="2618"/>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47"/>
      <c r="O65" s="1147"/>
      <c r="P65" s="261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18"/>
      <c r="Q66" s="504"/>
    </row>
    <row r="67" spans="1:17" ht="1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18"/>
      <c r="Q67" s="504"/>
    </row>
    <row r="68" spans="1:17">
      <c r="A68" s="534"/>
      <c r="B68" s="548"/>
      <c r="C68" s="549"/>
      <c r="D68" s="549"/>
      <c r="E68" s="549"/>
      <c r="F68" s="549"/>
      <c r="G68" s="549"/>
      <c r="H68" s="549"/>
      <c r="I68" s="549"/>
      <c r="J68" s="549"/>
      <c r="K68" s="550"/>
      <c r="L68" s="551"/>
      <c r="M68" s="552"/>
      <c r="N68" s="1147"/>
      <c r="O68" s="1147"/>
      <c r="P68" s="261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18"/>
      <c r="Q69" s="504"/>
    </row>
    <row r="70" spans="1:17" s="471" customFormat="1" ht="14.4" thickTop="1">
      <c r="A70" s="553"/>
      <c r="B70" s="538">
        <f>B12</f>
        <v>111</v>
      </c>
      <c r="C70" s="554"/>
      <c r="D70" s="554"/>
      <c r="E70" s="554"/>
      <c r="F70" s="554"/>
      <c r="G70" s="554"/>
      <c r="H70" s="555"/>
      <c r="I70" s="555"/>
      <c r="J70" s="555"/>
      <c r="K70" s="555"/>
      <c r="L70" s="556"/>
      <c r="M70" s="557"/>
      <c r="N70" s="1149"/>
      <c r="O70" s="1149"/>
      <c r="P70" s="2619"/>
      <c r="Q70" s="559"/>
    </row>
    <row r="71" spans="1:17" s="471" customFormat="1" ht="14.4" thickBot="1">
      <c r="A71" s="553"/>
      <c r="B71" s="543"/>
      <c r="C71" s="560"/>
      <c r="D71" s="536"/>
      <c r="E71" s="536"/>
      <c r="F71" s="536"/>
      <c r="G71" s="536"/>
      <c r="H71" s="536"/>
      <c r="I71" s="536"/>
      <c r="J71" s="536"/>
      <c r="K71" s="536"/>
      <c r="L71" s="536"/>
      <c r="M71" s="537"/>
      <c r="N71" s="1148"/>
      <c r="O71" s="1148"/>
      <c r="P71" s="2619"/>
      <c r="Q71" s="559"/>
    </row>
    <row r="72" spans="1:17" s="471" customFormat="1" ht="14.4" thickTop="1">
      <c r="A72" s="553"/>
      <c r="B72" s="538">
        <f>B13</f>
        <v>111</v>
      </c>
      <c r="C72" s="554"/>
      <c r="D72" s="554"/>
      <c r="E72" s="554"/>
      <c r="F72" s="554"/>
      <c r="G72" s="554"/>
      <c r="H72" s="555"/>
      <c r="I72" s="555"/>
      <c r="J72" s="555"/>
      <c r="K72" s="555"/>
      <c r="L72" s="556"/>
      <c r="M72" s="557"/>
      <c r="N72" s="1149"/>
      <c r="O72" s="1149"/>
      <c r="P72" s="2620"/>
      <c r="Q72" s="561"/>
    </row>
    <row r="73" spans="1:17" s="471" customFormat="1" ht="14.4" thickBot="1">
      <c r="A73" s="553"/>
      <c r="B73" s="543"/>
      <c r="C73" s="560"/>
      <c r="D73" s="560"/>
      <c r="E73" s="560"/>
      <c r="F73" s="560"/>
      <c r="G73" s="560"/>
      <c r="H73" s="562"/>
      <c r="I73" s="562"/>
      <c r="J73" s="562"/>
      <c r="K73" s="562"/>
      <c r="L73" s="562"/>
      <c r="M73" s="563"/>
      <c r="N73" s="1149"/>
      <c r="O73" s="1149"/>
      <c r="P73" s="2619"/>
      <c r="Q73" s="559"/>
    </row>
    <row r="74" spans="1:17" s="471" customFormat="1" ht="14.4" thickTop="1">
      <c r="A74" s="553"/>
      <c r="B74" s="546">
        <f>B14</f>
        <v>111</v>
      </c>
      <c r="C74" s="554"/>
      <c r="D74" s="554"/>
      <c r="E74" s="554"/>
      <c r="F74" s="554"/>
      <c r="G74" s="523"/>
      <c r="H74" s="564"/>
      <c r="I74" s="564"/>
      <c r="J74" s="564"/>
      <c r="K74" s="564"/>
      <c r="L74" s="565"/>
      <c r="M74" s="566"/>
      <c r="N74" s="1149"/>
      <c r="O74" s="1149"/>
      <c r="P74" s="2621"/>
      <c r="Q74" s="559"/>
    </row>
    <row r="75" spans="1:17" s="471" customFormat="1" ht="14.4" thickBot="1">
      <c r="A75" s="568"/>
      <c r="B75" s="569"/>
      <c r="C75" s="570"/>
      <c r="D75" s="570"/>
      <c r="E75" s="570"/>
      <c r="F75" s="570"/>
      <c r="G75" s="570"/>
      <c r="H75" s="571"/>
      <c r="I75" s="571"/>
      <c r="J75" s="571"/>
      <c r="K75" s="571"/>
      <c r="L75" s="571"/>
      <c r="M75" s="572"/>
      <c r="N75" s="1149"/>
      <c r="O75" s="1149"/>
      <c r="P75" s="2619"/>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47"/>
      <c r="O76" s="1147"/>
      <c r="P76" s="262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8"/>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47"/>
      <c r="O78" s="1147"/>
      <c r="P78" s="261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8"/>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47"/>
      <c r="O80" s="1147"/>
      <c r="P80" s="261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8"/>
      <c r="Q81" s="504"/>
    </row>
    <row r="82" spans="1:17" ht="15" thickTop="1">
      <c r="A82" s="534"/>
      <c r="B82" s="546" t="s">
        <v>2090</v>
      </c>
      <c r="C82" s="539" t="s">
        <v>2594</v>
      </c>
      <c r="D82" s="539" t="s">
        <v>2595</v>
      </c>
      <c r="E82" s="539" t="s">
        <v>2596</v>
      </c>
      <c r="F82" s="539" t="s">
        <v>2597</v>
      </c>
      <c r="G82" s="539" t="s">
        <v>2598</v>
      </c>
      <c r="H82" s="539"/>
      <c r="I82" s="539"/>
      <c r="J82" s="539"/>
      <c r="K82" s="539"/>
      <c r="L82" s="539"/>
      <c r="M82" s="1377"/>
      <c r="N82" s="1148"/>
      <c r="O82" s="1148"/>
      <c r="P82" s="261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18"/>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47"/>
      <c r="O84" s="1147"/>
      <c r="P84" s="261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8"/>
      <c r="Q85" s="504"/>
    </row>
    <row r="86" spans="1:17" s="117" customFormat="1" ht="15" thickTop="1">
      <c r="A86" s="579"/>
      <c r="B86" s="538" t="s">
        <v>2600</v>
      </c>
      <c r="C86" s="554"/>
      <c r="D86" s="554"/>
      <c r="E86" s="554"/>
      <c r="F86" s="554"/>
      <c r="G86" s="554"/>
      <c r="H86" s="554"/>
      <c r="I86" s="554"/>
      <c r="J86" s="554"/>
      <c r="K86" s="554"/>
      <c r="L86" s="580"/>
      <c r="M86" s="581"/>
      <c r="N86" s="1146"/>
      <c r="O86" s="1146"/>
      <c r="P86" s="261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18"/>
      <c r="Q87" s="504"/>
    </row>
    <row r="88" spans="1:17" s="117" customFormat="1" ht="15" thickTop="1">
      <c r="A88" s="579"/>
      <c r="B88" s="538" t="s">
        <v>2601</v>
      </c>
      <c r="C88" s="554"/>
      <c r="D88" s="554"/>
      <c r="E88" s="554"/>
      <c r="F88" s="2623"/>
      <c r="G88" s="554"/>
      <c r="H88" s="554"/>
      <c r="I88" s="554"/>
      <c r="J88" s="554"/>
      <c r="K88" s="554"/>
      <c r="L88" s="554"/>
      <c r="M88" s="581"/>
      <c r="N88" s="1146"/>
      <c r="O88" s="1146"/>
      <c r="P88" s="261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18"/>
      <c r="Q89" s="504"/>
    </row>
    <row r="90" spans="1:17" s="471" customFormat="1" ht="14.4" thickTop="1">
      <c r="A90" s="553"/>
      <c r="B90" s="538">
        <f>B27</f>
        <v>111</v>
      </c>
      <c r="C90" s="554"/>
      <c r="D90" s="554"/>
      <c r="E90" s="554"/>
      <c r="F90" s="554"/>
      <c r="G90" s="554"/>
      <c r="H90" s="555"/>
      <c r="I90" s="555"/>
      <c r="J90" s="555"/>
      <c r="K90" s="555"/>
      <c r="L90" s="556"/>
      <c r="M90" s="557"/>
      <c r="N90" s="1149"/>
      <c r="O90" s="1149"/>
      <c r="P90" s="2619"/>
      <c r="Q90" s="559"/>
    </row>
    <row r="91" spans="1:17" s="471" customFormat="1" ht="14.4" thickBot="1">
      <c r="A91" s="553"/>
      <c r="B91" s="543"/>
      <c r="C91" s="560"/>
      <c r="D91" s="560"/>
      <c r="E91" s="560"/>
      <c r="F91" s="560"/>
      <c r="G91" s="560"/>
      <c r="H91" s="562"/>
      <c r="I91" s="562"/>
      <c r="J91" s="562"/>
      <c r="K91" s="562"/>
      <c r="L91" s="562"/>
      <c r="M91" s="563"/>
      <c r="N91" s="1149"/>
      <c r="O91" s="1149"/>
      <c r="P91" s="2619"/>
      <c r="Q91" s="559"/>
    </row>
    <row r="92" spans="1:17" ht="14.4" thickTop="1">
      <c r="A92" s="534"/>
      <c r="B92" s="538">
        <f>B28</f>
        <v>111</v>
      </c>
      <c r="C92" s="554"/>
      <c r="D92" s="554"/>
      <c r="E92" s="554"/>
      <c r="F92" s="554"/>
      <c r="G92" s="583"/>
      <c r="H92" s="583"/>
      <c r="I92" s="583"/>
      <c r="J92" s="583"/>
      <c r="K92" s="584"/>
      <c r="L92" s="585"/>
      <c r="M92" s="586"/>
      <c r="N92" s="1147"/>
      <c r="O92" s="1147"/>
      <c r="P92" s="2618"/>
      <c r="Q92" s="504"/>
    </row>
    <row r="93" spans="1:17" ht="14.4" thickBot="1">
      <c r="A93" s="534"/>
      <c r="B93" s="543"/>
      <c r="C93" s="560"/>
      <c r="D93" s="536"/>
      <c r="E93" s="536"/>
      <c r="F93" s="536"/>
      <c r="G93" s="536"/>
      <c r="H93" s="536"/>
      <c r="I93" s="536"/>
      <c r="J93" s="536"/>
      <c r="K93" s="536"/>
      <c r="L93" s="536"/>
      <c r="M93" s="537"/>
      <c r="N93" s="1148"/>
      <c r="O93" s="1148"/>
      <c r="P93" s="2618"/>
      <c r="Q93" s="504"/>
    </row>
    <row r="94" spans="1:17" ht="14.4" thickTop="1">
      <c r="A94" s="534"/>
      <c r="B94" s="538">
        <f>B29</f>
        <v>111</v>
      </c>
      <c r="C94" s="554"/>
      <c r="D94" s="554"/>
      <c r="E94" s="554"/>
      <c r="F94" s="554"/>
      <c r="G94" s="583"/>
      <c r="H94" s="583"/>
      <c r="I94" s="583"/>
      <c r="J94" s="583"/>
      <c r="K94" s="584"/>
      <c r="L94" s="585"/>
      <c r="M94" s="586"/>
      <c r="N94" s="1147"/>
      <c r="O94" s="1147"/>
      <c r="P94" s="2618"/>
      <c r="Q94" s="504"/>
    </row>
    <row r="95" spans="1:17" ht="14.4" thickBot="1">
      <c r="A95" s="534"/>
      <c r="B95" s="543"/>
      <c r="C95" s="560"/>
      <c r="D95" s="560"/>
      <c r="E95" s="560"/>
      <c r="F95" s="560"/>
      <c r="G95" s="536"/>
      <c r="H95" s="536"/>
      <c r="I95" s="536"/>
      <c r="J95" s="536"/>
      <c r="K95" s="536"/>
      <c r="L95" s="536"/>
      <c r="M95" s="537"/>
      <c r="N95" s="1148"/>
      <c r="O95" s="1148"/>
      <c r="P95" s="2618"/>
      <c r="Q95" s="504"/>
    </row>
    <row r="96" spans="1:17" ht="14.4" thickTop="1">
      <c r="A96" s="534"/>
      <c r="B96" s="538">
        <f>B30</f>
        <v>111</v>
      </c>
      <c r="C96" s="554"/>
      <c r="D96" s="554"/>
      <c r="E96" s="554"/>
      <c r="F96" s="554"/>
      <c r="G96" s="583"/>
      <c r="H96" s="583"/>
      <c r="I96" s="583"/>
      <c r="J96" s="583"/>
      <c r="K96" s="584"/>
      <c r="L96" s="585"/>
      <c r="M96" s="586"/>
      <c r="N96" s="1147"/>
      <c r="O96" s="1147"/>
      <c r="P96" s="2618"/>
      <c r="Q96" s="504"/>
    </row>
    <row r="97" spans="1:17" ht="14.4" thickBot="1">
      <c r="A97" s="534"/>
      <c r="B97" s="543"/>
      <c r="C97" s="570"/>
      <c r="D97" s="570"/>
      <c r="E97" s="570"/>
      <c r="F97" s="570"/>
      <c r="G97" s="536"/>
      <c r="H97" s="536"/>
      <c r="I97" s="536"/>
      <c r="J97" s="536"/>
      <c r="K97" s="536"/>
      <c r="L97" s="536"/>
      <c r="M97" s="537"/>
      <c r="N97" s="1148"/>
      <c r="O97" s="1148"/>
      <c r="P97" s="2618"/>
      <c r="Q97" s="504"/>
    </row>
    <row r="98" spans="1:17" ht="14.4" thickTop="1">
      <c r="A98" s="534"/>
      <c r="B98" s="546">
        <f>B31</f>
        <v>111</v>
      </c>
      <c r="C98" s="587"/>
      <c r="D98" s="587"/>
      <c r="E98" s="587"/>
      <c r="F98" s="587"/>
      <c r="G98" s="587"/>
      <c r="H98" s="587"/>
      <c r="I98" s="587"/>
      <c r="J98" s="587"/>
      <c r="K98" s="588"/>
      <c r="L98" s="589"/>
      <c r="M98" s="590"/>
      <c r="N98" s="1147"/>
      <c r="O98" s="1147"/>
      <c r="P98" s="2618"/>
      <c r="Q98" s="504"/>
    </row>
    <row r="99" spans="1:17" ht="14.4" thickBot="1">
      <c r="A99" s="2624"/>
      <c r="B99" s="569"/>
      <c r="C99" s="591"/>
      <c r="D99" s="591"/>
      <c r="E99" s="591"/>
      <c r="F99" s="591"/>
      <c r="G99" s="591"/>
      <c r="H99" s="591"/>
      <c r="I99" s="591"/>
      <c r="J99" s="591"/>
      <c r="K99" s="591"/>
      <c r="L99" s="591"/>
      <c r="M99" s="592"/>
      <c r="N99" s="1148"/>
      <c r="O99" s="1148"/>
      <c r="P99" s="2618"/>
      <c r="Q99" s="504"/>
    </row>
    <row r="100" spans="1:17" ht="14.4">
      <c r="A100" s="527" t="s">
        <v>2553</v>
      </c>
      <c r="B100" s="528" t="s">
        <v>2602</v>
      </c>
      <c r="C100" s="530"/>
      <c r="D100" s="530"/>
      <c r="E100" s="530"/>
      <c r="F100" s="530"/>
      <c r="G100" s="530"/>
      <c r="H100" s="530"/>
      <c r="I100" s="530"/>
      <c r="J100" s="530"/>
      <c r="K100" s="531"/>
      <c r="L100" s="532"/>
      <c r="M100" s="533"/>
      <c r="N100" s="1147"/>
      <c r="O100" s="1147"/>
      <c r="P100" s="261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18"/>
      <c r="Q101" s="504"/>
    </row>
    <row r="102" spans="1:17" ht="1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18"/>
      <c r="Q102" s="504"/>
    </row>
    <row r="103" spans="1:17" s="471" customFormat="1">
      <c r="A103" s="593"/>
      <c r="B103" s="594"/>
      <c r="C103" s="595"/>
      <c r="D103" s="595"/>
      <c r="E103" s="595"/>
      <c r="F103" s="595"/>
      <c r="G103" s="595"/>
      <c r="H103" s="595"/>
      <c r="I103" s="595"/>
      <c r="J103" s="596"/>
      <c r="K103" s="596"/>
      <c r="L103" s="597"/>
      <c r="M103" s="598"/>
      <c r="N103" s="1149"/>
      <c r="O103" s="1149"/>
      <c r="P103" s="2619"/>
      <c r="Q103" s="559"/>
    </row>
    <row r="104" spans="1:17" s="471" customFormat="1" ht="14.4" thickBot="1">
      <c r="A104" s="553"/>
      <c r="B104" s="543"/>
      <c r="C104" s="560"/>
      <c r="D104" s="536"/>
      <c r="E104" s="536"/>
      <c r="F104" s="536"/>
      <c r="G104" s="536"/>
      <c r="H104" s="536"/>
      <c r="I104" s="536"/>
      <c r="J104" s="536"/>
      <c r="K104" s="536"/>
      <c r="L104" s="536"/>
      <c r="M104" s="536"/>
      <c r="N104" s="1148"/>
      <c r="O104" s="1148"/>
      <c r="P104" s="2619"/>
      <c r="Q104" s="559"/>
    </row>
    <row r="105" spans="1:17" ht="15" thickTop="1">
      <c r="A105" s="599"/>
      <c r="B105" s="538" t="s">
        <v>2604</v>
      </c>
      <c r="C105" s="554"/>
      <c r="D105" s="554"/>
      <c r="E105" s="583"/>
      <c r="F105" s="583"/>
      <c r="G105" s="583"/>
      <c r="H105" s="583"/>
      <c r="I105" s="583"/>
      <c r="J105" s="583"/>
      <c r="K105" s="584"/>
      <c r="L105" s="585"/>
      <c r="M105" s="586"/>
      <c r="N105" s="1147"/>
      <c r="O105" s="1147"/>
      <c r="P105" s="261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18"/>
      <c r="Q106" s="504"/>
    </row>
    <row r="107" spans="1:17" ht="15" thickTop="1">
      <c r="A107" s="599"/>
      <c r="B107" s="538" t="s">
        <v>2605</v>
      </c>
      <c r="C107" s="583"/>
      <c r="D107" s="583"/>
      <c r="E107" s="583"/>
      <c r="F107" s="583"/>
      <c r="G107" s="583"/>
      <c r="H107" s="583"/>
      <c r="I107" s="583"/>
      <c r="J107" s="583"/>
      <c r="K107" s="584"/>
      <c r="L107" s="585"/>
      <c r="M107" s="586"/>
      <c r="N107" s="1147"/>
      <c r="O107" s="1147"/>
      <c r="P107" s="261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18"/>
      <c r="Q108" s="504"/>
    </row>
    <row r="109" spans="1:17" ht="15" thickTop="1">
      <c r="A109" s="599"/>
      <c r="B109" s="538" t="s">
        <v>2606</v>
      </c>
      <c r="C109" s="554"/>
      <c r="D109" s="554"/>
      <c r="E109" s="554"/>
      <c r="F109" s="583"/>
      <c r="G109" s="583"/>
      <c r="H109" s="583"/>
      <c r="I109" s="583"/>
      <c r="J109" s="583"/>
      <c r="K109" s="584"/>
      <c r="L109" s="585"/>
      <c r="M109" s="586"/>
      <c r="N109" s="1147"/>
      <c r="O109" s="1147"/>
      <c r="P109" s="261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1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19"/>
      <c r="Q113" s="559"/>
    </row>
    <row r="114" spans="1:17" ht="15" thickTop="1">
      <c r="A114" s="599"/>
      <c r="B114" s="538" t="s">
        <v>2607</v>
      </c>
      <c r="C114" s="554"/>
      <c r="D114" s="554"/>
      <c r="E114" s="583"/>
      <c r="F114" s="583"/>
      <c r="G114" s="583"/>
      <c r="H114" s="583"/>
      <c r="I114" s="583"/>
      <c r="J114" s="583"/>
      <c r="K114" s="584"/>
      <c r="L114" s="585"/>
      <c r="M114" s="586"/>
      <c r="N114" s="1147"/>
      <c r="O114" s="1147"/>
      <c r="P114" s="261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18"/>
      <c r="Q115" s="504"/>
    </row>
    <row r="116" spans="1:17" ht="15" thickTop="1">
      <c r="A116" s="599"/>
      <c r="B116" s="538" t="s">
        <v>2608</v>
      </c>
      <c r="C116" s="554"/>
      <c r="D116" s="554"/>
      <c r="E116" s="554"/>
      <c r="F116" s="554"/>
      <c r="G116" s="554"/>
      <c r="H116" s="583"/>
      <c r="I116" s="583"/>
      <c r="J116" s="583"/>
      <c r="K116" s="584"/>
      <c r="L116" s="585"/>
      <c r="M116" s="586"/>
      <c r="N116" s="1147"/>
      <c r="O116" s="1147"/>
      <c r="P116" s="261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8"/>
      <c r="Q117" s="504"/>
    </row>
    <row r="118" spans="1:17" ht="15" thickTop="1">
      <c r="A118" s="599"/>
      <c r="B118" s="538" t="s">
        <v>2609</v>
      </c>
      <c r="C118" s="583"/>
      <c r="D118" s="583"/>
      <c r="E118" s="583"/>
      <c r="F118" s="583"/>
      <c r="G118" s="583"/>
      <c r="H118" s="583"/>
      <c r="I118" s="583"/>
      <c r="J118" s="583"/>
      <c r="K118" s="584"/>
      <c r="L118" s="585"/>
      <c r="M118" s="586"/>
      <c r="N118" s="1147"/>
      <c r="O118" s="1147"/>
      <c r="P118" s="261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18"/>
      <c r="Q119" s="504"/>
    </row>
    <row r="120" spans="1:17" s="471" customFormat="1" ht="29.4" thickTop="1">
      <c r="A120" s="593"/>
      <c r="B120" s="538" t="s">
        <v>2564</v>
      </c>
      <c r="C120" s="554"/>
      <c r="D120" s="554"/>
      <c r="E120" s="554"/>
      <c r="F120" s="554"/>
      <c r="G120" s="554"/>
      <c r="H120" s="554"/>
      <c r="I120" s="554"/>
      <c r="J120" s="554"/>
      <c r="K120" s="554"/>
      <c r="L120" s="580"/>
      <c r="M120" s="581"/>
      <c r="N120" s="1149"/>
      <c r="O120" s="1149"/>
      <c r="P120" s="2619"/>
      <c r="Q120" s="559"/>
    </row>
    <row r="121" spans="1:17" s="471" customFormat="1" ht="14.4" thickBot="1">
      <c r="A121" s="553"/>
      <c r="B121" s="535"/>
      <c r="C121" s="560"/>
      <c r="D121" s="536"/>
      <c r="E121" s="536"/>
      <c r="F121" s="536"/>
      <c r="G121" s="536"/>
      <c r="H121" s="536"/>
      <c r="I121" s="536"/>
      <c r="J121" s="536"/>
      <c r="K121" s="536"/>
      <c r="L121" s="536"/>
      <c r="M121" s="536"/>
      <c r="N121" s="1149"/>
      <c r="O121" s="1149"/>
      <c r="P121" s="2619"/>
      <c r="Q121" s="559"/>
    </row>
    <row r="122" spans="1:17" ht="15" thickTop="1">
      <c r="A122" s="599"/>
      <c r="B122" s="538" t="s">
        <v>2610</v>
      </c>
      <c r="C122" s="554"/>
      <c r="D122" s="554"/>
      <c r="E122" s="554"/>
      <c r="F122" s="583"/>
      <c r="G122" s="583"/>
      <c r="H122" s="583"/>
      <c r="I122" s="583"/>
      <c r="J122" s="583"/>
      <c r="K122" s="584"/>
      <c r="L122" s="585"/>
      <c r="M122" s="586"/>
      <c r="N122" s="1147"/>
      <c r="O122" s="1147"/>
      <c r="P122" s="261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18"/>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47"/>
      <c r="O124" s="1147"/>
      <c r="P124" s="261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8"/>
      <c r="Q125" s="504"/>
    </row>
    <row r="126" spans="1:17" s="471" customFormat="1" ht="14.4" thickTop="1">
      <c r="A126" s="593"/>
      <c r="B126" s="538">
        <f>B44</f>
        <v>111</v>
      </c>
      <c r="C126" s="554"/>
      <c r="D126" s="554"/>
      <c r="E126" s="554"/>
      <c r="F126" s="554"/>
      <c r="G126" s="554"/>
      <c r="H126" s="555"/>
      <c r="I126" s="555"/>
      <c r="J126" s="555"/>
      <c r="K126" s="555"/>
      <c r="L126" s="556"/>
      <c r="M126" s="557"/>
      <c r="N126" s="1149"/>
      <c r="O126" s="1149"/>
      <c r="P126" s="2619"/>
      <c r="Q126" s="559"/>
    </row>
    <row r="127" spans="1:17" s="471" customFormat="1" ht="14.4" thickBot="1">
      <c r="A127" s="553"/>
      <c r="B127" s="543"/>
      <c r="C127" s="560"/>
      <c r="D127" s="536"/>
      <c r="E127" s="536"/>
      <c r="F127" s="536"/>
      <c r="G127" s="560"/>
      <c r="H127" s="562"/>
      <c r="I127" s="562"/>
      <c r="J127" s="562"/>
      <c r="K127" s="562"/>
      <c r="L127" s="562"/>
      <c r="M127" s="563"/>
      <c r="N127" s="1149"/>
      <c r="O127" s="1149"/>
      <c r="P127" s="2619"/>
      <c r="Q127" s="559"/>
    </row>
    <row r="128" spans="1:17" ht="14.4" thickTop="1">
      <c r="A128" s="599"/>
      <c r="B128" s="538">
        <f>B45</f>
        <v>111</v>
      </c>
      <c r="C128" s="554"/>
      <c r="D128" s="554"/>
      <c r="E128" s="554"/>
      <c r="F128" s="554"/>
      <c r="G128" s="583"/>
      <c r="H128" s="583"/>
      <c r="I128" s="583"/>
      <c r="J128" s="583"/>
      <c r="K128" s="584"/>
      <c r="L128" s="585"/>
      <c r="M128" s="586"/>
      <c r="N128" s="1147"/>
      <c r="O128" s="1147"/>
      <c r="P128" s="2618"/>
      <c r="Q128" s="504"/>
    </row>
    <row r="129" spans="1:17" ht="14.4" thickBot="1">
      <c r="A129" s="534"/>
      <c r="B129" s="543"/>
      <c r="C129" s="560"/>
      <c r="D129" s="560"/>
      <c r="E129" s="560"/>
      <c r="F129" s="560"/>
      <c r="G129" s="536"/>
      <c r="H129" s="536"/>
      <c r="I129" s="536"/>
      <c r="J129" s="536"/>
      <c r="K129" s="536"/>
      <c r="L129" s="536"/>
      <c r="M129" s="537"/>
      <c r="N129" s="1148"/>
      <c r="O129" s="1148"/>
      <c r="P129" s="2618"/>
      <c r="Q129" s="504"/>
    </row>
    <row r="130" spans="1:17" ht="14.4" thickTop="1">
      <c r="A130" s="599"/>
      <c r="B130" s="546">
        <f>B46</f>
        <v>111</v>
      </c>
      <c r="C130" s="554"/>
      <c r="D130" s="554"/>
      <c r="E130" s="554"/>
      <c r="F130" s="554"/>
      <c r="G130" s="587"/>
      <c r="H130" s="587"/>
      <c r="I130" s="587"/>
      <c r="J130" s="587"/>
      <c r="K130" s="523"/>
      <c r="L130" s="524"/>
      <c r="M130" s="590"/>
      <c r="N130" s="1147"/>
      <c r="O130" s="1147"/>
      <c r="P130" s="2618"/>
      <c r="Q130" s="504"/>
    </row>
    <row r="131" spans="1:17" ht="14.4" thickBot="1">
      <c r="A131" s="2624"/>
      <c r="B131" s="569"/>
      <c r="C131" s="570"/>
      <c r="D131" s="570"/>
      <c r="E131" s="570"/>
      <c r="F131" s="570"/>
      <c r="G131" s="591"/>
      <c r="H131" s="591"/>
      <c r="I131" s="591"/>
      <c r="J131" s="591"/>
      <c r="K131" s="591"/>
      <c r="L131" s="591"/>
      <c r="M131" s="592"/>
      <c r="N131" s="1148"/>
      <c r="O131" s="1148"/>
      <c r="P131" s="2618"/>
      <c r="Q131" s="504"/>
    </row>
    <row r="136" spans="1:17" ht="15" thickBot="1">
      <c r="B136" s="2625" t="s">
        <v>2612</v>
      </c>
    </row>
    <row r="137" spans="1:17" ht="15">
      <c r="B137" s="2626" t="s">
        <v>2613</v>
      </c>
      <c r="C137" s="2627"/>
      <c r="D137" s="2627"/>
      <c r="E137" s="2627"/>
      <c r="F137" s="2627"/>
      <c r="G137" s="2628"/>
      <c r="H137" s="2629"/>
      <c r="I137" s="2630" t="s">
        <v>2614</v>
      </c>
      <c r="J137" s="2627"/>
      <c r="K137" s="2631"/>
    </row>
    <row r="138" spans="1:17" ht="15">
      <c r="B138" s="2632"/>
      <c r="C138" s="146" t="s">
        <v>2615</v>
      </c>
      <c r="D138" s="146" t="s">
        <v>2616</v>
      </c>
      <c r="E138" s="2633" t="s">
        <v>2617</v>
      </c>
      <c r="F138" s="2634" t="s">
        <v>2618</v>
      </c>
      <c r="G138" s="146" t="s">
        <v>2616</v>
      </c>
      <c r="H138" s="147" t="s">
        <v>2617</v>
      </c>
      <c r="I138" s="2635"/>
      <c r="J138" s="146" t="s">
        <v>2619</v>
      </c>
      <c r="K138" s="147" t="s">
        <v>2620</v>
      </c>
    </row>
    <row r="139" spans="1:17" ht="15">
      <c r="B139" s="1079">
        <v>6</v>
      </c>
      <c r="C139" s="1080">
        <v>96</v>
      </c>
      <c r="D139" s="2636" t="s">
        <v>2621</v>
      </c>
      <c r="E139" s="1081">
        <v>100</v>
      </c>
      <c r="F139" s="1082">
        <v>102.5</v>
      </c>
      <c r="G139" s="2636" t="s">
        <v>2621</v>
      </c>
      <c r="H139" s="1083">
        <v>105</v>
      </c>
      <c r="I139" s="2637" t="s">
        <v>2622</v>
      </c>
      <c r="J139" s="1080">
        <v>20</v>
      </c>
      <c r="K139" s="1084">
        <f>C145/(J139-2)</f>
        <v>4.0555555555555553E-3</v>
      </c>
    </row>
    <row r="140" spans="1:17" ht="15">
      <c r="B140" s="1085">
        <v>5</v>
      </c>
      <c r="C140" s="1086">
        <v>100</v>
      </c>
      <c r="D140" s="1086"/>
      <c r="E140" s="1087"/>
      <c r="F140" s="1088">
        <v>102</v>
      </c>
      <c r="G140" s="1086"/>
      <c r="H140" s="1089"/>
      <c r="I140" s="2638" t="s">
        <v>2623</v>
      </c>
      <c r="J140" s="315">
        <f>ROUNDUP((J139-1)/2,0)</f>
        <v>10</v>
      </c>
      <c r="K140" s="1090">
        <v>100</v>
      </c>
    </row>
    <row r="141" spans="1:17" ht="15">
      <c r="B141" s="1085">
        <v>4</v>
      </c>
      <c r="C141" s="1086">
        <v>102</v>
      </c>
      <c r="D141" s="1086"/>
      <c r="E141" s="1087"/>
      <c r="F141" s="1088">
        <v>101.5</v>
      </c>
      <c r="G141" s="1086"/>
      <c r="H141" s="1089"/>
      <c r="I141" s="2638" t="s">
        <v>2624</v>
      </c>
      <c r="J141" s="315">
        <v>1</v>
      </c>
      <c r="K141" s="1091">
        <f>ROUND(100+(J141-J140)*K139*100,1)</f>
        <v>96.4</v>
      </c>
    </row>
    <row r="142" spans="1:17" ht="15">
      <c r="B142" s="1085">
        <v>3</v>
      </c>
      <c r="C142" s="1086">
        <v>103</v>
      </c>
      <c r="D142" s="1086"/>
      <c r="E142" s="1087"/>
      <c r="F142" s="1088">
        <v>101</v>
      </c>
      <c r="G142" s="1086"/>
      <c r="H142" s="1089"/>
      <c r="I142" s="2638" t="s">
        <v>2625</v>
      </c>
      <c r="J142" s="315">
        <f>J139</f>
        <v>20</v>
      </c>
      <c r="K142" s="1092">
        <v>95</v>
      </c>
    </row>
    <row r="143" spans="1:17" ht="15">
      <c r="B143" s="1085">
        <v>2</v>
      </c>
      <c r="C143" s="1086">
        <v>100</v>
      </c>
      <c r="D143" s="1086"/>
      <c r="E143" s="1087"/>
      <c r="F143" s="1088">
        <v>100.5</v>
      </c>
      <c r="G143" s="1086"/>
      <c r="H143" s="1089"/>
      <c r="I143" s="2638" t="s">
        <v>2626</v>
      </c>
      <c r="J143" s="1086">
        <v>15</v>
      </c>
      <c r="K143" s="1091">
        <f>ROUND(100+(J143-J140)*K139*100,1)</f>
        <v>102</v>
      </c>
    </row>
    <row r="144" spans="1:17" ht="15">
      <c r="B144" s="1085">
        <v>1</v>
      </c>
      <c r="C144" s="1086">
        <v>98</v>
      </c>
      <c r="D144" s="2639" t="s">
        <v>2627</v>
      </c>
      <c r="E144" s="1087">
        <v>102</v>
      </c>
      <c r="F144" s="1093">
        <v>100</v>
      </c>
      <c r="G144" s="2639" t="s">
        <v>2627</v>
      </c>
      <c r="H144" s="1089">
        <v>105</v>
      </c>
      <c r="I144" s="2638" t="s">
        <v>2626</v>
      </c>
      <c r="J144" s="1086">
        <v>18</v>
      </c>
      <c r="K144" s="1091">
        <f>ROUND(100+(J144-J140)*K139*100,1)</f>
        <v>103.2</v>
      </c>
    </row>
    <row r="145" spans="2:11" ht="16.2" thickBot="1">
      <c r="B145" s="2640" t="s">
        <v>2628</v>
      </c>
      <c r="C145" s="1094">
        <f>ROUND(MAX(C139:C144)/MIN(C139:C144)-1,3)</f>
        <v>7.2999999999999995E-2</v>
      </c>
      <c r="D145" s="1095"/>
      <c r="E145" s="1095"/>
      <c r="F145" s="2641" t="s">
        <v>2629</v>
      </c>
      <c r="G145" s="2642"/>
      <c r="H145" s="2643"/>
      <c r="I145" s="2644" t="s">
        <v>2626</v>
      </c>
      <c r="J145" s="1096">
        <v>8</v>
      </c>
      <c r="K145" s="1097">
        <f>ROUND(100+(J145-J140)*K139*100,1)</f>
        <v>99.2</v>
      </c>
    </row>
    <row r="147" spans="2:11" ht="14.4">
      <c r="B147" s="2625" t="s">
        <v>2630</v>
      </c>
    </row>
    <row r="148" spans="2:11" ht="14.4">
      <c r="B148" s="262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2518</v>
      </c>
      <c r="B1" s="2570" t="s">
        <v>2632</v>
      </c>
      <c r="C1" s="1628" t="s">
        <v>2520</v>
      </c>
      <c r="D1" s="1615"/>
      <c r="E1" s="2645"/>
      <c r="F1" s="2572"/>
      <c r="G1" s="1625" t="s">
        <v>2633</v>
      </c>
      <c r="H1" s="1624"/>
      <c r="I1" s="1624"/>
      <c r="J1" s="1624"/>
      <c r="K1" s="1626"/>
      <c r="L1" s="1627"/>
      <c r="M1" s="1628"/>
      <c r="N1" s="1628"/>
      <c r="O1" s="1628"/>
      <c r="P1" s="2646"/>
      <c r="Q1" s="2647"/>
      <c r="R1" s="2647"/>
      <c r="S1" s="2647"/>
      <c r="T1" s="2647"/>
      <c r="U1" s="2647"/>
      <c r="V1" s="2647"/>
      <c r="W1" s="2647"/>
      <c r="X1" s="2647"/>
      <c r="Y1" s="2647"/>
      <c r="Z1" s="2647"/>
      <c r="AA1" s="2647"/>
      <c r="AB1" s="2647"/>
      <c r="AC1" s="2648"/>
    </row>
    <row r="2" spans="1:29" s="398" customFormat="1" ht="28.5" customHeight="1" thickTop="1">
      <c r="A2" s="1611" t="s">
        <v>2317</v>
      </c>
      <c r="B2" s="1413" t="e">
        <f ca="1">IF(C2="——",ROUND(C49*D3/10000,0),ROUND(C49*D3/10000,0)-D2)</f>
        <v>#DIV/0!</v>
      </c>
      <c r="C2" s="2574"/>
      <c r="D2" s="1360" t="e">
        <f ca="1">SUMIF(INDIRECT("'"&amp;F2&amp;"'"&amp;"!A:A"),"承租人权益价值",INDIRECT("'"&amp;F2&amp;"'"&amp;"!c:c"))</f>
        <v>#REF!</v>
      </c>
      <c r="E2" s="2575" t="s">
        <v>2318</v>
      </c>
      <c r="F2" s="2576"/>
      <c r="G2" s="1120"/>
      <c r="H2" s="1120"/>
      <c r="I2" s="1120"/>
      <c r="J2" s="1120"/>
      <c r="K2" s="1120"/>
      <c r="L2" s="1123"/>
      <c r="M2" s="1124"/>
      <c r="N2" s="1124"/>
      <c r="O2" s="1124"/>
      <c r="P2" s="2649"/>
      <c r="Q2" s="1124"/>
      <c r="R2" s="1124"/>
      <c r="S2" s="1124"/>
      <c r="T2" s="1124"/>
      <c r="U2" s="1124"/>
      <c r="V2" s="1124"/>
      <c r="W2" s="1124"/>
      <c r="X2" s="1124"/>
      <c r="Y2" s="1124"/>
      <c r="Z2" s="1124"/>
      <c r="AA2" s="1124"/>
      <c r="AB2" s="1124"/>
      <c r="AC2" s="2650"/>
    </row>
    <row r="3" spans="1:29" s="398" customFormat="1" ht="28.5" customHeight="1" thickBot="1">
      <c r="A3" s="247" t="s">
        <v>2319</v>
      </c>
      <c r="B3" s="609" t="e">
        <f ca="1">IF(C2="——",C49,ROUND(B2*10000/D3,0))</f>
        <v>#DIV/0!</v>
      </c>
      <c r="C3" s="400" t="s">
        <v>2634</v>
      </c>
      <c r="D3" s="399">
        <f>IF(D1="",'数据-汇总表'!E3,SUMIF('数据-汇总表'!$C19:$C33,D1,'数据-汇总表'!$E19:$E33))</f>
        <v>26881.280000000002</v>
      </c>
      <c r="E3" s="2651"/>
      <c r="F3" s="1121"/>
      <c r="G3" s="1120"/>
      <c r="H3" s="1120"/>
      <c r="I3" s="1120"/>
      <c r="J3" s="1120"/>
      <c r="K3" s="1122"/>
      <c r="L3" s="1123"/>
      <c r="M3" s="1124"/>
      <c r="N3" s="1124"/>
      <c r="O3" s="1124"/>
      <c r="P3" s="2649"/>
      <c r="Q3" s="1124"/>
      <c r="R3" s="1124"/>
      <c r="S3" s="1124"/>
      <c r="T3" s="1124"/>
      <c r="U3" s="1124"/>
      <c r="V3" s="1124"/>
      <c r="W3" s="1124"/>
      <c r="X3" s="1124"/>
      <c r="Y3" s="1124"/>
      <c r="Z3" s="1124"/>
      <c r="AA3" s="1124"/>
      <c r="AB3" s="1124"/>
      <c r="AC3" s="2651"/>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208" t="s">
        <v>2638</v>
      </c>
      <c r="AC4" s="3178" t="s">
        <v>2639</v>
      </c>
    </row>
    <row r="5" spans="1:29">
      <c r="A5" s="404"/>
      <c r="B5" s="405"/>
      <c r="C5" s="3189" t="s">
        <v>2532</v>
      </c>
      <c r="D5" s="3190"/>
      <c r="E5" s="3187" t="s">
        <v>2533</v>
      </c>
      <c r="F5" s="3188"/>
      <c r="G5" s="3189" t="s">
        <v>2534</v>
      </c>
      <c r="H5" s="3190"/>
      <c r="I5" s="3189" t="s">
        <v>2535</v>
      </c>
      <c r="J5" s="3190"/>
      <c r="K5" s="610"/>
      <c r="L5" s="1125"/>
      <c r="M5" s="1126"/>
      <c r="N5" s="1126"/>
      <c r="O5" s="1126"/>
      <c r="P5" s="3202"/>
      <c r="Q5" s="3203"/>
      <c r="R5" s="3185"/>
      <c r="S5" s="3186"/>
      <c r="T5" s="3185"/>
      <c r="U5" s="3186"/>
      <c r="V5" s="3208"/>
      <c r="W5" s="3208"/>
      <c r="X5" s="1799"/>
      <c r="Y5" s="3185"/>
      <c r="Z5" s="3186"/>
      <c r="AA5" s="3179"/>
      <c r="AB5" s="3208"/>
      <c r="AC5" s="3179"/>
    </row>
    <row r="6" spans="1:29" ht="15" thickBot="1">
      <c r="A6" s="406"/>
      <c r="B6" s="407"/>
      <c r="C6" s="3191" t="s">
        <v>2536</v>
      </c>
      <c r="D6" s="3192"/>
      <c r="E6" s="3193" t="s">
        <v>2536</v>
      </c>
      <c r="F6" s="3194"/>
      <c r="G6" s="3191" t="s">
        <v>2536</v>
      </c>
      <c r="H6" s="3192"/>
      <c r="I6" s="3191" t="s">
        <v>2536</v>
      </c>
      <c r="J6" s="3192"/>
      <c r="K6" s="610" t="s">
        <v>2537</v>
      </c>
      <c r="L6" s="1125"/>
      <c r="M6" s="1126"/>
      <c r="N6" s="1126"/>
      <c r="O6" s="1126"/>
      <c r="P6" s="3204"/>
      <c r="Q6" s="3205"/>
      <c r="R6" s="3185"/>
      <c r="S6" s="3186"/>
      <c r="T6" s="3206"/>
      <c r="U6" s="3207"/>
      <c r="V6" s="3208"/>
      <c r="W6" s="3208"/>
      <c r="X6" s="1799"/>
      <c r="Y6" s="3206"/>
      <c r="Z6" s="3207"/>
      <c r="AA6" s="3180"/>
      <c r="AB6" s="3208"/>
      <c r="AC6" s="3180"/>
    </row>
    <row r="7" spans="1:29" s="117" customFormat="1" ht="15" thickBot="1">
      <c r="A7" s="408" t="s">
        <v>2538</v>
      </c>
      <c r="B7" s="409"/>
      <c r="C7" s="410">
        <f>'数据-取费表'!B2</f>
        <v>44020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81" t="s">
        <v>2539</v>
      </c>
      <c r="Q7" s="3209"/>
      <c r="R7" s="770" t="s">
        <v>17</v>
      </c>
      <c r="S7" s="771">
        <f t="shared" ref="S7:S15" si="0">F7</f>
        <v>0</v>
      </c>
      <c r="T7" s="770" t="s">
        <v>17</v>
      </c>
      <c r="U7" s="771">
        <f t="shared" ref="U7:U15" si="1">H7</f>
        <v>0</v>
      </c>
      <c r="V7" s="770" t="s">
        <v>17</v>
      </c>
      <c r="W7" s="771">
        <f t="shared" ref="W7:W15" si="2">J7</f>
        <v>0</v>
      </c>
      <c r="X7" s="772"/>
      <c r="Y7" s="3181" t="s">
        <v>2539</v>
      </c>
      <c r="Z7" s="3182"/>
      <c r="AA7" s="773" t="e">
        <f>D7/F7</f>
        <v>#DIV/0!</v>
      </c>
      <c r="AB7" s="773" t="e">
        <f>D7/H7</f>
        <v>#DIV/0!</v>
      </c>
      <c r="AC7" s="773" t="e">
        <f>D7/J7</f>
        <v>#DIV/0!</v>
      </c>
    </row>
    <row r="8" spans="1:29" s="117" customFormat="1" ht="1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81" t="s">
        <v>2542</v>
      </c>
      <c r="Q8" s="3182"/>
      <c r="R8" s="770" t="s">
        <v>17</v>
      </c>
      <c r="S8" s="771">
        <f t="shared" si="0"/>
        <v>0</v>
      </c>
      <c r="T8" s="770" t="s">
        <v>17</v>
      </c>
      <c r="U8" s="771">
        <f t="shared" si="1"/>
        <v>0</v>
      </c>
      <c r="V8" s="770" t="s">
        <v>17</v>
      </c>
      <c r="W8" s="771">
        <f t="shared" si="2"/>
        <v>0</v>
      </c>
      <c r="X8" s="772"/>
      <c r="Y8" s="3181" t="s">
        <v>2542</v>
      </c>
      <c r="Z8" s="3182"/>
      <c r="AA8" s="773" t="e">
        <f t="shared" ref="AA8:AA46" si="3">D8/F8</f>
        <v>#DIV/0!</v>
      </c>
      <c r="AB8" s="773" t="e">
        <f t="shared" ref="AB8:AB46" si="4">D8/H8</f>
        <v>#DIV/0!</v>
      </c>
      <c r="AC8" s="773" t="e">
        <f t="shared" ref="AC8:AC46" si="5">D8/J8</f>
        <v>#DIV/0!</v>
      </c>
    </row>
    <row r="9" spans="1:29" s="117" customFormat="1" ht="14.4">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19"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773">
        <f t="shared" si="5"/>
        <v>1</v>
      </c>
    </row>
    <row r="10" spans="1:29" s="427" customFormat="1" ht="28.8">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19"/>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19"/>
      <c r="Q11" s="1781"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19"/>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19"/>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6"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19"/>
      <c r="Q14" s="1781">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2549</v>
      </c>
      <c r="B15" s="69" t="s">
        <v>2643</v>
      </c>
      <c r="C15" s="259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54" t="s">
        <v>2550</v>
      </c>
      <c r="Q15" s="1796" t="str">
        <f t="shared" si="6"/>
        <v>商业繁华度</v>
      </c>
      <c r="R15" s="774" t="s">
        <v>17</v>
      </c>
      <c r="S15" s="775">
        <f t="shared" si="0"/>
        <v>100</v>
      </c>
      <c r="T15" s="774" t="s">
        <v>17</v>
      </c>
      <c r="U15" s="775">
        <f t="shared" si="1"/>
        <v>100</v>
      </c>
      <c r="V15" s="774" t="s">
        <v>17</v>
      </c>
      <c r="W15" s="775">
        <f t="shared" si="2"/>
        <v>100</v>
      </c>
      <c r="X15" s="1799"/>
      <c r="Y15" s="3210" t="s">
        <v>2550</v>
      </c>
      <c r="Z15" s="1800" t="str">
        <f t="shared" si="7"/>
        <v>商业繁华度</v>
      </c>
      <c r="AA15" s="1797">
        <f t="shared" si="3"/>
        <v>1</v>
      </c>
      <c r="AB15" s="1797">
        <f t="shared" si="4"/>
        <v>1</v>
      </c>
      <c r="AC15" s="1797">
        <f t="shared" si="5"/>
        <v>1</v>
      </c>
    </row>
    <row r="16" spans="1:29" ht="15">
      <c r="A16" s="428"/>
      <c r="B16" s="446"/>
      <c r="C16" s="447"/>
      <c r="D16" s="448"/>
      <c r="E16" s="447"/>
      <c r="F16" s="449"/>
      <c r="G16" s="447"/>
      <c r="H16" s="450"/>
      <c r="I16" s="447"/>
      <c r="J16" s="448"/>
      <c r="K16" s="615"/>
      <c r="L16" s="1135"/>
      <c r="M16" s="1126"/>
      <c r="N16" s="1126"/>
      <c r="O16" s="1126"/>
      <c r="P16" s="3255"/>
      <c r="Q16" s="1796"/>
      <c r="R16" s="774"/>
      <c r="S16" s="775"/>
      <c r="T16" s="774"/>
      <c r="U16" s="775"/>
      <c r="V16" s="774"/>
      <c r="W16" s="775"/>
      <c r="X16" s="1799"/>
      <c r="Y16" s="3211"/>
      <c r="Z16" s="1800"/>
      <c r="AA16" s="1797">
        <v>1</v>
      </c>
      <c r="AB16" s="1797">
        <v>1</v>
      </c>
      <c r="AC16" s="1797">
        <v>1</v>
      </c>
    </row>
    <row r="17" spans="1:29" ht="15">
      <c r="A17" s="428"/>
      <c r="B17" s="451" t="s">
        <v>2089</v>
      </c>
      <c r="C17" s="259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55"/>
      <c r="Q17" s="1796" t="str">
        <f>B17</f>
        <v>交通便捷度</v>
      </c>
      <c r="R17" s="774" t="s">
        <v>17</v>
      </c>
      <c r="S17" s="775">
        <f>F17</f>
        <v>100</v>
      </c>
      <c r="T17" s="774" t="s">
        <v>17</v>
      </c>
      <c r="U17" s="775">
        <f>H17</f>
        <v>100</v>
      </c>
      <c r="V17" s="774" t="s">
        <v>17</v>
      </c>
      <c r="W17" s="775">
        <f>J17</f>
        <v>100</v>
      </c>
      <c r="X17" s="1799"/>
      <c r="Y17" s="3211"/>
      <c r="Z17" s="1800" t="str">
        <f>Q17</f>
        <v>交通便捷度</v>
      </c>
      <c r="AA17" s="1797">
        <f t="shared" si="3"/>
        <v>1</v>
      </c>
      <c r="AB17" s="1797">
        <f t="shared" si="4"/>
        <v>1</v>
      </c>
      <c r="AC17" s="1797">
        <f t="shared" si="5"/>
        <v>1</v>
      </c>
    </row>
    <row r="18" spans="1:29" ht="15">
      <c r="A18" s="428"/>
      <c r="B18" s="456"/>
      <c r="C18" s="2596"/>
      <c r="D18" s="450"/>
      <c r="E18" s="2598"/>
      <c r="F18" s="453"/>
      <c r="G18" s="2597"/>
      <c r="H18" s="448"/>
      <c r="I18" s="2598"/>
      <c r="J18" s="448"/>
      <c r="K18" s="615"/>
      <c r="L18" s="1135"/>
      <c r="M18" s="1126"/>
      <c r="N18" s="1126"/>
      <c r="O18" s="1126"/>
      <c r="P18" s="3255"/>
      <c r="Q18" s="1796"/>
      <c r="R18" s="774"/>
      <c r="S18" s="775"/>
      <c r="T18" s="774"/>
      <c r="U18" s="775"/>
      <c r="V18" s="774"/>
      <c r="W18" s="775"/>
      <c r="X18" s="1799"/>
      <c r="Y18" s="3211"/>
      <c r="Z18" s="1800"/>
      <c r="AA18" s="1797">
        <v>1</v>
      </c>
      <c r="AB18" s="1797">
        <v>1</v>
      </c>
      <c r="AC18" s="1797">
        <v>1</v>
      </c>
    </row>
    <row r="19" spans="1:29" ht="15">
      <c r="A19" s="428"/>
      <c r="B19" s="451" t="s">
        <v>2644</v>
      </c>
      <c r="C19" s="259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55"/>
      <c r="Q19" s="1796" t="str">
        <f>B19</f>
        <v>公共配套设施</v>
      </c>
      <c r="R19" s="774" t="s">
        <v>17</v>
      </c>
      <c r="S19" s="775">
        <f>F19</f>
        <v>100</v>
      </c>
      <c r="T19" s="774" t="s">
        <v>17</v>
      </c>
      <c r="U19" s="775">
        <f>H19</f>
        <v>100</v>
      </c>
      <c r="V19" s="774" t="s">
        <v>17</v>
      </c>
      <c r="W19" s="775">
        <f>J19</f>
        <v>100</v>
      </c>
      <c r="X19" s="1799"/>
      <c r="Y19" s="3211"/>
      <c r="Z19" s="1800" t="str">
        <f>Q19</f>
        <v>公共配套设施</v>
      </c>
      <c r="AA19" s="1797">
        <f t="shared" si="3"/>
        <v>1</v>
      </c>
      <c r="AB19" s="1797">
        <f t="shared" si="4"/>
        <v>1</v>
      </c>
      <c r="AC19" s="1797">
        <f t="shared" si="5"/>
        <v>1</v>
      </c>
    </row>
    <row r="20" spans="1:29" ht="15">
      <c r="A20" s="428"/>
      <c r="B20" s="456"/>
      <c r="C20" s="447"/>
      <c r="D20" s="448"/>
      <c r="E20" s="2593"/>
      <c r="F20" s="449"/>
      <c r="G20" s="2592"/>
      <c r="H20" s="448"/>
      <c r="I20" s="2593"/>
      <c r="J20" s="448"/>
      <c r="K20" s="615"/>
      <c r="L20" s="1135"/>
      <c r="M20" s="1126"/>
      <c r="N20" s="1126"/>
      <c r="O20" s="1126"/>
      <c r="P20" s="3255"/>
      <c r="Q20" s="1796"/>
      <c r="R20" s="774"/>
      <c r="S20" s="775"/>
      <c r="T20" s="774"/>
      <c r="U20" s="775"/>
      <c r="V20" s="774"/>
      <c r="W20" s="775"/>
      <c r="X20" s="1799"/>
      <c r="Y20" s="3211"/>
      <c r="Z20" s="1800"/>
      <c r="AA20" s="1797">
        <v>1</v>
      </c>
      <c r="AB20" s="1797">
        <v>1</v>
      </c>
      <c r="AC20" s="1797">
        <v>1</v>
      </c>
    </row>
    <row r="21" spans="1:29" ht="15">
      <c r="A21" s="428"/>
      <c r="B21" s="1379" t="s">
        <v>2645</v>
      </c>
      <c r="C21" s="259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55"/>
      <c r="Q21" s="1796" t="str">
        <f>B21</f>
        <v>基础设施水平</v>
      </c>
      <c r="R21" s="774" t="s">
        <v>17</v>
      </c>
      <c r="S21" s="775">
        <f>F21</f>
        <v>100</v>
      </c>
      <c r="T21" s="774" t="s">
        <v>17</v>
      </c>
      <c r="U21" s="775">
        <f>H21</f>
        <v>100</v>
      </c>
      <c r="V21" s="774" t="s">
        <v>17</v>
      </c>
      <c r="W21" s="775">
        <f>J21</f>
        <v>100</v>
      </c>
      <c r="X21" s="1799"/>
      <c r="Y21" s="3211"/>
      <c r="Z21" s="1800" t="str">
        <f>Q21</f>
        <v>基础设施水平</v>
      </c>
      <c r="AA21" s="1797">
        <f t="shared" ref="AA21" si="8">D21/F21</f>
        <v>1</v>
      </c>
      <c r="AB21" s="1797">
        <f t="shared" ref="AB21" si="9">D21/H21</f>
        <v>1</v>
      </c>
      <c r="AC21" s="1797">
        <f t="shared" ref="AC21" si="10">D21/J21</f>
        <v>1</v>
      </c>
    </row>
    <row r="22" spans="1:29" ht="15">
      <c r="A22" s="428"/>
      <c r="B22" s="1379"/>
      <c r="C22" s="2596"/>
      <c r="D22" s="448"/>
      <c r="E22" s="447"/>
      <c r="F22" s="449"/>
      <c r="G22" s="447"/>
      <c r="H22" s="448"/>
      <c r="I22" s="447"/>
      <c r="J22" s="448"/>
      <c r="K22" s="1378"/>
      <c r="L22" s="1135"/>
      <c r="M22" s="1126"/>
      <c r="N22" s="1126"/>
      <c r="O22" s="1126"/>
      <c r="P22" s="3255"/>
      <c r="Q22" s="1796"/>
      <c r="R22" s="774"/>
      <c r="S22" s="775"/>
      <c r="T22" s="774"/>
      <c r="U22" s="775"/>
      <c r="V22" s="774"/>
      <c r="W22" s="775"/>
      <c r="X22" s="1799"/>
      <c r="Y22" s="3211"/>
      <c r="Z22" s="1800"/>
      <c r="AA22" s="1797">
        <v>1</v>
      </c>
      <c r="AB22" s="1797">
        <v>1</v>
      </c>
      <c r="AC22" s="1797">
        <v>1</v>
      </c>
    </row>
    <row r="23" spans="1:29" ht="15">
      <c r="A23" s="428"/>
      <c r="B23" s="451" t="s">
        <v>2092</v>
      </c>
      <c r="C23" s="265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55"/>
      <c r="Q23" s="1796" t="str">
        <f>B23</f>
        <v>自然及人文环境</v>
      </c>
      <c r="R23" s="774" t="s">
        <v>17</v>
      </c>
      <c r="S23" s="775">
        <f>F23</f>
        <v>100</v>
      </c>
      <c r="T23" s="774" t="s">
        <v>17</v>
      </c>
      <c r="U23" s="775">
        <f>H23</f>
        <v>100</v>
      </c>
      <c r="V23" s="774" t="s">
        <v>17</v>
      </c>
      <c r="W23" s="775">
        <f>J23</f>
        <v>100</v>
      </c>
      <c r="X23" s="1799"/>
      <c r="Y23" s="3211"/>
      <c r="Z23" s="1800" t="str">
        <f>Q23</f>
        <v>自然及人文环境</v>
      </c>
      <c r="AA23" s="1797">
        <f t="shared" si="3"/>
        <v>1</v>
      </c>
      <c r="AB23" s="1797">
        <f t="shared" si="4"/>
        <v>1</v>
      </c>
      <c r="AC23" s="1797">
        <f t="shared" si="5"/>
        <v>1</v>
      </c>
    </row>
    <row r="24" spans="1:29" ht="15">
      <c r="A24" s="428"/>
      <c r="B24" s="456"/>
      <c r="C24" s="447"/>
      <c r="D24" s="448"/>
      <c r="E24" s="2593"/>
      <c r="F24" s="449"/>
      <c r="G24" s="2592"/>
      <c r="H24" s="448"/>
      <c r="I24" s="2593"/>
      <c r="J24" s="448"/>
      <c r="K24" s="615"/>
      <c r="L24" s="1135"/>
      <c r="M24" s="1126"/>
      <c r="N24" s="1126"/>
      <c r="O24" s="1126"/>
      <c r="P24" s="3255"/>
      <c r="Q24" s="1796"/>
      <c r="R24" s="774"/>
      <c r="S24" s="775"/>
      <c r="T24" s="774"/>
      <c r="U24" s="775"/>
      <c r="V24" s="774"/>
      <c r="W24" s="775"/>
      <c r="X24" s="1799"/>
      <c r="Y24" s="3211"/>
      <c r="Z24" s="1800"/>
      <c r="AA24" s="1797">
        <v>1</v>
      </c>
      <c r="AB24" s="1797">
        <v>1</v>
      </c>
      <c r="AC24" s="1797">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55"/>
      <c r="Q25" s="1796" t="str">
        <f t="shared" ref="Q25:Q46" si="11">B25</f>
        <v>临街状况</v>
      </c>
      <c r="R25" s="774" t="s">
        <v>17</v>
      </c>
      <c r="S25" s="775">
        <f>F25</f>
        <v>100</v>
      </c>
      <c r="T25" s="774" t="s">
        <v>17</v>
      </c>
      <c r="U25" s="775">
        <f>H25</f>
        <v>100</v>
      </c>
      <c r="V25" s="774" t="s">
        <v>17</v>
      </c>
      <c r="W25" s="775">
        <f>J25</f>
        <v>100</v>
      </c>
      <c r="X25" s="1799"/>
      <c r="Y25" s="3211"/>
      <c r="Z25" s="1800" t="str">
        <f>Q25</f>
        <v>临街状况</v>
      </c>
      <c r="AA25" s="1797">
        <f t="shared" si="3"/>
        <v>1</v>
      </c>
      <c r="AB25" s="1797">
        <f t="shared" si="4"/>
        <v>1</v>
      </c>
      <c r="AC25" s="1797">
        <f t="shared" si="5"/>
        <v>1</v>
      </c>
    </row>
    <row r="26" spans="1:29" ht="15">
      <c r="A26" s="428"/>
      <c r="B26" s="1381" t="s">
        <v>2647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55"/>
      <c r="Q26" s="1796" t="str">
        <f t="shared" si="11"/>
        <v>平面位置/可视性</v>
      </c>
      <c r="R26" s="774" t="s">
        <v>17</v>
      </c>
      <c r="S26" s="775">
        <f>F26</f>
        <v>100</v>
      </c>
      <c r="T26" s="774" t="s">
        <v>17</v>
      </c>
      <c r="U26" s="775">
        <f>H26</f>
        <v>100</v>
      </c>
      <c r="V26" s="774" t="s">
        <v>17</v>
      </c>
      <c r="W26" s="775">
        <f>J26</f>
        <v>100</v>
      </c>
      <c r="X26" s="1799"/>
      <c r="Y26" s="3211"/>
      <c r="Z26" s="1800" t="str">
        <f>Q26</f>
        <v>平面位置/可视性</v>
      </c>
      <c r="AA26" s="1797">
        <f t="shared" si="3"/>
        <v>1</v>
      </c>
      <c r="AB26" s="1797">
        <f t="shared" si="4"/>
        <v>1</v>
      </c>
      <c r="AC26" s="1797">
        <f t="shared" si="5"/>
        <v>1</v>
      </c>
    </row>
    <row r="27" spans="1:29" s="117" customFormat="1" ht="15">
      <c r="A27" s="431"/>
      <c r="B27" s="451" t="s">
        <v>2648</v>
      </c>
      <c r="C27" s="2653"/>
      <c r="D27" s="462">
        <v>100</v>
      </c>
      <c r="E27" s="2653"/>
      <c r="F27" s="464">
        <f>SUMIF(90:90,E27,91:91)-SUMIF(90:90,C27,91:91)+100</f>
        <v>100</v>
      </c>
      <c r="G27" s="2653"/>
      <c r="H27" s="462">
        <f>SUMIF(90:90,G27,91:91)-SUMIF(90:90,C27,91:91)+100</f>
        <v>100</v>
      </c>
      <c r="I27" s="2653"/>
      <c r="J27" s="462">
        <f>SUMIF(90:90,I27,91:91)-SUMIF(90:90,C27,91:91)+100</f>
        <v>100</v>
      </c>
      <c r="K27" s="612"/>
      <c r="L27" s="1127"/>
      <c r="M27" s="1128"/>
      <c r="N27" s="1128"/>
      <c r="O27" s="1128"/>
      <c r="P27" s="3255"/>
      <c r="Q27" s="1781" t="str">
        <f t="shared" si="11"/>
        <v>人流量</v>
      </c>
      <c r="R27" s="770" t="s">
        <v>17</v>
      </c>
      <c r="S27" s="771">
        <f>F27</f>
        <v>100</v>
      </c>
      <c r="T27" s="770" t="s">
        <v>17</v>
      </c>
      <c r="U27" s="771">
        <f>H27</f>
        <v>100</v>
      </c>
      <c r="V27" s="770" t="s">
        <v>17</v>
      </c>
      <c r="W27" s="771">
        <f>J27</f>
        <v>100</v>
      </c>
      <c r="X27" s="772"/>
      <c r="Y27" s="3211"/>
      <c r="Z27" s="55" t="str">
        <f>Q27</f>
        <v>人流量</v>
      </c>
      <c r="AA27" s="1797">
        <f>D27/F27</f>
        <v>1</v>
      </c>
      <c r="AB27" s="1797">
        <f>D27/H27</f>
        <v>1</v>
      </c>
      <c r="AC27" s="1797">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55"/>
      <c r="Q28" s="1796" t="str">
        <f t="shared" si="11"/>
        <v>楼层</v>
      </c>
      <c r="R28" s="774" t="s">
        <v>17</v>
      </c>
      <c r="S28" s="775">
        <f t="shared" ref="S28:S46" si="12">F28</f>
        <v>100</v>
      </c>
      <c r="T28" s="774" t="s">
        <v>17</v>
      </c>
      <c r="U28" s="775">
        <f t="shared" ref="U28:U46" si="13">H28</f>
        <v>100</v>
      </c>
      <c r="V28" s="774" t="s">
        <v>17</v>
      </c>
      <c r="W28" s="775">
        <f t="shared" ref="W28:W46" si="14">J28</f>
        <v>100</v>
      </c>
      <c r="X28" s="1799"/>
      <c r="Y28" s="3211"/>
      <c r="Z28" s="1800" t="str">
        <f t="shared" ref="Z28:Z46" si="15">Q28</f>
        <v>楼层</v>
      </c>
      <c r="AA28" s="1797">
        <f t="shared" si="3"/>
        <v>1</v>
      </c>
      <c r="AB28" s="1797">
        <f t="shared" si="4"/>
        <v>1</v>
      </c>
      <c r="AC28" s="1797">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55"/>
      <c r="Q29" s="1796">
        <f t="shared" si="11"/>
        <v>111</v>
      </c>
      <c r="R29" s="774" t="s">
        <v>17</v>
      </c>
      <c r="S29" s="775">
        <f t="shared" si="12"/>
        <v>100</v>
      </c>
      <c r="T29" s="774" t="s">
        <v>17</v>
      </c>
      <c r="U29" s="775">
        <f t="shared" si="13"/>
        <v>100</v>
      </c>
      <c r="V29" s="774" t="s">
        <v>17</v>
      </c>
      <c r="W29" s="775">
        <f t="shared" si="14"/>
        <v>100</v>
      </c>
      <c r="X29" s="1799"/>
      <c r="Y29" s="3211"/>
      <c r="Z29" s="1800">
        <f t="shared" si="15"/>
        <v>111</v>
      </c>
      <c r="AA29" s="1797">
        <f t="shared" si="3"/>
        <v>1</v>
      </c>
      <c r="AB29" s="1797">
        <f t="shared" si="4"/>
        <v>1</v>
      </c>
      <c r="AC29" s="1797">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55"/>
      <c r="Q30" s="1796">
        <f t="shared" si="11"/>
        <v>111</v>
      </c>
      <c r="R30" s="774" t="s">
        <v>17</v>
      </c>
      <c r="S30" s="775">
        <f t="shared" si="12"/>
        <v>100</v>
      </c>
      <c r="T30" s="774" t="s">
        <v>17</v>
      </c>
      <c r="U30" s="775">
        <f t="shared" si="13"/>
        <v>100</v>
      </c>
      <c r="V30" s="774" t="s">
        <v>17</v>
      </c>
      <c r="W30" s="775">
        <f t="shared" si="14"/>
        <v>100</v>
      </c>
      <c r="X30" s="1799"/>
      <c r="Y30" s="3211"/>
      <c r="Z30" s="1800">
        <f t="shared" si="15"/>
        <v>111</v>
      </c>
      <c r="AA30" s="1797">
        <f t="shared" si="3"/>
        <v>1</v>
      </c>
      <c r="AB30" s="1797">
        <f t="shared" si="4"/>
        <v>1</v>
      </c>
      <c r="AC30" s="1797">
        <f t="shared" si="5"/>
        <v>1</v>
      </c>
    </row>
    <row r="31" spans="1:29" ht="15.6"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55"/>
      <c r="Q31" s="1796">
        <f t="shared" si="11"/>
        <v>111</v>
      </c>
      <c r="R31" s="774" t="s">
        <v>17</v>
      </c>
      <c r="S31" s="775">
        <f t="shared" si="12"/>
        <v>100</v>
      </c>
      <c r="T31" s="774" t="s">
        <v>17</v>
      </c>
      <c r="U31" s="775">
        <f t="shared" si="13"/>
        <v>100</v>
      </c>
      <c r="V31" s="774" t="s">
        <v>17</v>
      </c>
      <c r="W31" s="775">
        <f t="shared" si="14"/>
        <v>100</v>
      </c>
      <c r="X31" s="1799"/>
      <c r="Y31" s="3211"/>
      <c r="Z31" s="1800">
        <f t="shared" si="15"/>
        <v>111</v>
      </c>
      <c r="AA31" s="1797">
        <f t="shared" si="3"/>
        <v>1</v>
      </c>
      <c r="AB31" s="1797">
        <f t="shared" si="4"/>
        <v>1</v>
      </c>
      <c r="AC31" s="1797">
        <f t="shared" si="5"/>
        <v>1</v>
      </c>
    </row>
    <row r="32" spans="1:29" ht="15">
      <c r="A32" s="440" t="s">
        <v>2553</v>
      </c>
      <c r="B32" s="71" t="s">
        <v>2650</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35"/>
      <c r="M32" s="1126"/>
      <c r="N32" s="1126"/>
      <c r="O32" s="1126"/>
      <c r="P32" s="3250" t="s">
        <v>2555</v>
      </c>
      <c r="Q32" s="1796" t="str">
        <f t="shared" si="11"/>
        <v>商业类型</v>
      </c>
      <c r="R32" s="774" t="s">
        <v>17</v>
      </c>
      <c r="S32" s="775">
        <f t="shared" si="12"/>
        <v>100</v>
      </c>
      <c r="T32" s="774" t="s">
        <v>17</v>
      </c>
      <c r="U32" s="775">
        <f t="shared" si="13"/>
        <v>100</v>
      </c>
      <c r="V32" s="774" t="s">
        <v>17</v>
      </c>
      <c r="W32" s="775">
        <f t="shared" si="14"/>
        <v>100</v>
      </c>
      <c r="X32" s="1799"/>
      <c r="Y32" s="3213" t="s">
        <v>2555</v>
      </c>
      <c r="Z32" s="1800" t="str">
        <f t="shared" si="15"/>
        <v>商业类型</v>
      </c>
      <c r="AA32" s="1797">
        <f t="shared" si="3"/>
        <v>1</v>
      </c>
      <c r="AB32" s="1797">
        <f t="shared" si="4"/>
        <v>1</v>
      </c>
      <c r="AC32" s="1797">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5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797" t="e">
        <f t="shared" si="3"/>
        <v>#N/A</v>
      </c>
      <c r="AB33" s="1797" t="e">
        <f t="shared" si="4"/>
        <v>#N/A</v>
      </c>
      <c r="AC33" s="1797" t="e">
        <f t="shared" si="5"/>
        <v>#N/A</v>
      </c>
    </row>
    <row r="34" spans="1:29" ht="15">
      <c r="A34" s="472"/>
      <c r="B34" s="422" t="s">
        <v>2557</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35"/>
      <c r="M34" s="1126"/>
      <c r="N34" s="1126"/>
      <c r="O34" s="1126"/>
      <c r="P34" s="3251"/>
      <c r="Q34" s="1796" t="str">
        <f t="shared" si="11"/>
        <v>建筑结构</v>
      </c>
      <c r="R34" s="774" t="s">
        <v>17</v>
      </c>
      <c r="S34" s="775">
        <f t="shared" si="12"/>
        <v>100</v>
      </c>
      <c r="T34" s="774" t="s">
        <v>17</v>
      </c>
      <c r="U34" s="775">
        <f t="shared" si="13"/>
        <v>100</v>
      </c>
      <c r="V34" s="774" t="s">
        <v>17</v>
      </c>
      <c r="W34" s="775">
        <f t="shared" si="14"/>
        <v>100</v>
      </c>
      <c r="X34" s="1799"/>
      <c r="Y34" s="3213"/>
      <c r="Z34" s="1800" t="str">
        <f t="shared" si="15"/>
        <v>建筑结构</v>
      </c>
      <c r="AA34" s="1797">
        <f t="shared" si="3"/>
        <v>1</v>
      </c>
      <c r="AB34" s="1797">
        <f t="shared" si="4"/>
        <v>1</v>
      </c>
      <c r="AC34" s="1797">
        <f t="shared" si="5"/>
        <v>1</v>
      </c>
    </row>
    <row r="35" spans="1:29" ht="15">
      <c r="A35" s="472"/>
      <c r="B35" s="422" t="s">
        <v>2651</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35"/>
      <c r="M35" s="1126"/>
      <c r="N35" s="1126"/>
      <c r="O35" s="1126"/>
      <c r="P35" s="3251"/>
      <c r="Q35" s="1796" t="str">
        <f t="shared" si="11"/>
        <v>公共部分装修</v>
      </c>
      <c r="R35" s="774" t="s">
        <v>17</v>
      </c>
      <c r="S35" s="775">
        <f t="shared" si="12"/>
        <v>100</v>
      </c>
      <c r="T35" s="774" t="s">
        <v>17</v>
      </c>
      <c r="U35" s="775">
        <f t="shared" si="13"/>
        <v>100</v>
      </c>
      <c r="V35" s="774" t="s">
        <v>17</v>
      </c>
      <c r="W35" s="775">
        <f t="shared" si="14"/>
        <v>100</v>
      </c>
      <c r="X35" s="1799"/>
      <c r="Y35" s="3213"/>
      <c r="Z35" s="1800" t="str">
        <f t="shared" si="15"/>
        <v>公共部分装修</v>
      </c>
      <c r="AA35" s="1797">
        <f t="shared" si="3"/>
        <v>1</v>
      </c>
      <c r="AB35" s="1797">
        <f t="shared" si="4"/>
        <v>1</v>
      </c>
      <c r="AC35" s="1797">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51"/>
      <c r="Q36" s="1796" t="str">
        <f t="shared" si="11"/>
        <v>成新度</v>
      </c>
      <c r="R36" s="774" t="s">
        <v>17</v>
      </c>
      <c r="S36" s="775" t="e">
        <f t="shared" si="12"/>
        <v>#N/A</v>
      </c>
      <c r="T36" s="774" t="s">
        <v>17</v>
      </c>
      <c r="U36" s="775" t="e">
        <f t="shared" si="13"/>
        <v>#N/A</v>
      </c>
      <c r="V36" s="774" t="s">
        <v>17</v>
      </c>
      <c r="W36" s="775" t="e">
        <f t="shared" si="14"/>
        <v>#N/A</v>
      </c>
      <c r="X36" s="1799"/>
      <c r="Y36" s="3213"/>
      <c r="Z36" s="1800" t="str">
        <f t="shared" si="15"/>
        <v>成新度</v>
      </c>
      <c r="AA36" s="1797" t="e">
        <f t="shared" si="3"/>
        <v>#N/A</v>
      </c>
      <c r="AB36" s="1797" t="e">
        <f t="shared" si="4"/>
        <v>#N/A</v>
      </c>
      <c r="AC36" s="1797" t="e">
        <f t="shared" si="5"/>
        <v>#N/A</v>
      </c>
    </row>
    <row r="37" spans="1:29" s="117" customFormat="1" ht="15">
      <c r="A37" s="473"/>
      <c r="B37" s="422" t="s">
        <v>2653</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27"/>
      <c r="M37" s="1128"/>
      <c r="N37" s="1128"/>
      <c r="O37" s="1128"/>
      <c r="P37" s="3251"/>
      <c r="Q37" s="1781"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2654</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35"/>
      <c r="M38" s="1126"/>
      <c r="N38" s="1126"/>
      <c r="O38" s="1126"/>
      <c r="P38" s="3251" t="s">
        <v>2555</v>
      </c>
      <c r="Q38" s="1796" t="str">
        <f t="shared" si="11"/>
        <v>业态</v>
      </c>
      <c r="R38" s="774" t="s">
        <v>17</v>
      </c>
      <c r="S38" s="775">
        <f t="shared" si="12"/>
        <v>100</v>
      </c>
      <c r="T38" s="774" t="s">
        <v>17</v>
      </c>
      <c r="U38" s="775">
        <f t="shared" si="13"/>
        <v>100</v>
      </c>
      <c r="V38" s="774" t="s">
        <v>17</v>
      </c>
      <c r="W38" s="775">
        <f t="shared" si="14"/>
        <v>100</v>
      </c>
      <c r="X38" s="1799"/>
      <c r="Y38" s="3213" t="s">
        <v>2555</v>
      </c>
      <c r="Z38" s="1800" t="str">
        <f t="shared" si="15"/>
        <v>业态</v>
      </c>
      <c r="AA38" s="1797">
        <f t="shared" si="3"/>
        <v>1</v>
      </c>
      <c r="AB38" s="1797">
        <f t="shared" si="4"/>
        <v>1</v>
      </c>
      <c r="AC38" s="1797">
        <f t="shared" si="5"/>
        <v>1</v>
      </c>
    </row>
    <row r="39" spans="1:29" ht="15">
      <c r="A39" s="472"/>
      <c r="B39" s="422" t="s">
        <v>2655</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35"/>
      <c r="M39" s="1126"/>
      <c r="N39" s="1126"/>
      <c r="O39" s="1126"/>
      <c r="P39" s="3251"/>
      <c r="Q39" s="1796" t="str">
        <f t="shared" si="11"/>
        <v>层高</v>
      </c>
      <c r="R39" s="774" t="s">
        <v>17</v>
      </c>
      <c r="S39" s="775">
        <f t="shared" si="12"/>
        <v>100</v>
      </c>
      <c r="T39" s="774" t="s">
        <v>17</v>
      </c>
      <c r="U39" s="775">
        <f t="shared" si="13"/>
        <v>100</v>
      </c>
      <c r="V39" s="774" t="s">
        <v>17</v>
      </c>
      <c r="W39" s="775">
        <f t="shared" si="14"/>
        <v>100</v>
      </c>
      <c r="X39" s="1799"/>
      <c r="Y39" s="3213"/>
      <c r="Z39" s="1800" t="str">
        <f t="shared" si="15"/>
        <v>层高</v>
      </c>
      <c r="AA39" s="1797">
        <f t="shared" si="3"/>
        <v>1</v>
      </c>
      <c r="AB39" s="1797">
        <f t="shared" si="4"/>
        <v>1</v>
      </c>
      <c r="AC39" s="1797">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51"/>
      <c r="Q40" s="1796" t="str">
        <f t="shared" si="11"/>
        <v>单套建筑面积</v>
      </c>
      <c r="R40" s="774" t="s">
        <v>17</v>
      </c>
      <c r="S40" s="775">
        <f t="shared" si="12"/>
        <v>100</v>
      </c>
      <c r="T40" s="774" t="s">
        <v>17</v>
      </c>
      <c r="U40" s="775">
        <f t="shared" si="13"/>
        <v>100</v>
      </c>
      <c r="V40" s="774" t="s">
        <v>17</v>
      </c>
      <c r="W40" s="775">
        <f t="shared" si="14"/>
        <v>100</v>
      </c>
      <c r="X40" s="1799"/>
      <c r="Y40" s="3213"/>
      <c r="Z40" s="1800" t="str">
        <f t="shared" si="15"/>
        <v>单套建筑面积</v>
      </c>
      <c r="AA40" s="1797">
        <f t="shared" si="3"/>
        <v>1</v>
      </c>
      <c r="AB40" s="1797">
        <f t="shared" si="4"/>
        <v>1</v>
      </c>
      <c r="AC40" s="1797">
        <f t="shared" si="5"/>
        <v>1</v>
      </c>
    </row>
    <row r="41" spans="1:29" s="471" customFormat="1" ht="15">
      <c r="A41" s="468"/>
      <c r="B41" s="1798"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5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797">
        <f t="shared" si="3"/>
        <v>1</v>
      </c>
      <c r="AB41" s="1797">
        <f t="shared" si="4"/>
        <v>1</v>
      </c>
      <c r="AC41" s="1797">
        <f t="shared" si="5"/>
        <v>1</v>
      </c>
    </row>
    <row r="42" spans="1:29" ht="15">
      <c r="A42" s="472"/>
      <c r="B42" s="422" t="s">
        <v>2658</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35"/>
      <c r="M42" s="1126"/>
      <c r="N42" s="1126"/>
      <c r="O42" s="1126"/>
      <c r="P42" s="3251"/>
      <c r="Q42" s="1796" t="str">
        <f t="shared" si="11"/>
        <v>内部装修</v>
      </c>
      <c r="R42" s="774" t="s">
        <v>17</v>
      </c>
      <c r="S42" s="775">
        <f t="shared" si="12"/>
        <v>100</v>
      </c>
      <c r="T42" s="774" t="s">
        <v>17</v>
      </c>
      <c r="U42" s="775">
        <f t="shared" si="13"/>
        <v>100</v>
      </c>
      <c r="V42" s="774" t="s">
        <v>17</v>
      </c>
      <c r="W42" s="775">
        <f t="shared" si="14"/>
        <v>100</v>
      </c>
      <c r="X42" s="1799"/>
      <c r="Y42" s="3213"/>
      <c r="Z42" s="1800" t="str">
        <f t="shared" si="15"/>
        <v>内部装修</v>
      </c>
      <c r="AA42" s="1797">
        <f t="shared" si="3"/>
        <v>1</v>
      </c>
      <c r="AB42" s="1797">
        <f t="shared" si="4"/>
        <v>1</v>
      </c>
      <c r="AC42" s="1797">
        <f t="shared" si="5"/>
        <v>1</v>
      </c>
    </row>
    <row r="43" spans="1:29" ht="28.8">
      <c r="A43" s="472"/>
      <c r="B43" s="422" t="s">
        <v>2566</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35"/>
      <c r="M43" s="1126"/>
      <c r="N43" s="1126"/>
      <c r="O43" s="1126"/>
      <c r="P43" s="3251"/>
      <c r="Q43" s="1796" t="str">
        <f t="shared" si="11"/>
        <v>内部装修维护情况</v>
      </c>
      <c r="R43" s="774" t="s">
        <v>17</v>
      </c>
      <c r="S43" s="775">
        <f t="shared" si="12"/>
        <v>100</v>
      </c>
      <c r="T43" s="774" t="s">
        <v>17</v>
      </c>
      <c r="U43" s="775">
        <f t="shared" si="13"/>
        <v>100</v>
      </c>
      <c r="V43" s="774" t="s">
        <v>17</v>
      </c>
      <c r="W43" s="775">
        <f t="shared" si="14"/>
        <v>100</v>
      </c>
      <c r="X43" s="1799"/>
      <c r="Y43" s="3213"/>
      <c r="Z43" s="1800" t="str">
        <f t="shared" si="15"/>
        <v>内部装修维护情况</v>
      </c>
      <c r="AA43" s="1797">
        <f t="shared" si="3"/>
        <v>1</v>
      </c>
      <c r="AB43" s="1797">
        <f t="shared" si="4"/>
        <v>1</v>
      </c>
      <c r="AC43" s="1797">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51"/>
      <c r="Q44" s="1781">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51"/>
      <c r="Q45" s="1796">
        <f t="shared" si="11"/>
        <v>111</v>
      </c>
      <c r="R45" s="774" t="s">
        <v>17</v>
      </c>
      <c r="S45" s="775">
        <f t="shared" si="12"/>
        <v>100</v>
      </c>
      <c r="T45" s="774" t="s">
        <v>17</v>
      </c>
      <c r="U45" s="775">
        <f t="shared" si="13"/>
        <v>100</v>
      </c>
      <c r="V45" s="774" t="s">
        <v>17</v>
      </c>
      <c r="W45" s="775">
        <f t="shared" si="14"/>
        <v>100</v>
      </c>
      <c r="X45" s="1799"/>
      <c r="Y45" s="3213"/>
      <c r="Z45" s="1800">
        <f t="shared" si="15"/>
        <v>111</v>
      </c>
      <c r="AA45" s="1797">
        <f t="shared" si="3"/>
        <v>1</v>
      </c>
      <c r="AB45" s="1797">
        <f t="shared" si="4"/>
        <v>1</v>
      </c>
      <c r="AC45" s="1797">
        <f t="shared" si="5"/>
        <v>1</v>
      </c>
    </row>
    <row r="46" spans="1:29" ht="15.6"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52"/>
      <c r="Q46" s="1796">
        <f t="shared" si="11"/>
        <v>111</v>
      </c>
      <c r="R46" s="774" t="s">
        <v>17</v>
      </c>
      <c r="S46" s="775">
        <f t="shared" si="12"/>
        <v>100</v>
      </c>
      <c r="T46" s="774" t="s">
        <v>17</v>
      </c>
      <c r="U46" s="775">
        <f t="shared" si="13"/>
        <v>100</v>
      </c>
      <c r="V46" s="774" t="s">
        <v>17</v>
      </c>
      <c r="W46" s="775">
        <f t="shared" si="14"/>
        <v>100</v>
      </c>
      <c r="X46" s="1799"/>
      <c r="Y46" s="3253"/>
      <c r="Z46" s="1800">
        <f t="shared" si="15"/>
        <v>111</v>
      </c>
      <c r="AA46" s="1797">
        <f t="shared" si="3"/>
        <v>1</v>
      </c>
      <c r="AB46" s="1797">
        <f t="shared" si="4"/>
        <v>1</v>
      </c>
      <c r="AC46" s="1797">
        <f t="shared" si="5"/>
        <v>1</v>
      </c>
    </row>
    <row r="47" spans="1:29" ht="14.4">
      <c r="A47" s="479" t="s">
        <v>2567</v>
      </c>
      <c r="B47" s="480"/>
      <c r="C47" s="1402" t="s">
        <v>1</v>
      </c>
      <c r="D47" s="1403"/>
      <c r="E47" s="1404"/>
      <c r="F47" s="1405"/>
      <c r="G47" s="1406"/>
      <c r="H47" s="1407"/>
      <c r="I47" s="1404"/>
      <c r="J47" s="1407"/>
      <c r="K47" s="783"/>
      <c r="L47" s="1138"/>
      <c r="M47" s="1139"/>
      <c r="N47" s="1126"/>
      <c r="O47" s="1139"/>
      <c r="P47" s="3195" t="str">
        <f>A47</f>
        <v>成交单价（元/平方米）</v>
      </c>
      <c r="Q47" s="3195"/>
      <c r="R47" s="3208">
        <f>E47</f>
        <v>0</v>
      </c>
      <c r="S47" s="3208"/>
      <c r="T47" s="3208">
        <f>G47</f>
        <v>0</v>
      </c>
      <c r="U47" s="3208"/>
      <c r="V47" s="3208">
        <f>I47</f>
        <v>0</v>
      </c>
      <c r="W47" s="3208"/>
      <c r="X47" s="759"/>
      <c r="Y47" s="781"/>
      <c r="Z47" s="759"/>
      <c r="AA47" s="759"/>
      <c r="AB47" s="759"/>
      <c r="AC47" s="759"/>
    </row>
    <row r="48" spans="1:29" ht="15" thickBot="1">
      <c r="A48" s="486" t="s">
        <v>2659</v>
      </c>
      <c r="B48" s="487"/>
      <c r="C48" s="1408" t="e">
        <f>R49</f>
        <v>#DIV/0!</v>
      </c>
      <c r="D48" s="1409"/>
      <c r="E48" s="1410" t="e">
        <f>R48</f>
        <v>#DIV/0!</v>
      </c>
      <c r="F48" s="1410"/>
      <c r="G48" s="1408" t="e">
        <f>T48</f>
        <v>#DIV/0!</v>
      </c>
      <c r="H48" s="1409"/>
      <c r="I48" s="1410" t="e">
        <f>V48</f>
        <v>#DIV/0!</v>
      </c>
      <c r="J48" s="1409"/>
      <c r="K48" s="784"/>
      <c r="L48" s="1138"/>
      <c r="M48" s="1139"/>
      <c r="N48" s="1126"/>
      <c r="O48" s="1139"/>
      <c r="P48" s="3195" t="str">
        <f>A48</f>
        <v>比较价值（元/平方米）</v>
      </c>
      <c r="Q48" s="319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 thickBot="1">
      <c r="A49" s="492" t="s">
        <v>2660</v>
      </c>
      <c r="B49" s="493"/>
      <c r="C49" s="1412" t="e">
        <f>R49</f>
        <v>#DIV/0!</v>
      </c>
      <c r="D49" s="1412"/>
      <c r="E49" s="1412"/>
      <c r="F49" s="1412"/>
      <c r="G49" s="1412"/>
      <c r="H49" s="1412"/>
      <c r="I49" s="1412"/>
      <c r="J49" s="1412"/>
      <c r="K49" s="785"/>
      <c r="L49" s="1138"/>
      <c r="M49" s="1139"/>
      <c r="N49" s="1126"/>
      <c r="O49" s="1139"/>
      <c r="P49" s="3215" t="str">
        <f>A49</f>
        <v>估价对象XX用房的比较价值（楼面单价，元/平方米）</v>
      </c>
      <c r="Q49" s="3216"/>
      <c r="R49" s="3248" t="e">
        <f>IF(F1="售价",ROUND(AVERAGE(R48:V48),0),ROUND(AVERAGE(R48:V48),1))</f>
        <v>#DIV/0!</v>
      </c>
      <c r="S49" s="3248"/>
      <c r="T49" s="3248"/>
      <c r="U49" s="3248"/>
      <c r="V49" s="3248"/>
      <c r="W49" s="324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54"/>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54"/>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2.2" thickBot="1">
      <c r="A57" s="763" t="s">
        <v>2664</v>
      </c>
      <c r="B57" s="759"/>
      <c r="C57" s="764"/>
      <c r="D57" s="764"/>
      <c r="E57" s="764"/>
      <c r="F57" s="765"/>
      <c r="G57" s="765"/>
      <c r="H57" s="764"/>
      <c r="I57" s="764"/>
      <c r="J57" s="764"/>
      <c r="K57" s="766"/>
      <c r="L57" s="1156"/>
      <c r="M57" s="1154"/>
      <c r="N57" s="1154"/>
      <c r="O57" s="1154"/>
      <c r="P57" s="2655"/>
      <c r="Q57" s="2656"/>
      <c r="R57" s="759"/>
      <c r="S57" s="759"/>
      <c r="T57" s="759"/>
      <c r="U57" s="759"/>
      <c r="V57" s="759"/>
      <c r="W57" s="759"/>
      <c r="X57" s="759"/>
      <c r="Y57" s="759"/>
      <c r="Z57" s="759"/>
      <c r="AA57" s="759"/>
      <c r="AB57" s="759"/>
      <c r="AC57" s="759"/>
    </row>
    <row r="58" spans="1:29" s="508" customFormat="1" ht="14.4">
      <c r="A58" s="505" t="s">
        <v>2538</v>
      </c>
      <c r="B58" s="506"/>
      <c r="C58" s="1568" t="str">
        <f>YEAR(C7)&amp;"-"&amp;MONTH(C7)</f>
        <v>2020-7</v>
      </c>
      <c r="D58" s="1569">
        <f>EDATE(C58,-1)</f>
        <v>43983</v>
      </c>
      <c r="E58" s="1569">
        <f t="shared" ref="E58:N58" si="16">EDATE(D58,-1)</f>
        <v>43952</v>
      </c>
      <c r="F58" s="1569">
        <f t="shared" si="16"/>
        <v>43922</v>
      </c>
      <c r="G58" s="1569">
        <f t="shared" si="16"/>
        <v>43891</v>
      </c>
      <c r="H58" s="1569">
        <f t="shared" si="16"/>
        <v>43862</v>
      </c>
      <c r="I58" s="1569">
        <f t="shared" si="16"/>
        <v>43831</v>
      </c>
      <c r="J58" s="1569">
        <f t="shared" si="16"/>
        <v>43800</v>
      </c>
      <c r="K58" s="1569">
        <f t="shared" si="16"/>
        <v>43770</v>
      </c>
      <c r="L58" s="1569">
        <f t="shared" si="16"/>
        <v>43739</v>
      </c>
      <c r="M58" s="1569">
        <f t="shared" si="16"/>
        <v>43709</v>
      </c>
      <c r="N58" s="1569">
        <f t="shared" si="16"/>
        <v>43678</v>
      </c>
      <c r="O58" s="1569">
        <f>EDATE(N58,-1)</f>
        <v>43647</v>
      </c>
      <c r="P58" s="1564"/>
    </row>
    <row r="59" spans="1:29" s="117" customFormat="1">
      <c r="A59" s="509"/>
      <c r="B59" s="510"/>
      <c r="C59" s="1567">
        <v>100</v>
      </c>
      <c r="D59" s="512"/>
      <c r="E59" s="512"/>
      <c r="F59" s="512"/>
      <c r="G59" s="512"/>
      <c r="H59" s="512"/>
      <c r="I59" s="512"/>
      <c r="J59" s="512"/>
      <c r="K59" s="512"/>
      <c r="L59" s="512"/>
      <c r="M59" s="513"/>
      <c r="N59" s="512"/>
      <c r="O59" s="513"/>
      <c r="P59" s="2616"/>
    </row>
    <row r="60" spans="1:29" s="117" customFormat="1" ht="15" thickBot="1">
      <c r="A60" s="515" t="s">
        <v>2575</v>
      </c>
      <c r="B60" s="516"/>
      <c r="C60" s="517"/>
      <c r="D60" s="518"/>
      <c r="E60" s="518"/>
      <c r="F60" s="518"/>
      <c r="G60" s="518"/>
      <c r="H60" s="518"/>
      <c r="I60" s="518"/>
      <c r="J60" s="518"/>
      <c r="K60" s="518"/>
      <c r="L60" s="518"/>
      <c r="M60" s="519"/>
      <c r="N60" s="518"/>
      <c r="O60" s="519"/>
      <c r="P60" s="2616"/>
      <c r="Q60" s="504"/>
    </row>
    <row r="61" spans="1:29" s="117" customFormat="1" ht="14.4">
      <c r="A61" s="521" t="s">
        <v>2540</v>
      </c>
      <c r="B61" s="510"/>
      <c r="C61" s="522" t="s">
        <v>2642</v>
      </c>
      <c r="D61" s="523"/>
      <c r="E61" s="523"/>
      <c r="F61" s="523"/>
      <c r="G61" s="523"/>
      <c r="H61" s="523"/>
      <c r="I61" s="523"/>
      <c r="J61" s="523"/>
      <c r="K61" s="523"/>
      <c r="L61" s="524"/>
      <c r="M61" s="525"/>
      <c r="N61" s="1146"/>
      <c r="O61" s="1146"/>
      <c r="P61" s="2617"/>
      <c r="Q61" s="504"/>
    </row>
    <row r="62" spans="1:29" s="117" customFormat="1" ht="14.4" thickBot="1">
      <c r="A62" s="521"/>
      <c r="B62" s="510"/>
      <c r="C62" s="511">
        <v>100</v>
      </c>
      <c r="D62" s="512"/>
      <c r="E62" s="512"/>
      <c r="F62" s="512"/>
      <c r="G62" s="512"/>
      <c r="H62" s="512"/>
      <c r="I62" s="512"/>
      <c r="J62" s="512"/>
      <c r="K62" s="512"/>
      <c r="L62" s="512"/>
      <c r="M62" s="514"/>
      <c r="N62" s="1146"/>
      <c r="O62" s="1146"/>
      <c r="P62" s="2616"/>
      <c r="Q62" s="504"/>
    </row>
    <row r="63" spans="1:29" ht="14.4">
      <c r="A63" s="527" t="s">
        <v>2578</v>
      </c>
      <c r="B63" s="528" t="s">
        <v>2544</v>
      </c>
      <c r="C63" s="529">
        <f>C9</f>
        <v>0</v>
      </c>
      <c r="D63" s="530"/>
      <c r="E63" s="530"/>
      <c r="F63" s="530"/>
      <c r="G63" s="530"/>
      <c r="H63" s="530"/>
      <c r="I63" s="530"/>
      <c r="J63" s="530"/>
      <c r="K63" s="531"/>
      <c r="L63" s="532"/>
      <c r="M63" s="533"/>
      <c r="N63" s="1147"/>
      <c r="O63" s="1147"/>
      <c r="P63" s="2618"/>
      <c r="Q63" s="504"/>
    </row>
    <row r="64" spans="1:29" ht="14.4" thickBot="1">
      <c r="A64" s="534"/>
      <c r="B64" s="535"/>
      <c r="C64" s="536">
        <v>100</v>
      </c>
      <c r="D64" s="536"/>
      <c r="E64" s="536"/>
      <c r="F64" s="536"/>
      <c r="G64" s="536"/>
      <c r="H64" s="536"/>
      <c r="I64" s="536"/>
      <c r="J64" s="536"/>
      <c r="K64" s="536"/>
      <c r="L64" s="536"/>
      <c r="M64" s="537"/>
      <c r="N64" s="1148"/>
      <c r="O64" s="1148"/>
      <c r="P64" s="2618"/>
      <c r="Q64" s="504"/>
    </row>
    <row r="65" spans="1:17" ht="29.4" thickTop="1">
      <c r="A65" s="534"/>
      <c r="B65" s="538" t="s">
        <v>2547</v>
      </c>
      <c r="C65" s="539" t="s">
        <v>2579</v>
      </c>
      <c r="D65" s="539" t="s">
        <v>2580</v>
      </c>
      <c r="E65" s="539" t="s">
        <v>2581</v>
      </c>
      <c r="F65" s="539" t="s">
        <v>2582</v>
      </c>
      <c r="G65" s="539" t="s">
        <v>2583</v>
      </c>
      <c r="H65" s="539" t="s">
        <v>2584</v>
      </c>
      <c r="I65" s="539" t="s">
        <v>2585</v>
      </c>
      <c r="J65" s="539"/>
      <c r="K65" s="540"/>
      <c r="L65" s="541"/>
      <c r="M65" s="542"/>
      <c r="N65" s="1147"/>
      <c r="O65" s="1147"/>
      <c r="P65" s="261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8"/>
      <c r="Q66" s="504"/>
    </row>
    <row r="67" spans="1:17" ht="1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18"/>
      <c r="Q67" s="504"/>
    </row>
    <row r="68" spans="1:17">
      <c r="A68" s="534"/>
      <c r="B68" s="548"/>
      <c r="C68" s="549"/>
      <c r="D68" s="549"/>
      <c r="E68" s="549"/>
      <c r="F68" s="549"/>
      <c r="G68" s="549"/>
      <c r="H68" s="549"/>
      <c r="I68" s="549"/>
      <c r="J68" s="549"/>
      <c r="K68" s="550"/>
      <c r="L68" s="551"/>
      <c r="M68" s="552"/>
      <c r="N68" s="1147"/>
      <c r="O68" s="1147"/>
      <c r="P68" s="261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18"/>
      <c r="Q69" s="504"/>
    </row>
    <row r="70" spans="1:17" s="471" customFormat="1" ht="14.4" thickTop="1">
      <c r="A70" s="553"/>
      <c r="B70" s="538">
        <f>B12</f>
        <v>111</v>
      </c>
      <c r="C70" s="554"/>
      <c r="D70" s="554"/>
      <c r="E70" s="554"/>
      <c r="F70" s="554"/>
      <c r="G70" s="554"/>
      <c r="H70" s="555"/>
      <c r="I70" s="555"/>
      <c r="J70" s="555"/>
      <c r="K70" s="555"/>
      <c r="L70" s="556"/>
      <c r="M70" s="557"/>
      <c r="N70" s="1149"/>
      <c r="O70" s="1149"/>
      <c r="P70" s="2619"/>
      <c r="Q70" s="559"/>
    </row>
    <row r="71" spans="1:17" s="471" customFormat="1" ht="14.4" thickBot="1">
      <c r="A71" s="553"/>
      <c r="B71" s="543"/>
      <c r="C71" s="560"/>
      <c r="D71" s="536"/>
      <c r="E71" s="536"/>
      <c r="F71" s="536"/>
      <c r="G71" s="536"/>
      <c r="H71" s="536"/>
      <c r="I71" s="536"/>
      <c r="J71" s="536"/>
      <c r="K71" s="536"/>
      <c r="L71" s="536"/>
      <c r="M71" s="537"/>
      <c r="N71" s="1148"/>
      <c r="O71" s="1148"/>
      <c r="P71" s="2619"/>
      <c r="Q71" s="559"/>
    </row>
    <row r="72" spans="1:17" s="471" customFormat="1" ht="14.4" thickTop="1">
      <c r="A72" s="553"/>
      <c r="B72" s="538">
        <f>B13</f>
        <v>111</v>
      </c>
      <c r="C72" s="554"/>
      <c r="D72" s="554"/>
      <c r="E72" s="554"/>
      <c r="F72" s="554"/>
      <c r="G72" s="554"/>
      <c r="H72" s="555"/>
      <c r="I72" s="555"/>
      <c r="J72" s="555"/>
      <c r="K72" s="555"/>
      <c r="L72" s="556"/>
      <c r="M72" s="557"/>
      <c r="N72" s="1149"/>
      <c r="O72" s="1149"/>
      <c r="P72" s="2620"/>
      <c r="Q72" s="561"/>
    </row>
    <row r="73" spans="1:17" s="471" customFormat="1" ht="14.4" thickBot="1">
      <c r="A73" s="553"/>
      <c r="B73" s="543"/>
      <c r="C73" s="560"/>
      <c r="D73" s="536"/>
      <c r="E73" s="536"/>
      <c r="F73" s="536"/>
      <c r="G73" s="560"/>
      <c r="H73" s="562"/>
      <c r="I73" s="562"/>
      <c r="J73" s="562"/>
      <c r="K73" s="562"/>
      <c r="L73" s="562"/>
      <c r="M73" s="563"/>
      <c r="N73" s="1149"/>
      <c r="O73" s="1149"/>
      <c r="P73" s="2619"/>
      <c r="Q73" s="559"/>
    </row>
    <row r="74" spans="1:17" s="471" customFormat="1" ht="14.4" thickTop="1">
      <c r="A74" s="553"/>
      <c r="B74" s="546">
        <f>B14</f>
        <v>111</v>
      </c>
      <c r="C74" s="554"/>
      <c r="D74" s="554"/>
      <c r="E74" s="554"/>
      <c r="F74" s="554"/>
      <c r="G74" s="523"/>
      <c r="H74" s="564"/>
      <c r="I74" s="564"/>
      <c r="J74" s="564"/>
      <c r="K74" s="564"/>
      <c r="L74" s="565"/>
      <c r="M74" s="566"/>
      <c r="N74" s="1149"/>
      <c r="O74" s="1149"/>
      <c r="P74" s="2621"/>
      <c r="Q74" s="559"/>
    </row>
    <row r="75" spans="1:17" s="471" customFormat="1" ht="14.4" thickBot="1">
      <c r="A75" s="568"/>
      <c r="B75" s="569"/>
      <c r="C75" s="570"/>
      <c r="D75" s="570"/>
      <c r="E75" s="570"/>
      <c r="F75" s="570"/>
      <c r="G75" s="570"/>
      <c r="H75" s="571"/>
      <c r="I75" s="571"/>
      <c r="J75" s="571"/>
      <c r="K75" s="571"/>
      <c r="L75" s="571"/>
      <c r="M75" s="572"/>
      <c r="N75" s="1149"/>
      <c r="O75" s="1149"/>
      <c r="P75" s="2619"/>
      <c r="Q75" s="559"/>
    </row>
    <row r="76" spans="1:17" ht="14.4">
      <c r="A76" s="527" t="s">
        <v>2549</v>
      </c>
      <c r="B76" s="528" t="s">
        <v>2586</v>
      </c>
      <c r="C76" s="573" t="s">
        <v>2587</v>
      </c>
      <c r="D76" s="573" t="s">
        <v>2588</v>
      </c>
      <c r="E76" s="573" t="s">
        <v>2589</v>
      </c>
      <c r="F76" s="573" t="s">
        <v>2590</v>
      </c>
      <c r="G76" s="573" t="s">
        <v>2591</v>
      </c>
      <c r="H76" s="529"/>
      <c r="I76" s="529"/>
      <c r="J76" s="529"/>
      <c r="K76" s="574"/>
      <c r="L76" s="575"/>
      <c r="M76" s="576"/>
      <c r="N76" s="1147"/>
      <c r="O76" s="1147"/>
      <c r="P76" s="262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8"/>
      <c r="Q77" s="504"/>
    </row>
    <row r="78" spans="1:17" ht="15" thickTop="1">
      <c r="A78" s="534"/>
      <c r="B78" s="538" t="s">
        <v>2592</v>
      </c>
      <c r="C78" s="578" t="s">
        <v>2587</v>
      </c>
      <c r="D78" s="578" t="s">
        <v>2588</v>
      </c>
      <c r="E78" s="578" t="s">
        <v>2589</v>
      </c>
      <c r="F78" s="578" t="s">
        <v>2590</v>
      </c>
      <c r="G78" s="578" t="s">
        <v>2591</v>
      </c>
      <c r="H78" s="539"/>
      <c r="I78" s="539"/>
      <c r="J78" s="539"/>
      <c r="K78" s="540"/>
      <c r="L78" s="541"/>
      <c r="M78" s="542"/>
      <c r="N78" s="1147"/>
      <c r="O78" s="1147"/>
      <c r="P78" s="261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8"/>
      <c r="Q79" s="504"/>
    </row>
    <row r="80" spans="1:17" ht="15" thickTop="1">
      <c r="A80" s="534"/>
      <c r="B80" s="538" t="s">
        <v>2593</v>
      </c>
      <c r="C80" s="578" t="s">
        <v>2587</v>
      </c>
      <c r="D80" s="578" t="s">
        <v>2588</v>
      </c>
      <c r="E80" s="578" t="s">
        <v>2589</v>
      </c>
      <c r="F80" s="578" t="s">
        <v>2590</v>
      </c>
      <c r="G80" s="578" t="s">
        <v>2591</v>
      </c>
      <c r="H80" s="539"/>
      <c r="I80" s="539"/>
      <c r="J80" s="539"/>
      <c r="K80" s="540"/>
      <c r="L80" s="541"/>
      <c r="M80" s="542"/>
      <c r="N80" s="1147"/>
      <c r="O80" s="1147"/>
      <c r="P80" s="261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8"/>
      <c r="Q81" s="504"/>
    </row>
    <row r="82" spans="1:17" ht="15" thickTop="1">
      <c r="A82" s="534"/>
      <c r="B82" s="546" t="s">
        <v>2645</v>
      </c>
      <c r="C82" s="660" t="s">
        <v>2665</v>
      </c>
      <c r="D82" s="660" t="s">
        <v>2666</v>
      </c>
      <c r="E82" s="660" t="s">
        <v>2667</v>
      </c>
      <c r="F82" s="660" t="s">
        <v>2668</v>
      </c>
      <c r="G82" s="660" t="s">
        <v>2669</v>
      </c>
      <c r="H82" s="539"/>
      <c r="I82" s="539"/>
      <c r="J82" s="539"/>
      <c r="K82" s="539"/>
      <c r="L82" s="539"/>
      <c r="M82" s="1377"/>
      <c r="N82" s="1148"/>
      <c r="O82" s="1148"/>
      <c r="P82" s="261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18"/>
      <c r="Q83" s="504"/>
    </row>
    <row r="84" spans="1:17" ht="15" thickTop="1">
      <c r="A84" s="534"/>
      <c r="B84" s="538" t="s">
        <v>2599</v>
      </c>
      <c r="C84" s="578" t="s">
        <v>2587</v>
      </c>
      <c r="D84" s="578" t="s">
        <v>2588</v>
      </c>
      <c r="E84" s="578" t="s">
        <v>2589</v>
      </c>
      <c r="F84" s="578" t="s">
        <v>2590</v>
      </c>
      <c r="G84" s="578" t="s">
        <v>2591</v>
      </c>
      <c r="H84" s="539"/>
      <c r="I84" s="539"/>
      <c r="J84" s="539"/>
      <c r="K84" s="540"/>
      <c r="L84" s="541"/>
      <c r="M84" s="542"/>
      <c r="N84" s="1147"/>
      <c r="O84" s="1147"/>
      <c r="P84" s="261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8"/>
      <c r="Q85" s="504"/>
    </row>
    <row r="86" spans="1:17" s="117" customFormat="1" ht="15" thickTop="1">
      <c r="A86" s="579"/>
      <c r="B86" s="538" t="s">
        <v>2670</v>
      </c>
      <c r="C86" s="554"/>
      <c r="D86" s="554"/>
      <c r="E86" s="554"/>
      <c r="F86" s="554"/>
      <c r="G86" s="554"/>
      <c r="H86" s="554"/>
      <c r="I86" s="554"/>
      <c r="J86" s="554"/>
      <c r="K86" s="554"/>
      <c r="L86" s="580"/>
      <c r="M86" s="581"/>
      <c r="N86" s="1146"/>
      <c r="O86" s="1146"/>
      <c r="P86" s="261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18"/>
      <c r="Q87" s="504"/>
    </row>
    <row r="88" spans="1:17" s="117" customFormat="1" ht="14.4" thickTop="1">
      <c r="A88" s="579"/>
      <c r="B88" s="538" t="str">
        <f>B26</f>
        <v>平面位置/可视性</v>
      </c>
      <c r="C88" s="554"/>
      <c r="D88" s="554"/>
      <c r="E88" s="554"/>
      <c r="F88" s="2623"/>
      <c r="G88" s="554"/>
      <c r="H88" s="554"/>
      <c r="I88" s="554"/>
      <c r="J88" s="554"/>
      <c r="K88" s="554"/>
      <c r="L88" s="554"/>
      <c r="M88" s="581"/>
      <c r="N88" s="1146"/>
      <c r="O88" s="1146"/>
      <c r="P88" s="2618"/>
      <c r="Q88" s="504"/>
    </row>
    <row r="89" spans="1:17" s="117" customFormat="1" ht="14.4" thickBot="1">
      <c r="A89" s="579"/>
      <c r="B89" s="543"/>
      <c r="C89" s="560"/>
      <c r="D89" s="536"/>
      <c r="E89" s="536"/>
      <c r="F89" s="536"/>
      <c r="G89" s="536"/>
      <c r="H89" s="536"/>
      <c r="I89" s="536"/>
      <c r="J89" s="536"/>
      <c r="K89" s="536"/>
      <c r="L89" s="536"/>
      <c r="M89" s="536"/>
      <c r="N89" s="1148"/>
      <c r="O89" s="1148"/>
      <c r="P89" s="2618"/>
      <c r="Q89" s="504"/>
    </row>
    <row r="90" spans="1:17" s="471" customFormat="1" ht="14.4" thickTop="1">
      <c r="A90" s="553"/>
      <c r="B90" s="538" t="str">
        <f>B27</f>
        <v>人流量</v>
      </c>
      <c r="C90" s="554"/>
      <c r="D90" s="554"/>
      <c r="E90" s="554"/>
      <c r="F90" s="554"/>
      <c r="G90" s="554"/>
      <c r="H90" s="555"/>
      <c r="I90" s="555"/>
      <c r="J90" s="555"/>
      <c r="K90" s="555"/>
      <c r="L90" s="556"/>
      <c r="M90" s="557"/>
      <c r="N90" s="1149"/>
      <c r="O90" s="1149"/>
      <c r="P90" s="261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19"/>
      <c r="Q91" s="559"/>
    </row>
    <row r="92" spans="1:17" ht="14.4" thickTop="1">
      <c r="A92" s="534"/>
      <c r="B92" s="538" t="str">
        <f>B28</f>
        <v>楼层</v>
      </c>
      <c r="C92" s="554"/>
      <c r="D92" s="554"/>
      <c r="E92" s="554"/>
      <c r="F92" s="554"/>
      <c r="G92" s="554"/>
      <c r="H92" s="554"/>
      <c r="I92" s="554"/>
      <c r="J92" s="554"/>
      <c r="K92" s="554"/>
      <c r="L92" s="580"/>
      <c r="M92" s="581"/>
      <c r="N92" s="1147"/>
      <c r="O92" s="1147"/>
      <c r="P92" s="2618"/>
      <c r="Q92" s="504"/>
    </row>
    <row r="93" spans="1:17" ht="14.4" thickBot="1">
      <c r="A93" s="534"/>
      <c r="B93" s="543"/>
      <c r="C93" s="536"/>
      <c r="D93" s="536"/>
      <c r="E93" s="536"/>
      <c r="F93" s="536"/>
      <c r="G93" s="536"/>
      <c r="H93" s="536"/>
      <c r="I93" s="536"/>
      <c r="J93" s="536"/>
      <c r="K93" s="536"/>
      <c r="L93" s="536"/>
      <c r="M93" s="537"/>
      <c r="N93" s="1148"/>
      <c r="O93" s="1148"/>
      <c r="P93" s="2618"/>
      <c r="Q93" s="504"/>
    </row>
    <row r="94" spans="1:17" ht="14.4" thickTop="1">
      <c r="A94" s="534"/>
      <c r="B94" s="538">
        <f>B29</f>
        <v>111</v>
      </c>
      <c r="C94" s="554"/>
      <c r="D94" s="554"/>
      <c r="E94" s="554"/>
      <c r="F94" s="554"/>
      <c r="G94" s="583"/>
      <c r="H94" s="583"/>
      <c r="I94" s="583"/>
      <c r="J94" s="583"/>
      <c r="K94" s="584"/>
      <c r="L94" s="585"/>
      <c r="M94" s="586"/>
      <c r="N94" s="1147"/>
      <c r="O94" s="1147"/>
      <c r="P94" s="2618"/>
      <c r="Q94" s="504"/>
    </row>
    <row r="95" spans="1:17" ht="14.4" thickBot="1">
      <c r="A95" s="534"/>
      <c r="B95" s="543"/>
      <c r="C95" s="560"/>
      <c r="D95" s="536"/>
      <c r="E95" s="536"/>
      <c r="F95" s="536"/>
      <c r="G95" s="536"/>
      <c r="H95" s="536"/>
      <c r="I95" s="536"/>
      <c r="J95" s="536"/>
      <c r="K95" s="536"/>
      <c r="L95" s="536"/>
      <c r="M95" s="537"/>
      <c r="N95" s="1148"/>
      <c r="O95" s="1148"/>
      <c r="P95" s="2618"/>
      <c r="Q95" s="504"/>
    </row>
    <row r="96" spans="1:17" ht="14.4" thickTop="1">
      <c r="A96" s="534"/>
      <c r="B96" s="538">
        <f>B30</f>
        <v>111</v>
      </c>
      <c r="C96" s="554"/>
      <c r="D96" s="554"/>
      <c r="E96" s="554"/>
      <c r="F96" s="554"/>
      <c r="G96" s="583"/>
      <c r="H96" s="583"/>
      <c r="I96" s="583"/>
      <c r="J96" s="583"/>
      <c r="K96" s="584"/>
      <c r="L96" s="585"/>
      <c r="M96" s="586"/>
      <c r="N96" s="1147"/>
      <c r="O96" s="1147"/>
      <c r="P96" s="2618"/>
      <c r="Q96" s="504"/>
    </row>
    <row r="97" spans="1:17" ht="14.4" thickBot="1">
      <c r="A97" s="534"/>
      <c r="B97" s="543"/>
      <c r="C97" s="560"/>
      <c r="D97" s="536"/>
      <c r="E97" s="536"/>
      <c r="F97" s="536"/>
      <c r="G97" s="536"/>
      <c r="H97" s="536"/>
      <c r="I97" s="536"/>
      <c r="J97" s="536"/>
      <c r="K97" s="536"/>
      <c r="L97" s="536"/>
      <c r="M97" s="537"/>
      <c r="N97" s="1148"/>
      <c r="O97" s="1148"/>
      <c r="P97" s="2618"/>
      <c r="Q97" s="504"/>
    </row>
    <row r="98" spans="1:17" ht="14.4" thickTop="1">
      <c r="A98" s="534"/>
      <c r="B98" s="546">
        <f>B31</f>
        <v>111</v>
      </c>
      <c r="C98" s="554"/>
      <c r="D98" s="554"/>
      <c r="E98" s="554"/>
      <c r="F98" s="554"/>
      <c r="G98" s="587"/>
      <c r="H98" s="587"/>
      <c r="I98" s="587"/>
      <c r="J98" s="587"/>
      <c r="K98" s="588"/>
      <c r="L98" s="589"/>
      <c r="M98" s="590"/>
      <c r="N98" s="1147"/>
      <c r="O98" s="1147"/>
      <c r="P98" s="2618"/>
      <c r="Q98" s="504"/>
    </row>
    <row r="99" spans="1:17" ht="14.4" thickBot="1">
      <c r="A99" s="2624"/>
      <c r="B99" s="569"/>
      <c r="C99" s="570"/>
      <c r="D99" s="570"/>
      <c r="E99" s="570"/>
      <c r="F99" s="570"/>
      <c r="G99" s="591"/>
      <c r="H99" s="591"/>
      <c r="I99" s="591"/>
      <c r="J99" s="591"/>
      <c r="K99" s="591"/>
      <c r="L99" s="591"/>
      <c r="M99" s="592"/>
      <c r="N99" s="1148"/>
      <c r="O99" s="1148"/>
      <c r="P99" s="2618"/>
      <c r="Q99" s="504"/>
    </row>
    <row r="100" spans="1:17" ht="14.4">
      <c r="A100" s="527" t="s">
        <v>2553</v>
      </c>
      <c r="B100" s="528" t="s">
        <v>2671</v>
      </c>
      <c r="C100" s="530"/>
      <c r="D100" s="530"/>
      <c r="E100" s="530"/>
      <c r="F100" s="530"/>
      <c r="G100" s="530"/>
      <c r="H100" s="530"/>
      <c r="I100" s="530"/>
      <c r="J100" s="530"/>
      <c r="K100" s="531"/>
      <c r="L100" s="532"/>
      <c r="M100" s="533"/>
      <c r="N100" s="1147"/>
      <c r="O100" s="1147"/>
      <c r="P100" s="261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18"/>
      <c r="Q101" s="504"/>
    </row>
    <row r="102" spans="1:17" ht="1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18"/>
      <c r="Q102" s="504"/>
    </row>
    <row r="103" spans="1:17" s="471" customFormat="1">
      <c r="A103" s="593"/>
      <c r="B103" s="594"/>
      <c r="C103" s="595"/>
      <c r="D103" s="595"/>
      <c r="E103" s="595"/>
      <c r="F103" s="595"/>
      <c r="G103" s="595"/>
      <c r="H103" s="595"/>
      <c r="I103" s="595"/>
      <c r="J103" s="596"/>
      <c r="K103" s="596"/>
      <c r="L103" s="597"/>
      <c r="M103" s="598"/>
      <c r="N103" s="1149"/>
      <c r="O103" s="1149"/>
      <c r="P103" s="2619"/>
      <c r="Q103" s="559"/>
    </row>
    <row r="104" spans="1:17" s="471" customFormat="1" ht="14.4" thickBot="1">
      <c r="A104" s="553"/>
      <c r="B104" s="543"/>
      <c r="C104" s="560"/>
      <c r="D104" s="536"/>
      <c r="E104" s="536"/>
      <c r="F104" s="536"/>
      <c r="G104" s="536"/>
      <c r="H104" s="536"/>
      <c r="I104" s="536"/>
      <c r="J104" s="536"/>
      <c r="K104" s="536"/>
      <c r="L104" s="536"/>
      <c r="M104" s="537"/>
      <c r="N104" s="1148"/>
      <c r="O104" s="1148"/>
      <c r="P104" s="2619"/>
      <c r="Q104" s="559"/>
    </row>
    <row r="105" spans="1:17" ht="15" thickTop="1">
      <c r="A105" s="599"/>
      <c r="B105" s="538" t="s">
        <v>2604</v>
      </c>
      <c r="C105" s="554"/>
      <c r="D105" s="554"/>
      <c r="E105" s="583"/>
      <c r="F105" s="583"/>
      <c r="G105" s="583"/>
      <c r="H105" s="583"/>
      <c r="I105" s="583"/>
      <c r="J105" s="583"/>
      <c r="K105" s="584"/>
      <c r="L105" s="585"/>
      <c r="M105" s="586"/>
      <c r="N105" s="1147"/>
      <c r="O105" s="1147"/>
      <c r="P105" s="261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18"/>
      <c r="Q106" s="504"/>
    </row>
    <row r="107" spans="1:17" ht="15" thickTop="1">
      <c r="A107" s="599"/>
      <c r="B107" s="538" t="s">
        <v>2606</v>
      </c>
      <c r="C107" s="554"/>
      <c r="D107" s="554"/>
      <c r="E107" s="554"/>
      <c r="F107" s="583"/>
      <c r="G107" s="583"/>
      <c r="H107" s="583"/>
      <c r="I107" s="583"/>
      <c r="J107" s="583"/>
      <c r="K107" s="584"/>
      <c r="L107" s="585"/>
      <c r="M107" s="586"/>
      <c r="N107" s="1147"/>
      <c r="O107" s="1147"/>
      <c r="P107" s="261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8"/>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1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18"/>
      <c r="Q111" s="504"/>
    </row>
    <row r="112" spans="1:17" s="471" customFormat="1" ht="15" thickTop="1">
      <c r="A112" s="593"/>
      <c r="B112" s="538" t="s">
        <v>2608</v>
      </c>
      <c r="C112" s="554"/>
      <c r="D112" s="554"/>
      <c r="E112" s="554"/>
      <c r="F112" s="554"/>
      <c r="G112" s="554"/>
      <c r="H112" s="583"/>
      <c r="I112" s="583"/>
      <c r="J112" s="583"/>
      <c r="K112" s="584"/>
      <c r="L112" s="585"/>
      <c r="M112" s="586"/>
      <c r="N112" s="1149"/>
      <c r="O112" s="1149"/>
      <c r="P112" s="261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19"/>
      <c r="Q113" s="559"/>
    </row>
    <row r="114" spans="1:17" ht="15" thickTop="1">
      <c r="A114" s="599"/>
      <c r="B114" s="538" t="s">
        <v>2672</v>
      </c>
      <c r="C114" s="554"/>
      <c r="D114" s="554"/>
      <c r="E114" s="583"/>
      <c r="F114" s="583"/>
      <c r="G114" s="583"/>
      <c r="H114" s="583"/>
      <c r="I114" s="583"/>
      <c r="J114" s="583"/>
      <c r="K114" s="584"/>
      <c r="L114" s="585"/>
      <c r="M114" s="586"/>
      <c r="N114" s="1147"/>
      <c r="O114" s="1147"/>
      <c r="P114" s="261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18"/>
      <c r="Q115" s="504"/>
    </row>
    <row r="116" spans="1:17" ht="15" thickTop="1">
      <c r="A116" s="599"/>
      <c r="B116" s="538" t="s">
        <v>2673</v>
      </c>
      <c r="C116" s="554"/>
      <c r="D116" s="554"/>
      <c r="E116" s="554"/>
      <c r="F116" s="554"/>
      <c r="G116" s="554"/>
      <c r="H116" s="583"/>
      <c r="I116" s="583"/>
      <c r="J116" s="583"/>
      <c r="K116" s="584"/>
      <c r="L116" s="585"/>
      <c r="M116" s="586"/>
      <c r="N116" s="1147"/>
      <c r="O116" s="1147"/>
      <c r="P116" s="261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8"/>
      <c r="Q117" s="504"/>
    </row>
    <row r="118" spans="1:17" ht="15" thickTop="1">
      <c r="A118" s="599"/>
      <c r="B118" s="538" t="s">
        <v>2674</v>
      </c>
      <c r="C118" s="627"/>
      <c r="D118" s="627"/>
      <c r="E118" s="627"/>
      <c r="F118" s="627"/>
      <c r="G118" s="627"/>
      <c r="H118" s="555"/>
      <c r="I118" s="555"/>
      <c r="J118" s="555"/>
      <c r="K118" s="555"/>
      <c r="L118" s="556"/>
      <c r="M118" s="557"/>
      <c r="N118" s="1147"/>
      <c r="O118" s="1147"/>
      <c r="P118" s="2618"/>
      <c r="Q118" s="504"/>
    </row>
    <row r="119" spans="1:17" ht="14.4" thickBot="1">
      <c r="A119" s="534"/>
      <c r="B119" s="543"/>
      <c r="C119" s="560"/>
      <c r="D119" s="536"/>
      <c r="E119" s="536"/>
      <c r="F119" s="536"/>
      <c r="G119" s="536"/>
      <c r="H119" s="536"/>
      <c r="I119" s="536"/>
      <c r="J119" s="536"/>
      <c r="K119" s="536"/>
      <c r="L119" s="536"/>
      <c r="M119" s="537"/>
      <c r="N119" s="1148"/>
      <c r="O119" s="1148"/>
      <c r="P119" s="2618"/>
      <c r="Q119" s="504"/>
    </row>
    <row r="120" spans="1:17" s="471" customFormat="1" ht="15" thickTop="1">
      <c r="A120" s="593"/>
      <c r="B120" s="538" t="s">
        <v>2675</v>
      </c>
      <c r="C120" s="583"/>
      <c r="D120" s="583"/>
      <c r="E120" s="583"/>
      <c r="F120" s="583"/>
      <c r="G120" s="555"/>
      <c r="H120" s="555"/>
      <c r="I120" s="555"/>
      <c r="J120" s="555"/>
      <c r="K120" s="555"/>
      <c r="L120" s="556"/>
      <c r="M120" s="557"/>
      <c r="N120" s="1149"/>
      <c r="O120" s="1149"/>
      <c r="P120" s="261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19"/>
      <c r="Q121" s="559"/>
    </row>
    <row r="122" spans="1:17" ht="15" thickTop="1">
      <c r="A122" s="599"/>
      <c r="B122" s="538" t="s">
        <v>2610</v>
      </c>
      <c r="C122" s="554"/>
      <c r="D122" s="554"/>
      <c r="E122" s="554"/>
      <c r="F122" s="583"/>
      <c r="G122" s="583"/>
      <c r="H122" s="583"/>
      <c r="I122" s="583"/>
      <c r="J122" s="583"/>
      <c r="K122" s="584"/>
      <c r="L122" s="585"/>
      <c r="M122" s="586"/>
      <c r="N122" s="1147"/>
      <c r="O122" s="1147"/>
      <c r="P122" s="261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18"/>
      <c r="Q123" s="504"/>
    </row>
    <row r="124" spans="1:17" ht="29.4" thickTop="1">
      <c r="A124" s="599"/>
      <c r="B124" s="538" t="s">
        <v>2611</v>
      </c>
      <c r="C124" s="578" t="s">
        <v>2587</v>
      </c>
      <c r="D124" s="578" t="s">
        <v>2588</v>
      </c>
      <c r="E124" s="578" t="s">
        <v>2589</v>
      </c>
      <c r="F124" s="578" t="s">
        <v>2590</v>
      </c>
      <c r="G124" s="578" t="s">
        <v>2591</v>
      </c>
      <c r="H124" s="539"/>
      <c r="I124" s="539"/>
      <c r="J124" s="539"/>
      <c r="K124" s="540"/>
      <c r="L124" s="541"/>
      <c r="M124" s="542"/>
      <c r="N124" s="1147"/>
      <c r="O124" s="1147"/>
      <c r="P124" s="261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8"/>
      <c r="Q125" s="504"/>
    </row>
    <row r="126" spans="1:17" s="471" customFormat="1" ht="14.4" thickTop="1">
      <c r="A126" s="593"/>
      <c r="B126" s="538">
        <f>B44</f>
        <v>111</v>
      </c>
      <c r="C126" s="554"/>
      <c r="D126" s="554"/>
      <c r="E126" s="554"/>
      <c r="F126" s="554"/>
      <c r="G126" s="554"/>
      <c r="H126" s="555"/>
      <c r="I126" s="555"/>
      <c r="J126" s="555"/>
      <c r="K126" s="555"/>
      <c r="L126" s="556"/>
      <c r="M126" s="557"/>
      <c r="N126" s="1149"/>
      <c r="O126" s="1149"/>
      <c r="P126" s="2619"/>
      <c r="Q126" s="559"/>
    </row>
    <row r="127" spans="1:17" s="471" customFormat="1" ht="14.4" thickBot="1">
      <c r="A127" s="553"/>
      <c r="B127" s="543"/>
      <c r="C127" s="560"/>
      <c r="D127" s="536"/>
      <c r="E127" s="536"/>
      <c r="F127" s="536"/>
      <c r="G127" s="560"/>
      <c r="H127" s="562"/>
      <c r="I127" s="562"/>
      <c r="J127" s="562"/>
      <c r="K127" s="562"/>
      <c r="L127" s="562"/>
      <c r="M127" s="563"/>
      <c r="N127" s="1149"/>
      <c r="O127" s="1149"/>
      <c r="P127" s="2619"/>
      <c r="Q127" s="559"/>
    </row>
    <row r="128" spans="1:17" ht="14.4" thickTop="1">
      <c r="A128" s="599"/>
      <c r="B128" s="538">
        <f>B45</f>
        <v>111</v>
      </c>
      <c r="C128" s="554"/>
      <c r="D128" s="554"/>
      <c r="E128" s="554"/>
      <c r="F128" s="554"/>
      <c r="G128" s="583"/>
      <c r="H128" s="583"/>
      <c r="I128" s="583"/>
      <c r="J128" s="583"/>
      <c r="K128" s="584"/>
      <c r="L128" s="585"/>
      <c r="M128" s="586"/>
      <c r="N128" s="1147"/>
      <c r="O128" s="1147"/>
      <c r="P128" s="2618"/>
      <c r="Q128" s="504"/>
    </row>
    <row r="129" spans="1:17" ht="14.4" thickBot="1">
      <c r="A129" s="534"/>
      <c r="B129" s="543"/>
      <c r="C129" s="560"/>
      <c r="D129" s="536"/>
      <c r="E129" s="536"/>
      <c r="F129" s="536"/>
      <c r="G129" s="536"/>
      <c r="H129" s="536"/>
      <c r="I129" s="536"/>
      <c r="J129" s="536"/>
      <c r="K129" s="536"/>
      <c r="L129" s="536"/>
      <c r="M129" s="537"/>
      <c r="N129" s="1148"/>
      <c r="O129" s="1148"/>
      <c r="P129" s="2618"/>
      <c r="Q129" s="504"/>
    </row>
    <row r="130" spans="1:17" ht="14.4" thickTop="1">
      <c r="A130" s="599"/>
      <c r="B130" s="546">
        <f>B46</f>
        <v>111</v>
      </c>
      <c r="C130" s="554"/>
      <c r="D130" s="554"/>
      <c r="E130" s="554"/>
      <c r="F130" s="554"/>
      <c r="G130" s="587"/>
      <c r="H130" s="587"/>
      <c r="I130" s="587"/>
      <c r="J130" s="587"/>
      <c r="K130" s="523"/>
      <c r="L130" s="524"/>
      <c r="M130" s="590"/>
      <c r="N130" s="1147"/>
      <c r="O130" s="1147"/>
      <c r="P130" s="2618"/>
      <c r="Q130" s="504"/>
    </row>
    <row r="131" spans="1:17" ht="14.4" thickBot="1">
      <c r="A131" s="2624"/>
      <c r="B131" s="569"/>
      <c r="C131" s="570"/>
      <c r="D131" s="570"/>
      <c r="E131" s="570"/>
      <c r="F131" s="570"/>
      <c r="G131" s="591"/>
      <c r="H131" s="591"/>
      <c r="I131" s="591"/>
      <c r="J131" s="591"/>
      <c r="K131" s="591"/>
      <c r="L131" s="591"/>
      <c r="M131" s="592"/>
      <c r="N131" s="1148"/>
      <c r="O131" s="1148"/>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2518</v>
      </c>
      <c r="B1" s="2657" t="s">
        <v>2676</v>
      </c>
      <c r="C1" s="1614" t="s">
        <v>2520</v>
      </c>
      <c r="D1" s="1615"/>
      <c r="E1" s="1624"/>
      <c r="F1" s="2572"/>
      <c r="G1" s="1625" t="s">
        <v>2633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2317</v>
      </c>
      <c r="B2" s="1413" t="e">
        <f ca="1">IF(C2="——",ROUND(C50*D3/10000,0),ROUND(C50*D3/10000,0)-D2)</f>
        <v>#DIV/0!</v>
      </c>
      <c r="C2" s="2574"/>
      <c r="D2" s="1360" t="e">
        <f ca="1">SUMIF(INDIRECT("'"&amp;F2&amp;"'"&amp;"!A:A"),"承租人权益价值",INDIRECT("'"&amp;F2&amp;"'"&amp;"!c:c"))</f>
        <v>#REF!</v>
      </c>
      <c r="E2" s="2575" t="s">
        <v>2318</v>
      </c>
      <c r="F2" s="2576"/>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2634</v>
      </c>
      <c r="D3" s="399">
        <f>IF(D1="",'数据-汇总表'!E3,SUMIF('数据-汇总表'!$C19:$C33,D1,'数据-汇总表'!$E19:$E33))</f>
        <v>26881.280000000002</v>
      </c>
      <c r="E3" s="2651"/>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62" t="s">
        <v>2641</v>
      </c>
      <c r="Q4" s="3263"/>
      <c r="R4" s="3257" t="s">
        <v>2637</v>
      </c>
      <c r="S4" s="3258"/>
      <c r="T4" s="3257" t="s">
        <v>2638</v>
      </c>
      <c r="U4" s="3258"/>
      <c r="V4" s="3266" t="s">
        <v>2639</v>
      </c>
      <c r="W4" s="3266"/>
      <c r="X4" s="2658"/>
      <c r="Y4" s="3257" t="s">
        <v>2641</v>
      </c>
      <c r="Z4" s="3258"/>
      <c r="AA4" s="3256" t="s">
        <v>2637</v>
      </c>
      <c r="AB4" s="3256" t="s">
        <v>2638</v>
      </c>
      <c r="AC4" s="3259" t="s">
        <v>2639</v>
      </c>
    </row>
    <row r="5" spans="1:29">
      <c r="A5" s="404"/>
      <c r="B5" s="405"/>
      <c r="C5" s="3189" t="s">
        <v>2532</v>
      </c>
      <c r="D5" s="3190"/>
      <c r="E5" s="3187" t="s">
        <v>2533</v>
      </c>
      <c r="F5" s="3188"/>
      <c r="G5" s="3189" t="s">
        <v>2534</v>
      </c>
      <c r="H5" s="3190"/>
      <c r="I5" s="3189" t="s">
        <v>2535</v>
      </c>
      <c r="J5" s="3190"/>
      <c r="K5" s="610"/>
      <c r="L5" s="1125"/>
      <c r="M5" s="1126"/>
      <c r="N5" s="1126"/>
      <c r="O5" s="1126"/>
      <c r="P5" s="3264"/>
      <c r="Q5" s="3203"/>
      <c r="R5" s="3185"/>
      <c r="S5" s="3186"/>
      <c r="T5" s="3185"/>
      <c r="U5" s="3186"/>
      <c r="V5" s="3208"/>
      <c r="W5" s="3208"/>
      <c r="X5" s="1799"/>
      <c r="Y5" s="3185"/>
      <c r="Z5" s="3186"/>
      <c r="AA5" s="3179"/>
      <c r="AB5" s="3179"/>
      <c r="AC5" s="3260"/>
    </row>
    <row r="6" spans="1:29" ht="15" thickBot="1">
      <c r="A6" s="406"/>
      <c r="B6" s="407"/>
      <c r="C6" s="3191" t="s">
        <v>2536</v>
      </c>
      <c r="D6" s="3192"/>
      <c r="E6" s="3193" t="s">
        <v>2536</v>
      </c>
      <c r="F6" s="3194"/>
      <c r="G6" s="3191" t="s">
        <v>2536</v>
      </c>
      <c r="H6" s="3192"/>
      <c r="I6" s="3191" t="s">
        <v>2536</v>
      </c>
      <c r="J6" s="3192"/>
      <c r="K6" s="610" t="s">
        <v>2537</v>
      </c>
      <c r="L6" s="1125"/>
      <c r="M6" s="1126"/>
      <c r="N6" s="1126"/>
      <c r="O6" s="1126"/>
      <c r="P6" s="3265"/>
      <c r="Q6" s="3205"/>
      <c r="R6" s="3185"/>
      <c r="S6" s="3186"/>
      <c r="T6" s="3206"/>
      <c r="U6" s="3207"/>
      <c r="V6" s="3208"/>
      <c r="W6" s="3208"/>
      <c r="X6" s="1799"/>
      <c r="Y6" s="3206"/>
      <c r="Z6" s="3207"/>
      <c r="AA6" s="3180"/>
      <c r="AB6" s="3180"/>
      <c r="AC6" s="3261"/>
    </row>
    <row r="7" spans="1:29" s="117" customFormat="1" ht="15" thickBot="1">
      <c r="A7" s="408" t="s">
        <v>2538</v>
      </c>
      <c r="B7" s="409"/>
      <c r="C7" s="410">
        <f>'数据-取费表'!B2</f>
        <v>44020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67" t="s">
        <v>2539</v>
      </c>
      <c r="Q7" s="3209"/>
      <c r="R7" s="770" t="s">
        <v>17</v>
      </c>
      <c r="S7" s="771">
        <f t="shared" ref="S7:S15" si="0">F7</f>
        <v>0</v>
      </c>
      <c r="T7" s="770" t="s">
        <v>17</v>
      </c>
      <c r="U7" s="771">
        <f t="shared" ref="U7:U15" si="1">H7</f>
        <v>0</v>
      </c>
      <c r="V7" s="770" t="s">
        <v>17</v>
      </c>
      <c r="W7" s="771">
        <f t="shared" ref="W7:W15" si="2">J7</f>
        <v>0</v>
      </c>
      <c r="X7" s="772"/>
      <c r="Y7" s="3181" t="s">
        <v>2539</v>
      </c>
      <c r="Z7" s="3182"/>
      <c r="AA7" s="773" t="e">
        <f>D7/F7</f>
        <v>#DIV/0!</v>
      </c>
      <c r="AB7" s="773" t="e">
        <f>D7/H7</f>
        <v>#DIV/0!</v>
      </c>
      <c r="AC7" s="2659" t="e">
        <f>D7/J7</f>
        <v>#DIV/0!</v>
      </c>
    </row>
    <row r="8" spans="1:29" s="117" customFormat="1" ht="1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67" t="s">
        <v>2542</v>
      </c>
      <c r="Q8" s="3182"/>
      <c r="R8" s="770" t="s">
        <v>17</v>
      </c>
      <c r="S8" s="771">
        <f t="shared" si="0"/>
        <v>0</v>
      </c>
      <c r="T8" s="770" t="s">
        <v>17</v>
      </c>
      <c r="U8" s="771">
        <f t="shared" si="1"/>
        <v>0</v>
      </c>
      <c r="V8" s="770" t="s">
        <v>17</v>
      </c>
      <c r="W8" s="771">
        <f t="shared" si="2"/>
        <v>0</v>
      </c>
      <c r="X8" s="772"/>
      <c r="Y8" s="3181" t="s">
        <v>2542</v>
      </c>
      <c r="Z8" s="3182"/>
      <c r="AA8" s="773" t="e">
        <f t="shared" ref="AA8:AA47" si="3">D8/F8</f>
        <v>#DIV/0!</v>
      </c>
      <c r="AB8" s="773" t="e">
        <f t="shared" ref="AB8:AB47" si="4">D8/H8</f>
        <v>#DIV/0!</v>
      </c>
      <c r="AC8" s="2659" t="e">
        <f t="shared" ref="AC8:AC47" si="5">D8/J8</f>
        <v>#DIV/0!</v>
      </c>
    </row>
    <row r="9" spans="1:29" s="117" customFormat="1" ht="14.4">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19"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2659">
        <f t="shared" si="5"/>
        <v>1</v>
      </c>
    </row>
    <row r="10" spans="1:29" s="427" customFormat="1" ht="28.8">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19"/>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59">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19"/>
      <c r="Q11" s="1781"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7"/>
      <c r="M12" s="1128"/>
      <c r="N12" s="1128"/>
      <c r="O12" s="1128"/>
      <c r="P12" s="3219"/>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5"/>
      <c r="M13" s="1126"/>
      <c r="N13" s="1126"/>
      <c r="O13" s="1126"/>
      <c r="P13" s="3219"/>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59">
        <f t="shared" si="5"/>
        <v>1</v>
      </c>
    </row>
    <row r="14" spans="1:29" ht="15.6"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35"/>
      <c r="M14" s="1126"/>
      <c r="N14" s="1126"/>
      <c r="O14" s="1126"/>
      <c r="P14" s="3219"/>
      <c r="Q14" s="1781">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59">
        <f t="shared" si="5"/>
        <v>1</v>
      </c>
    </row>
    <row r="15" spans="1:29" ht="15">
      <c r="A15" s="440" t="s">
        <v>2549</v>
      </c>
      <c r="B15" s="629" t="s">
        <v>2677</v>
      </c>
      <c r="C15" s="266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54" t="s">
        <v>2550</v>
      </c>
      <c r="Q15" s="1796" t="str">
        <f t="shared" si="6"/>
        <v>办公集聚程度</v>
      </c>
      <c r="R15" s="774" t="s">
        <v>17</v>
      </c>
      <c r="S15" s="775">
        <f t="shared" si="0"/>
        <v>100</v>
      </c>
      <c r="T15" s="774" t="s">
        <v>17</v>
      </c>
      <c r="U15" s="775">
        <f t="shared" si="1"/>
        <v>100</v>
      </c>
      <c r="V15" s="774" t="s">
        <v>17</v>
      </c>
      <c r="W15" s="775">
        <f t="shared" si="2"/>
        <v>100</v>
      </c>
      <c r="X15" s="1799"/>
      <c r="Y15" s="3210" t="s">
        <v>2550</v>
      </c>
      <c r="Z15" s="1800" t="str">
        <f t="shared" si="7"/>
        <v>办公集聚程度</v>
      </c>
      <c r="AA15" s="1797">
        <f t="shared" si="3"/>
        <v>1</v>
      </c>
      <c r="AB15" s="1797">
        <f t="shared" si="4"/>
        <v>1</v>
      </c>
      <c r="AC15" s="2662">
        <f t="shared" si="5"/>
        <v>1</v>
      </c>
    </row>
    <row r="16" spans="1:29" ht="15">
      <c r="A16" s="428"/>
      <c r="B16" s="630"/>
      <c r="C16" s="2599"/>
      <c r="D16" s="448"/>
      <c r="E16" s="447"/>
      <c r="F16" s="448"/>
      <c r="G16" s="2599"/>
      <c r="H16" s="450"/>
      <c r="I16" s="447"/>
      <c r="J16" s="448"/>
      <c r="K16" s="615"/>
      <c r="L16" s="1135"/>
      <c r="M16" s="1126"/>
      <c r="N16" s="1126"/>
      <c r="O16" s="1126"/>
      <c r="P16" s="3255"/>
      <c r="Q16" s="1796"/>
      <c r="R16" s="774"/>
      <c r="S16" s="775"/>
      <c r="T16" s="774"/>
      <c r="U16" s="775"/>
      <c r="V16" s="774"/>
      <c r="W16" s="775"/>
      <c r="X16" s="1799"/>
      <c r="Y16" s="3211"/>
      <c r="Z16" s="1800"/>
      <c r="AA16" s="1797">
        <v>1</v>
      </c>
      <c r="AB16" s="1797">
        <v>1</v>
      </c>
      <c r="AC16" s="2662">
        <v>1</v>
      </c>
    </row>
    <row r="17" spans="1:29" ht="15">
      <c r="A17" s="428"/>
      <c r="B17" s="631" t="s">
        <v>2089</v>
      </c>
      <c r="C17" s="266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55"/>
      <c r="Q17" s="1796" t="str">
        <f>B17</f>
        <v>交通便捷度</v>
      </c>
      <c r="R17" s="774" t="s">
        <v>17</v>
      </c>
      <c r="S17" s="775">
        <f>F17</f>
        <v>100</v>
      </c>
      <c r="T17" s="774" t="s">
        <v>17</v>
      </c>
      <c r="U17" s="775">
        <f>H17</f>
        <v>100</v>
      </c>
      <c r="V17" s="774" t="s">
        <v>17</v>
      </c>
      <c r="W17" s="775">
        <f>J17</f>
        <v>100</v>
      </c>
      <c r="X17" s="1799"/>
      <c r="Y17" s="3211"/>
      <c r="Z17" s="1800" t="str">
        <f>Q17</f>
        <v>交通便捷度</v>
      </c>
      <c r="AA17" s="1797">
        <f t="shared" si="3"/>
        <v>1</v>
      </c>
      <c r="AB17" s="1797">
        <f t="shared" si="4"/>
        <v>1</v>
      </c>
      <c r="AC17" s="2662">
        <f t="shared" si="5"/>
        <v>1</v>
      </c>
    </row>
    <row r="18" spans="1:29" ht="15">
      <c r="A18" s="428"/>
      <c r="B18" s="632"/>
      <c r="C18" s="2664"/>
      <c r="D18" s="450"/>
      <c r="E18" s="2597"/>
      <c r="F18" s="450"/>
      <c r="G18" s="2598"/>
      <c r="H18" s="448"/>
      <c r="I18" s="2598"/>
      <c r="J18" s="448"/>
      <c r="K18" s="615"/>
      <c r="L18" s="1135"/>
      <c r="M18" s="1126"/>
      <c r="N18" s="1126"/>
      <c r="O18" s="1126"/>
      <c r="P18" s="3255"/>
      <c r="Q18" s="1796"/>
      <c r="R18" s="774"/>
      <c r="S18" s="775"/>
      <c r="T18" s="774"/>
      <c r="U18" s="775"/>
      <c r="V18" s="774"/>
      <c r="W18" s="775"/>
      <c r="X18" s="1799"/>
      <c r="Y18" s="3211"/>
      <c r="Z18" s="1800"/>
      <c r="AA18" s="1797">
        <v>1</v>
      </c>
      <c r="AB18" s="1797">
        <v>1</v>
      </c>
      <c r="AC18" s="2662">
        <v>1</v>
      </c>
    </row>
    <row r="19" spans="1:29" ht="15">
      <c r="A19" s="428"/>
      <c r="B19" s="631" t="s">
        <v>2678</v>
      </c>
      <c r="C19" s="266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55"/>
      <c r="Q19" s="1796" t="str">
        <f>B19</f>
        <v>公共配套设施</v>
      </c>
      <c r="R19" s="774" t="s">
        <v>17</v>
      </c>
      <c r="S19" s="775">
        <f>F19</f>
        <v>100</v>
      </c>
      <c r="T19" s="774" t="s">
        <v>17</v>
      </c>
      <c r="U19" s="775">
        <f>H19</f>
        <v>100</v>
      </c>
      <c r="V19" s="774" t="s">
        <v>17</v>
      </c>
      <c r="W19" s="775">
        <f>J19</f>
        <v>100</v>
      </c>
      <c r="X19" s="1799"/>
      <c r="Y19" s="3211"/>
      <c r="Z19" s="1800" t="str">
        <f>Q19</f>
        <v>公共配套设施</v>
      </c>
      <c r="AA19" s="1797">
        <f t="shared" si="3"/>
        <v>1</v>
      </c>
      <c r="AB19" s="1797">
        <f t="shared" si="4"/>
        <v>1</v>
      </c>
      <c r="AC19" s="2662">
        <f t="shared" si="5"/>
        <v>1</v>
      </c>
    </row>
    <row r="20" spans="1:29" ht="15">
      <c r="A20" s="428"/>
      <c r="B20" s="632"/>
      <c r="C20" s="2599"/>
      <c r="D20" s="448"/>
      <c r="E20" s="2592"/>
      <c r="F20" s="448"/>
      <c r="G20" s="2593"/>
      <c r="H20" s="448"/>
      <c r="I20" s="2593"/>
      <c r="J20" s="448"/>
      <c r="K20" s="615"/>
      <c r="L20" s="1135"/>
      <c r="M20" s="1126"/>
      <c r="N20" s="1126"/>
      <c r="O20" s="1126"/>
      <c r="P20" s="3255"/>
      <c r="Q20" s="1796"/>
      <c r="R20" s="774"/>
      <c r="S20" s="775"/>
      <c r="T20" s="774"/>
      <c r="U20" s="775"/>
      <c r="V20" s="774"/>
      <c r="W20" s="775"/>
      <c r="X20" s="1799"/>
      <c r="Y20" s="3211"/>
      <c r="Z20" s="1800"/>
      <c r="AA20" s="1797">
        <v>1</v>
      </c>
      <c r="AB20" s="1797">
        <v>1</v>
      </c>
      <c r="AC20" s="2662">
        <v>1</v>
      </c>
    </row>
    <row r="21" spans="1:29" ht="15">
      <c r="A21" s="428"/>
      <c r="B21" s="633" t="s">
        <v>2679</v>
      </c>
      <c r="C21" s="266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55"/>
      <c r="Q21" s="1796" t="str">
        <f>B21</f>
        <v>基础设施水平</v>
      </c>
      <c r="R21" s="774" t="s">
        <v>17</v>
      </c>
      <c r="S21" s="775">
        <f>F21</f>
        <v>100</v>
      </c>
      <c r="T21" s="774" t="s">
        <v>17</v>
      </c>
      <c r="U21" s="775">
        <f>H21</f>
        <v>100</v>
      </c>
      <c r="V21" s="774" t="s">
        <v>17</v>
      </c>
      <c r="W21" s="775">
        <f>J21</f>
        <v>100</v>
      </c>
      <c r="X21" s="1799"/>
      <c r="Y21" s="3211"/>
      <c r="Z21" s="1800" t="str">
        <f>Q21</f>
        <v>基础设施水平</v>
      </c>
      <c r="AA21" s="1797">
        <f t="shared" ref="AA21" si="8">D21/F21</f>
        <v>1</v>
      </c>
      <c r="AB21" s="1797">
        <f t="shared" ref="AB21" si="9">D21/H21</f>
        <v>1</v>
      </c>
      <c r="AC21" s="2662">
        <f t="shared" ref="AC21" si="10">D21/J21</f>
        <v>1</v>
      </c>
    </row>
    <row r="22" spans="1:29" ht="15">
      <c r="A22" s="428"/>
      <c r="B22" s="633"/>
      <c r="C22" s="2664"/>
      <c r="D22" s="448"/>
      <c r="E22" s="447"/>
      <c r="F22" s="448"/>
      <c r="G22" s="2599"/>
      <c r="H22" s="448"/>
      <c r="I22" s="2599"/>
      <c r="J22" s="448"/>
      <c r="K22" s="1378"/>
      <c r="L22" s="1135"/>
      <c r="M22" s="1126"/>
      <c r="N22" s="1126"/>
      <c r="O22" s="1126"/>
      <c r="P22" s="3255"/>
      <c r="Q22" s="1796"/>
      <c r="R22" s="774"/>
      <c r="S22" s="775"/>
      <c r="T22" s="774"/>
      <c r="U22" s="775"/>
      <c r="V22" s="774"/>
      <c r="W22" s="775"/>
      <c r="X22" s="1799"/>
      <c r="Y22" s="3211"/>
      <c r="Z22" s="1800"/>
      <c r="AA22" s="1797">
        <v>1</v>
      </c>
      <c r="AB22" s="1797">
        <v>1</v>
      </c>
      <c r="AC22" s="2662">
        <v>1</v>
      </c>
    </row>
    <row r="23" spans="1:29" ht="15">
      <c r="A23" s="428"/>
      <c r="B23" s="631" t="s">
        <v>2680</v>
      </c>
      <c r="C23" s="266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55"/>
      <c r="Q23" s="1796" t="str">
        <f>B23</f>
        <v>环境质量</v>
      </c>
      <c r="R23" s="774" t="s">
        <v>17</v>
      </c>
      <c r="S23" s="775">
        <f>F23</f>
        <v>100</v>
      </c>
      <c r="T23" s="774" t="s">
        <v>17</v>
      </c>
      <c r="U23" s="775">
        <f>H23</f>
        <v>100</v>
      </c>
      <c r="V23" s="774" t="s">
        <v>17</v>
      </c>
      <c r="W23" s="775">
        <f>J23</f>
        <v>100</v>
      </c>
      <c r="X23" s="1799"/>
      <c r="Y23" s="3211"/>
      <c r="Z23" s="1800" t="str">
        <f>Q23</f>
        <v>环境质量</v>
      </c>
      <c r="AA23" s="1797">
        <f t="shared" si="3"/>
        <v>1</v>
      </c>
      <c r="AB23" s="1797">
        <f t="shared" si="4"/>
        <v>1</v>
      </c>
      <c r="AC23" s="2662">
        <f t="shared" si="5"/>
        <v>1</v>
      </c>
    </row>
    <row r="24" spans="1:29" ht="15">
      <c r="A24" s="428"/>
      <c r="B24" s="633"/>
      <c r="C24" s="2599"/>
      <c r="D24" s="448"/>
      <c r="E24" s="2592"/>
      <c r="F24" s="448"/>
      <c r="G24" s="2593"/>
      <c r="H24" s="448"/>
      <c r="I24" s="2593"/>
      <c r="J24" s="448"/>
      <c r="K24" s="615"/>
      <c r="L24" s="1135"/>
      <c r="M24" s="1126"/>
      <c r="N24" s="1126"/>
      <c r="O24" s="1126"/>
      <c r="P24" s="3255"/>
      <c r="Q24" s="1796"/>
      <c r="R24" s="774"/>
      <c r="S24" s="775"/>
      <c r="T24" s="774"/>
      <c r="U24" s="775"/>
      <c r="V24" s="774"/>
      <c r="W24" s="775"/>
      <c r="X24" s="1799"/>
      <c r="Y24" s="3211"/>
      <c r="Z24" s="1800"/>
      <c r="AA24" s="1797">
        <v>1</v>
      </c>
      <c r="AB24" s="1797">
        <v>1</v>
      </c>
      <c r="AC24" s="2662">
        <v>1</v>
      </c>
    </row>
    <row r="25" spans="1:29" ht="28.8">
      <c r="A25" s="404"/>
      <c r="B25" s="631" t="s">
        <v>2681</v>
      </c>
      <c r="C25" s="2603"/>
      <c r="D25" s="435">
        <v>100</v>
      </c>
      <c r="E25" s="434"/>
      <c r="F25" s="435">
        <f>SUMIF(87:87,E26,88:88)-SUMIF(87:87,C26,88:88)+100</f>
        <v>100</v>
      </c>
      <c r="G25" s="2603"/>
      <c r="H25" s="435">
        <f>SUMIF(87:87,G26,88:88)-SUMIF(87:87,C26,88:88)+100</f>
        <v>100</v>
      </c>
      <c r="I25" s="434"/>
      <c r="J25" s="435">
        <f>SUMIF(87:87,I26,88:88)-SUMIF(87:87,C26,88:88)+100</f>
        <v>100</v>
      </c>
      <c r="K25" s="614"/>
      <c r="L25" s="1135"/>
      <c r="M25" s="1126"/>
      <c r="N25" s="1126"/>
      <c r="O25" s="1126"/>
      <c r="P25" s="3255"/>
      <c r="Q25" s="1796" t="str">
        <f>B25</f>
        <v>毗邻道路的类型与等级</v>
      </c>
      <c r="R25" s="774" t="s">
        <v>17</v>
      </c>
      <c r="S25" s="775">
        <f>F25</f>
        <v>100</v>
      </c>
      <c r="T25" s="774" t="s">
        <v>17</v>
      </c>
      <c r="U25" s="775">
        <f>H25</f>
        <v>100</v>
      </c>
      <c r="V25" s="774" t="s">
        <v>17</v>
      </c>
      <c r="W25" s="775">
        <f>J25</f>
        <v>100</v>
      </c>
      <c r="X25" s="1799"/>
      <c r="Y25" s="3211"/>
      <c r="Z25" s="1800" t="str">
        <f>Q25</f>
        <v>毗邻道路的类型与等级</v>
      </c>
      <c r="AA25" s="1797">
        <f t="shared" si="3"/>
        <v>1</v>
      </c>
      <c r="AB25" s="1797">
        <f t="shared" si="4"/>
        <v>1</v>
      </c>
      <c r="AC25" s="2662">
        <f t="shared" si="5"/>
        <v>1</v>
      </c>
    </row>
    <row r="26" spans="1:29" ht="15">
      <c r="A26" s="404"/>
      <c r="B26" s="632"/>
      <c r="C26" s="634"/>
      <c r="D26" s="435"/>
      <c r="E26" s="616"/>
      <c r="F26" s="435"/>
      <c r="G26" s="634"/>
      <c r="H26" s="435"/>
      <c r="I26" s="616"/>
      <c r="J26" s="435"/>
      <c r="K26" s="615"/>
      <c r="L26" s="1135"/>
      <c r="M26" s="1126"/>
      <c r="N26" s="1126"/>
      <c r="O26" s="1126"/>
      <c r="P26" s="3255"/>
      <c r="Q26" s="1796"/>
      <c r="R26" s="774"/>
      <c r="S26" s="775"/>
      <c r="T26" s="774"/>
      <c r="U26" s="775"/>
      <c r="V26" s="774"/>
      <c r="W26" s="775"/>
      <c r="X26" s="1799"/>
      <c r="Y26" s="3211"/>
      <c r="Z26" s="1800"/>
      <c r="AA26" s="1797">
        <v>1</v>
      </c>
      <c r="AB26" s="1797">
        <v>1</v>
      </c>
      <c r="AC26" s="2662">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55"/>
      <c r="Q27" s="1796" t="str">
        <f t="shared" ref="Q27:Q47" si="11">B27</f>
        <v>楼层</v>
      </c>
      <c r="R27" s="774" t="s">
        <v>17</v>
      </c>
      <c r="S27" s="775">
        <f>F27</f>
        <v>100</v>
      </c>
      <c r="T27" s="774" t="s">
        <v>17</v>
      </c>
      <c r="U27" s="775">
        <f>H27</f>
        <v>100</v>
      </c>
      <c r="V27" s="774" t="s">
        <v>17</v>
      </c>
      <c r="W27" s="775">
        <f>J27</f>
        <v>100</v>
      </c>
      <c r="X27" s="1799"/>
      <c r="Y27" s="3211"/>
      <c r="Z27" s="1800" t="str">
        <f>Q27</f>
        <v>楼层</v>
      </c>
      <c r="AA27" s="1797">
        <f t="shared" si="3"/>
        <v>1</v>
      </c>
      <c r="AB27" s="1797">
        <f t="shared" si="4"/>
        <v>1</v>
      </c>
      <c r="AC27" s="2662">
        <f t="shared" si="5"/>
        <v>1</v>
      </c>
    </row>
    <row r="28" spans="1:29" s="117" customFormat="1" ht="15">
      <c r="A28" s="431"/>
      <c r="B28" s="631" t="s">
        <v>2682</v>
      </c>
      <c r="C28" s="2665"/>
      <c r="D28" s="462">
        <v>100</v>
      </c>
      <c r="E28" s="2653"/>
      <c r="F28" s="462">
        <f>SUMIF(91:91,E28,92:92)-SUMIF(91:91,C28,92:92)+100</f>
        <v>100</v>
      </c>
      <c r="G28" s="2665"/>
      <c r="H28" s="462">
        <f>SUMIF(91:91,G28,92:92)-SUMIF(91:91,C28,92:92)+100</f>
        <v>100</v>
      </c>
      <c r="I28" s="2653"/>
      <c r="J28" s="462">
        <f>SUMIF(91:91,I28,92:92)-SUMIF(91:91,C28,92:92)+100</f>
        <v>100</v>
      </c>
      <c r="K28" s="612"/>
      <c r="L28" s="1127"/>
      <c r="M28" s="1128"/>
      <c r="N28" s="1128"/>
      <c r="O28" s="1128"/>
      <c r="P28" s="3255"/>
      <c r="Q28" s="1781" t="str">
        <f t="shared" si="11"/>
        <v>朝向</v>
      </c>
      <c r="R28" s="770" t="s">
        <v>17</v>
      </c>
      <c r="S28" s="771">
        <f>F28</f>
        <v>100</v>
      </c>
      <c r="T28" s="770" t="s">
        <v>17</v>
      </c>
      <c r="U28" s="771">
        <f>H28</f>
        <v>100</v>
      </c>
      <c r="V28" s="770" t="s">
        <v>17</v>
      </c>
      <c r="W28" s="771">
        <f>J28</f>
        <v>100</v>
      </c>
      <c r="X28" s="772"/>
      <c r="Y28" s="3211"/>
      <c r="Z28" s="55" t="str">
        <f>Q28</f>
        <v>朝向</v>
      </c>
      <c r="AA28" s="1797">
        <f>D28/F28</f>
        <v>1</v>
      </c>
      <c r="AB28" s="1797">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5"/>
      <c r="M29" s="1126"/>
      <c r="N29" s="1126"/>
      <c r="O29" s="1126"/>
      <c r="P29" s="3255"/>
      <c r="Q29" s="1796">
        <f t="shared" si="11"/>
        <v>111</v>
      </c>
      <c r="R29" s="774" t="s">
        <v>17</v>
      </c>
      <c r="S29" s="775">
        <f t="shared" ref="S29:S47" si="12">F29</f>
        <v>100</v>
      </c>
      <c r="T29" s="774" t="s">
        <v>17</v>
      </c>
      <c r="U29" s="775">
        <f t="shared" ref="U29:U47" si="13">H29</f>
        <v>100</v>
      </c>
      <c r="V29" s="774" t="s">
        <v>17</v>
      </c>
      <c r="W29" s="775">
        <f t="shared" ref="W29:W47" si="14">J29</f>
        <v>100</v>
      </c>
      <c r="X29" s="1799"/>
      <c r="Y29" s="3211"/>
      <c r="Z29" s="1800">
        <f t="shared" ref="Z29:Z47" si="15">Q29</f>
        <v>111</v>
      </c>
      <c r="AA29" s="1797">
        <f t="shared" si="3"/>
        <v>1</v>
      </c>
      <c r="AB29" s="1797">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5"/>
      <c r="M30" s="1126"/>
      <c r="N30" s="1126"/>
      <c r="O30" s="1126"/>
      <c r="P30" s="3255"/>
      <c r="Q30" s="1796">
        <f t="shared" si="11"/>
        <v>111</v>
      </c>
      <c r="R30" s="774" t="s">
        <v>17</v>
      </c>
      <c r="S30" s="775">
        <f t="shared" si="12"/>
        <v>100</v>
      </c>
      <c r="T30" s="774" t="s">
        <v>17</v>
      </c>
      <c r="U30" s="775">
        <f t="shared" si="13"/>
        <v>100</v>
      </c>
      <c r="V30" s="774" t="s">
        <v>17</v>
      </c>
      <c r="W30" s="775">
        <f t="shared" si="14"/>
        <v>100</v>
      </c>
      <c r="X30" s="1799"/>
      <c r="Y30" s="3211"/>
      <c r="Z30" s="1800">
        <f t="shared" si="15"/>
        <v>111</v>
      </c>
      <c r="AA30" s="1797">
        <f t="shared" si="3"/>
        <v>1</v>
      </c>
      <c r="AB30" s="1797">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5"/>
      <c r="M31" s="1126"/>
      <c r="N31" s="1126"/>
      <c r="O31" s="1126"/>
      <c r="P31" s="3255"/>
      <c r="Q31" s="1796">
        <f t="shared" si="11"/>
        <v>111</v>
      </c>
      <c r="R31" s="774" t="s">
        <v>17</v>
      </c>
      <c r="S31" s="775">
        <f t="shared" si="12"/>
        <v>100</v>
      </c>
      <c r="T31" s="774" t="s">
        <v>17</v>
      </c>
      <c r="U31" s="775">
        <f t="shared" si="13"/>
        <v>100</v>
      </c>
      <c r="V31" s="774" t="s">
        <v>17</v>
      </c>
      <c r="W31" s="775">
        <f t="shared" si="14"/>
        <v>100</v>
      </c>
      <c r="X31" s="1799"/>
      <c r="Y31" s="3211"/>
      <c r="Z31" s="1800">
        <f t="shared" si="15"/>
        <v>111</v>
      </c>
      <c r="AA31" s="1797">
        <f t="shared" si="3"/>
        <v>1</v>
      </c>
      <c r="AB31" s="1797">
        <f t="shared" si="4"/>
        <v>1</v>
      </c>
      <c r="AC31" s="2662">
        <f t="shared" si="5"/>
        <v>1</v>
      </c>
    </row>
    <row r="32" spans="1:29" ht="15.6"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35"/>
      <c r="M32" s="1126"/>
      <c r="N32" s="1126"/>
      <c r="O32" s="1126"/>
      <c r="P32" s="3255"/>
      <c r="Q32" s="1796">
        <f t="shared" si="11"/>
        <v>111</v>
      </c>
      <c r="R32" s="774" t="s">
        <v>17</v>
      </c>
      <c r="S32" s="775">
        <f t="shared" si="12"/>
        <v>100</v>
      </c>
      <c r="T32" s="774" t="s">
        <v>17</v>
      </c>
      <c r="U32" s="775">
        <f t="shared" si="13"/>
        <v>100</v>
      </c>
      <c r="V32" s="774" t="s">
        <v>17</v>
      </c>
      <c r="W32" s="775">
        <f t="shared" si="14"/>
        <v>100</v>
      </c>
      <c r="X32" s="1799"/>
      <c r="Y32" s="3211"/>
      <c r="Z32" s="1800">
        <f t="shared" si="15"/>
        <v>111</v>
      </c>
      <c r="AA32" s="1797">
        <f t="shared" si="3"/>
        <v>1</v>
      </c>
      <c r="AB32" s="1797">
        <f t="shared" si="4"/>
        <v>1</v>
      </c>
      <c r="AC32" s="2662">
        <f t="shared" si="5"/>
        <v>1</v>
      </c>
    </row>
    <row r="33" spans="1:29" ht="15">
      <c r="A33" s="440" t="s">
        <v>2553</v>
      </c>
      <c r="B33" s="71" t="s">
        <v>2683</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35"/>
      <c r="M33" s="1126"/>
      <c r="N33" s="1126"/>
      <c r="O33" s="1126"/>
      <c r="P33" s="3250" t="s">
        <v>2555</v>
      </c>
      <c r="Q33" s="1796" t="str">
        <f t="shared" si="11"/>
        <v>建筑类型</v>
      </c>
      <c r="R33" s="774" t="s">
        <v>17</v>
      </c>
      <c r="S33" s="775">
        <f t="shared" si="12"/>
        <v>100</v>
      </c>
      <c r="T33" s="774" t="s">
        <v>17</v>
      </c>
      <c r="U33" s="775">
        <f t="shared" si="13"/>
        <v>100</v>
      </c>
      <c r="V33" s="774" t="s">
        <v>17</v>
      </c>
      <c r="W33" s="775">
        <f t="shared" si="14"/>
        <v>100</v>
      </c>
      <c r="X33" s="1799"/>
      <c r="Y33" s="3213" t="s">
        <v>2555</v>
      </c>
      <c r="Z33" s="1800" t="str">
        <f t="shared" si="15"/>
        <v>建筑类型</v>
      </c>
      <c r="AA33" s="1797">
        <f t="shared" si="3"/>
        <v>1</v>
      </c>
      <c r="AB33" s="1797">
        <f t="shared" si="4"/>
        <v>1</v>
      </c>
      <c r="AC33" s="2662">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5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797" t="e">
        <f t="shared" si="3"/>
        <v>#N/A</v>
      </c>
      <c r="AB34" s="1797" t="e">
        <f t="shared" si="4"/>
        <v>#N/A</v>
      </c>
      <c r="AC34" s="2662"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51"/>
      <c r="Q35" s="1796" t="str">
        <f t="shared" si="11"/>
        <v>建筑结构</v>
      </c>
      <c r="R35" s="774" t="s">
        <v>17</v>
      </c>
      <c r="S35" s="775">
        <f t="shared" si="12"/>
        <v>100</v>
      </c>
      <c r="T35" s="774" t="s">
        <v>17</v>
      </c>
      <c r="U35" s="775">
        <f t="shared" si="13"/>
        <v>100</v>
      </c>
      <c r="V35" s="774" t="s">
        <v>17</v>
      </c>
      <c r="W35" s="775">
        <f t="shared" si="14"/>
        <v>100</v>
      </c>
      <c r="X35" s="1799"/>
      <c r="Y35" s="3213"/>
      <c r="Z35" s="1800" t="str">
        <f t="shared" si="15"/>
        <v>建筑结构</v>
      </c>
      <c r="AA35" s="1797">
        <f t="shared" si="3"/>
        <v>1</v>
      </c>
      <c r="AB35" s="1797">
        <f t="shared" si="4"/>
        <v>1</v>
      </c>
      <c r="AC35" s="2662">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51"/>
      <c r="Q36" s="1796" t="str">
        <f t="shared" si="11"/>
        <v>公共部分装修</v>
      </c>
      <c r="R36" s="774" t="s">
        <v>17</v>
      </c>
      <c r="S36" s="775">
        <f t="shared" si="12"/>
        <v>100</v>
      </c>
      <c r="T36" s="774" t="s">
        <v>17</v>
      </c>
      <c r="U36" s="775">
        <f t="shared" si="13"/>
        <v>100</v>
      </c>
      <c r="V36" s="774" t="s">
        <v>17</v>
      </c>
      <c r="W36" s="775">
        <f t="shared" si="14"/>
        <v>100</v>
      </c>
      <c r="X36" s="1799"/>
      <c r="Y36" s="3213"/>
      <c r="Z36" s="1800" t="str">
        <f t="shared" si="15"/>
        <v>公共部分装修</v>
      </c>
      <c r="AA36" s="1797">
        <f t="shared" si="3"/>
        <v>1</v>
      </c>
      <c r="AB36" s="1797">
        <f t="shared" si="4"/>
        <v>1</v>
      </c>
      <c r="AC36" s="2662">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51"/>
      <c r="Q37" s="1796" t="str">
        <f t="shared" si="11"/>
        <v>成新度</v>
      </c>
      <c r="R37" s="774" t="s">
        <v>17</v>
      </c>
      <c r="S37" s="775" t="e">
        <f t="shared" si="12"/>
        <v>#N/A</v>
      </c>
      <c r="T37" s="774" t="s">
        <v>17</v>
      </c>
      <c r="U37" s="775" t="e">
        <f t="shared" si="13"/>
        <v>#N/A</v>
      </c>
      <c r="V37" s="774" t="s">
        <v>17</v>
      </c>
      <c r="W37" s="775" t="e">
        <f t="shared" si="14"/>
        <v>#N/A</v>
      </c>
      <c r="X37" s="1799"/>
      <c r="Y37" s="3213"/>
      <c r="Z37" s="1800" t="str">
        <f t="shared" si="15"/>
        <v>成新度</v>
      </c>
      <c r="AA37" s="1797" t="e">
        <f t="shared" si="3"/>
        <v>#N/A</v>
      </c>
      <c r="AB37" s="1797" t="e">
        <f t="shared" si="4"/>
        <v>#N/A</v>
      </c>
      <c r="AC37" s="2662"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51"/>
      <c r="Q38" s="1781"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59">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51" t="s">
        <v>2555</v>
      </c>
      <c r="Q39" s="1796" t="str">
        <f t="shared" si="11"/>
        <v>物业管理</v>
      </c>
      <c r="R39" s="774" t="s">
        <v>17</v>
      </c>
      <c r="S39" s="775">
        <f t="shared" si="12"/>
        <v>100</v>
      </c>
      <c r="T39" s="774" t="s">
        <v>17</v>
      </c>
      <c r="U39" s="775">
        <f t="shared" si="13"/>
        <v>100</v>
      </c>
      <c r="V39" s="774" t="s">
        <v>17</v>
      </c>
      <c r="W39" s="775">
        <f t="shared" si="14"/>
        <v>100</v>
      </c>
      <c r="X39" s="1799"/>
      <c r="Y39" s="3213" t="s">
        <v>2555</v>
      </c>
      <c r="Z39" s="1800" t="str">
        <f t="shared" si="15"/>
        <v>物业管理</v>
      </c>
      <c r="AA39" s="1797">
        <f t="shared" si="3"/>
        <v>1</v>
      </c>
      <c r="AB39" s="1797">
        <f t="shared" si="4"/>
        <v>1</v>
      </c>
      <c r="AC39" s="2662">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51"/>
      <c r="Q40" s="1796" t="str">
        <f t="shared" si="11"/>
        <v>市政基础设施</v>
      </c>
      <c r="R40" s="774" t="s">
        <v>17</v>
      </c>
      <c r="S40" s="775">
        <f t="shared" si="12"/>
        <v>100</v>
      </c>
      <c r="T40" s="774" t="s">
        <v>17</v>
      </c>
      <c r="U40" s="775">
        <f t="shared" si="13"/>
        <v>100</v>
      </c>
      <c r="V40" s="774" t="s">
        <v>17</v>
      </c>
      <c r="W40" s="775">
        <f t="shared" si="14"/>
        <v>100</v>
      </c>
      <c r="X40" s="1799"/>
      <c r="Y40" s="3213"/>
      <c r="Z40" s="1800" t="str">
        <f t="shared" si="15"/>
        <v>市政基础设施</v>
      </c>
      <c r="AA40" s="1797">
        <f t="shared" si="3"/>
        <v>1</v>
      </c>
      <c r="AB40" s="1797">
        <f t="shared" si="4"/>
        <v>1</v>
      </c>
      <c r="AC40" s="2662">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51"/>
      <c r="Q41" s="1796" t="str">
        <f t="shared" si="11"/>
        <v>层高</v>
      </c>
      <c r="R41" s="774" t="s">
        <v>17</v>
      </c>
      <c r="S41" s="775">
        <f t="shared" si="12"/>
        <v>100</v>
      </c>
      <c r="T41" s="774" t="s">
        <v>17</v>
      </c>
      <c r="U41" s="775">
        <f t="shared" si="13"/>
        <v>100</v>
      </c>
      <c r="V41" s="774" t="s">
        <v>17</v>
      </c>
      <c r="W41" s="775">
        <f t="shared" si="14"/>
        <v>100</v>
      </c>
      <c r="X41" s="1799"/>
      <c r="Y41" s="3213"/>
      <c r="Z41" s="1800" t="str">
        <f t="shared" si="15"/>
        <v>层高</v>
      </c>
      <c r="AA41" s="1797">
        <f t="shared" si="3"/>
        <v>1</v>
      </c>
      <c r="AB41" s="1797">
        <f t="shared" si="4"/>
        <v>1</v>
      </c>
      <c r="AC41" s="2662">
        <f t="shared" si="5"/>
        <v>1</v>
      </c>
    </row>
    <row r="42" spans="1:29" s="471" customFormat="1" ht="15">
      <c r="A42" s="468"/>
      <c r="B42" s="1798"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5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797">
        <f t="shared" si="3"/>
        <v>1</v>
      </c>
      <c r="AB42" s="1797">
        <f t="shared" si="4"/>
        <v>1</v>
      </c>
      <c r="AC42" s="2662">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51"/>
      <c r="Q43" s="1796" t="str">
        <f t="shared" si="11"/>
        <v>内部装修</v>
      </c>
      <c r="R43" s="774" t="s">
        <v>17</v>
      </c>
      <c r="S43" s="775">
        <f t="shared" si="12"/>
        <v>100</v>
      </c>
      <c r="T43" s="774" t="s">
        <v>17</v>
      </c>
      <c r="U43" s="775">
        <f t="shared" si="13"/>
        <v>100</v>
      </c>
      <c r="V43" s="774" t="s">
        <v>17</v>
      </c>
      <c r="W43" s="775">
        <f t="shared" si="14"/>
        <v>100</v>
      </c>
      <c r="X43" s="1799"/>
      <c r="Y43" s="3213"/>
      <c r="Z43" s="1800" t="str">
        <f t="shared" si="15"/>
        <v>内部装修</v>
      </c>
      <c r="AA43" s="1797">
        <f t="shared" si="3"/>
        <v>1</v>
      </c>
      <c r="AB43" s="1797">
        <f t="shared" si="4"/>
        <v>1</v>
      </c>
      <c r="AC43" s="2662">
        <f t="shared" si="5"/>
        <v>1</v>
      </c>
    </row>
    <row r="44" spans="1:29" ht="28.8">
      <c r="A44" s="472"/>
      <c r="B44" s="422" t="s">
        <v>2566</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5"/>
      <c r="M44" s="1126"/>
      <c r="N44" s="1126"/>
      <c r="O44" s="1126"/>
      <c r="P44" s="3251"/>
      <c r="Q44" s="1796" t="str">
        <f t="shared" si="11"/>
        <v>内部装修维护情况</v>
      </c>
      <c r="R44" s="774" t="s">
        <v>17</v>
      </c>
      <c r="S44" s="775">
        <f t="shared" si="12"/>
        <v>100</v>
      </c>
      <c r="T44" s="774" t="s">
        <v>17</v>
      </c>
      <c r="U44" s="775">
        <f t="shared" si="13"/>
        <v>100</v>
      </c>
      <c r="V44" s="774" t="s">
        <v>17</v>
      </c>
      <c r="W44" s="775">
        <f t="shared" si="14"/>
        <v>100</v>
      </c>
      <c r="X44" s="1799"/>
      <c r="Y44" s="3213"/>
      <c r="Z44" s="1800" t="str">
        <f t="shared" si="15"/>
        <v>内部装修维护情况</v>
      </c>
      <c r="AA44" s="1797">
        <f t="shared" si="3"/>
        <v>1</v>
      </c>
      <c r="AB44" s="1797">
        <f t="shared" si="4"/>
        <v>1</v>
      </c>
      <c r="AC44" s="2662">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51"/>
      <c r="Q45" s="1781">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59">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51"/>
      <c r="Q46" s="1796">
        <f t="shared" si="11"/>
        <v>111</v>
      </c>
      <c r="R46" s="774" t="s">
        <v>17</v>
      </c>
      <c r="S46" s="775">
        <f t="shared" si="12"/>
        <v>100</v>
      </c>
      <c r="T46" s="774" t="s">
        <v>17</v>
      </c>
      <c r="U46" s="775">
        <f t="shared" si="13"/>
        <v>100</v>
      </c>
      <c r="V46" s="774" t="s">
        <v>17</v>
      </c>
      <c r="W46" s="775">
        <f t="shared" si="14"/>
        <v>100</v>
      </c>
      <c r="X46" s="1799"/>
      <c r="Y46" s="3213"/>
      <c r="Z46" s="1800">
        <f t="shared" si="15"/>
        <v>111</v>
      </c>
      <c r="AA46" s="1797">
        <f t="shared" si="3"/>
        <v>1</v>
      </c>
      <c r="AB46" s="1797">
        <f t="shared" si="4"/>
        <v>1</v>
      </c>
      <c r="AC46" s="2662">
        <f t="shared" si="5"/>
        <v>1</v>
      </c>
    </row>
    <row r="47" spans="1:29" ht="15.6"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52"/>
      <c r="Q47" s="1796">
        <f t="shared" si="11"/>
        <v>111</v>
      </c>
      <c r="R47" s="774" t="s">
        <v>17</v>
      </c>
      <c r="S47" s="775">
        <f t="shared" si="12"/>
        <v>100</v>
      </c>
      <c r="T47" s="774" t="s">
        <v>17</v>
      </c>
      <c r="U47" s="775">
        <f t="shared" si="13"/>
        <v>100</v>
      </c>
      <c r="V47" s="774" t="s">
        <v>17</v>
      </c>
      <c r="W47" s="775">
        <f t="shared" si="14"/>
        <v>100</v>
      </c>
      <c r="X47" s="1799"/>
      <c r="Y47" s="3253"/>
      <c r="Z47" s="1800">
        <f t="shared" si="15"/>
        <v>111</v>
      </c>
      <c r="AA47" s="1797">
        <f t="shared" si="3"/>
        <v>1</v>
      </c>
      <c r="AB47" s="1797">
        <f t="shared" si="4"/>
        <v>1</v>
      </c>
      <c r="AC47" s="2662">
        <f t="shared" si="5"/>
        <v>1</v>
      </c>
    </row>
    <row r="48" spans="1:29" ht="14.4">
      <c r="A48" s="479" t="s">
        <v>2567</v>
      </c>
      <c r="B48" s="480"/>
      <c r="C48" s="1402" t="s">
        <v>1</v>
      </c>
      <c r="D48" s="1403"/>
      <c r="E48" s="1404"/>
      <c r="F48" s="1405"/>
      <c r="G48" s="1406"/>
      <c r="H48" s="1407"/>
      <c r="I48" s="1404"/>
      <c r="J48" s="485"/>
      <c r="K48" s="783"/>
      <c r="L48" s="1138"/>
      <c r="M48" s="1126"/>
      <c r="N48" s="1126"/>
      <c r="O48" s="1126"/>
      <c r="P48" s="3219" t="str">
        <f>A48</f>
        <v>成交单价（元/平方米）</v>
      </c>
      <c r="Q48" s="3195"/>
      <c r="R48" s="3249">
        <f>E48</f>
        <v>0</v>
      </c>
      <c r="S48" s="3249"/>
      <c r="T48" s="3249">
        <f>G48</f>
        <v>0</v>
      </c>
      <c r="U48" s="3249"/>
      <c r="V48" s="3249">
        <f>I48</f>
        <v>0</v>
      </c>
      <c r="W48" s="3249"/>
      <c r="X48" s="446"/>
      <c r="Y48" s="781"/>
      <c r="Z48" s="446"/>
      <c r="AA48" s="446"/>
      <c r="AB48" s="446"/>
      <c r="AC48" s="630"/>
    </row>
    <row r="49" spans="1:29" ht="15" thickBot="1">
      <c r="A49" s="486" t="s">
        <v>2659</v>
      </c>
      <c r="B49" s="487"/>
      <c r="C49" s="1408" t="e">
        <f>R50</f>
        <v>#DIV/0!</v>
      </c>
      <c r="D49" s="1409"/>
      <c r="E49" s="1410" t="e">
        <f>R49</f>
        <v>#DIV/0!</v>
      </c>
      <c r="F49" s="1410"/>
      <c r="G49" s="1408" t="e">
        <f>T49</f>
        <v>#DIV/0!</v>
      </c>
      <c r="H49" s="1409"/>
      <c r="I49" s="1410" t="e">
        <f>V49</f>
        <v>#DIV/0!</v>
      </c>
      <c r="J49" s="489"/>
      <c r="K49" s="784"/>
      <c r="L49" s="1138"/>
      <c r="M49" s="1126"/>
      <c r="N49" s="1126"/>
      <c r="O49" s="1126"/>
      <c r="P49" s="3219" t="str">
        <f>A49</f>
        <v>比较价值（元/平方米）</v>
      </c>
      <c r="Q49" s="3195"/>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 thickBot="1">
      <c r="A50" s="492" t="s">
        <v>2660</v>
      </c>
      <c r="B50" s="493"/>
      <c r="C50" s="1412" t="e">
        <f>R50</f>
        <v>#DIV/0!</v>
      </c>
      <c r="D50" s="1412"/>
      <c r="E50" s="1412"/>
      <c r="F50" s="1412"/>
      <c r="G50" s="1412"/>
      <c r="H50" s="1412"/>
      <c r="I50" s="1412"/>
      <c r="J50" s="494"/>
      <c r="K50" s="785"/>
      <c r="L50" s="1138"/>
      <c r="M50" s="1126"/>
      <c r="N50" s="1126"/>
      <c r="O50" s="1126"/>
      <c r="P50" s="3268" t="str">
        <f>A50</f>
        <v>估价对象XX用房的比较价值（楼面单价，元/平方米）</v>
      </c>
      <c r="Q50" s="3269"/>
      <c r="R50" s="3270" t="e">
        <f>IF(F1="售价",ROUND(AVERAGE(R49:V49),0),ROUND(AVERAGE(R49:V49),1))</f>
        <v>#DIV/0!</v>
      </c>
      <c r="S50" s="3270"/>
      <c r="T50" s="3270"/>
      <c r="U50" s="3270"/>
      <c r="V50" s="3270"/>
      <c r="W50" s="3270"/>
      <c r="X50" s="2642"/>
      <c r="Y50" s="2642"/>
      <c r="Z50" s="2642"/>
      <c r="AA50" s="2642"/>
      <c r="AB50" s="2642"/>
      <c r="AC50" s="264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68"/>
    </row>
    <row r="56" spans="1:29" s="502" customFormat="1">
      <c r="A56" s="1140"/>
      <c r="B56" s="1141"/>
      <c r="C56" s="1145"/>
      <c r="D56" s="1140"/>
      <c r="E56" s="1140"/>
      <c r="F56" s="1140"/>
      <c r="G56" s="1140"/>
      <c r="H56" s="1140"/>
      <c r="I56" s="1140"/>
      <c r="J56" s="1140"/>
      <c r="K56" s="1143"/>
      <c r="L56" s="1144"/>
      <c r="M56" s="1140"/>
      <c r="N56" s="1140"/>
      <c r="O56" s="1140"/>
      <c r="P56" s="2668"/>
    </row>
    <row r="57" spans="1:29">
      <c r="A57" s="1139"/>
      <c r="B57" s="1141"/>
      <c r="C57" s="1145"/>
      <c r="D57" s="1139"/>
      <c r="E57" s="1139"/>
      <c r="F57" s="1139"/>
      <c r="G57" s="1139"/>
      <c r="H57" s="1139"/>
      <c r="I57" s="1139"/>
      <c r="J57" s="1139"/>
      <c r="K57" s="1100"/>
      <c r="L57" s="1101"/>
      <c r="M57" s="1139"/>
      <c r="N57" s="1139"/>
      <c r="O57" s="1139"/>
    </row>
    <row r="58" spans="1:29" ht="22.2" thickBot="1">
      <c r="A58" s="763" t="s">
        <v>2664</v>
      </c>
      <c r="B58" s="759"/>
      <c r="C58" s="764"/>
      <c r="D58" s="764"/>
      <c r="E58" s="764"/>
      <c r="F58" s="765"/>
      <c r="G58" s="765"/>
      <c r="H58" s="764"/>
      <c r="I58" s="764"/>
      <c r="J58" s="764"/>
      <c r="K58" s="766"/>
      <c r="L58" s="1156"/>
      <c r="M58" s="1154"/>
      <c r="N58" s="1154"/>
      <c r="O58" s="1154"/>
      <c r="P58" s="2669"/>
      <c r="Q58" s="504"/>
    </row>
    <row r="59" spans="1:29" s="508" customFormat="1" ht="14.4">
      <c r="A59" s="505" t="s">
        <v>2538</v>
      </c>
      <c r="B59" s="506"/>
      <c r="C59" s="1568" t="str">
        <f>YEAR(C7)&amp;"-"&amp;MONTH(C7)</f>
        <v>2020-7</v>
      </c>
      <c r="D59" s="1569">
        <f>EDATE(C59,-1)</f>
        <v>43983</v>
      </c>
      <c r="E59" s="1569">
        <f>EDATE(D59,-1)</f>
        <v>43952</v>
      </c>
      <c r="F59" s="1569">
        <f t="shared" ref="F59:O59" si="16">EDATE(E59,-1)</f>
        <v>43922</v>
      </c>
      <c r="G59" s="1569">
        <f t="shared" si="16"/>
        <v>43891</v>
      </c>
      <c r="H59" s="1569">
        <f t="shared" si="16"/>
        <v>43862</v>
      </c>
      <c r="I59" s="1569">
        <f t="shared" si="16"/>
        <v>43831</v>
      </c>
      <c r="J59" s="1569">
        <f t="shared" si="16"/>
        <v>43800</v>
      </c>
      <c r="K59" s="1569">
        <f t="shared" si="16"/>
        <v>43770</v>
      </c>
      <c r="L59" s="1569">
        <f t="shared" si="16"/>
        <v>43739</v>
      </c>
      <c r="M59" s="1569">
        <f t="shared" si="16"/>
        <v>43709</v>
      </c>
      <c r="N59" s="1569">
        <f t="shared" si="16"/>
        <v>43678</v>
      </c>
      <c r="O59" s="1569">
        <f t="shared" si="16"/>
        <v>43647</v>
      </c>
      <c r="P59" s="1565"/>
    </row>
    <row r="60" spans="1:29" s="117" customFormat="1">
      <c r="A60" s="509"/>
      <c r="B60" s="510"/>
      <c r="C60" s="1567">
        <v>100</v>
      </c>
      <c r="D60" s="512"/>
      <c r="E60" s="512"/>
      <c r="F60" s="512"/>
      <c r="G60" s="512"/>
      <c r="H60" s="512"/>
      <c r="I60" s="512"/>
      <c r="J60" s="512"/>
      <c r="K60" s="512"/>
      <c r="L60" s="512"/>
      <c r="M60" s="513"/>
      <c r="N60" s="512"/>
      <c r="O60" s="513"/>
      <c r="P60" s="2670"/>
    </row>
    <row r="61" spans="1:29" s="117" customFormat="1" ht="15" thickBot="1">
      <c r="A61" s="515" t="s">
        <v>2575</v>
      </c>
      <c r="B61" s="516"/>
      <c r="C61" s="517"/>
      <c r="D61" s="518"/>
      <c r="E61" s="518"/>
      <c r="F61" s="518"/>
      <c r="G61" s="518"/>
      <c r="H61" s="518"/>
      <c r="I61" s="518"/>
      <c r="J61" s="518"/>
      <c r="K61" s="518"/>
      <c r="L61" s="518"/>
      <c r="M61" s="519"/>
      <c r="N61" s="518"/>
      <c r="O61" s="519"/>
      <c r="P61" s="2670"/>
      <c r="Q61" s="504"/>
    </row>
    <row r="62" spans="1:29" s="117" customFormat="1" ht="14.4">
      <c r="A62" s="521" t="s">
        <v>2540</v>
      </c>
      <c r="B62" s="510"/>
      <c r="C62" s="522" t="s">
        <v>2642</v>
      </c>
      <c r="D62" s="523"/>
      <c r="E62" s="523"/>
      <c r="F62" s="523"/>
      <c r="G62" s="523"/>
      <c r="H62" s="523"/>
      <c r="I62" s="523"/>
      <c r="J62" s="523"/>
      <c r="K62" s="523"/>
      <c r="L62" s="524"/>
      <c r="M62" s="525"/>
      <c r="N62" s="1146"/>
      <c r="O62" s="1146"/>
      <c r="P62" s="2671"/>
      <c r="Q62" s="504"/>
    </row>
    <row r="63" spans="1:29" s="117" customFormat="1" ht="14.4" thickBot="1">
      <c r="A63" s="521"/>
      <c r="B63" s="510"/>
      <c r="C63" s="511">
        <v>100</v>
      </c>
      <c r="D63" s="512"/>
      <c r="E63" s="512"/>
      <c r="F63" s="512"/>
      <c r="G63" s="512"/>
      <c r="H63" s="512"/>
      <c r="I63" s="512"/>
      <c r="J63" s="512"/>
      <c r="K63" s="512"/>
      <c r="L63" s="512"/>
      <c r="M63" s="514"/>
      <c r="N63" s="1146"/>
      <c r="O63" s="1146"/>
      <c r="P63" s="2670"/>
      <c r="Q63" s="504"/>
    </row>
    <row r="64" spans="1:29" ht="14.4">
      <c r="A64" s="527" t="s">
        <v>2578</v>
      </c>
      <c r="B64" s="528" t="s">
        <v>2544</v>
      </c>
      <c r="C64" s="529">
        <f>C9</f>
        <v>0</v>
      </c>
      <c r="D64" s="530"/>
      <c r="E64" s="530"/>
      <c r="F64" s="530"/>
      <c r="G64" s="530"/>
      <c r="H64" s="530"/>
      <c r="I64" s="530"/>
      <c r="J64" s="530"/>
      <c r="K64" s="531"/>
      <c r="L64" s="532"/>
      <c r="M64" s="533"/>
      <c r="N64" s="1147"/>
      <c r="O64" s="1147"/>
      <c r="P64" s="2672"/>
      <c r="Q64" s="504"/>
    </row>
    <row r="65" spans="1:17" ht="14.4" thickBot="1">
      <c r="A65" s="534"/>
      <c r="B65" s="535"/>
      <c r="C65" s="536">
        <v>100</v>
      </c>
      <c r="D65" s="536"/>
      <c r="E65" s="536"/>
      <c r="F65" s="536"/>
      <c r="G65" s="536"/>
      <c r="H65" s="536"/>
      <c r="I65" s="536"/>
      <c r="J65" s="536"/>
      <c r="K65" s="536"/>
      <c r="L65" s="536"/>
      <c r="M65" s="537"/>
      <c r="N65" s="1148"/>
      <c r="O65" s="1148"/>
      <c r="P65" s="2672"/>
      <c r="Q65" s="504"/>
    </row>
    <row r="66" spans="1:17" ht="29.4" thickTop="1">
      <c r="A66" s="534"/>
      <c r="B66" s="538" t="s">
        <v>2547</v>
      </c>
      <c r="C66" s="539" t="s">
        <v>2579</v>
      </c>
      <c r="D66" s="539" t="s">
        <v>2580</v>
      </c>
      <c r="E66" s="539" t="s">
        <v>2581</v>
      </c>
      <c r="F66" s="539" t="s">
        <v>2582</v>
      </c>
      <c r="G66" s="539" t="s">
        <v>2583</v>
      </c>
      <c r="H66" s="539" t="s">
        <v>2584</v>
      </c>
      <c r="I66" s="539" t="s">
        <v>2585</v>
      </c>
      <c r="J66" s="539"/>
      <c r="K66" s="540"/>
      <c r="L66" s="541"/>
      <c r="M66" s="542"/>
      <c r="N66" s="1147"/>
      <c r="O66" s="1147"/>
      <c r="P66" s="267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2"/>
      <c r="Q67" s="504"/>
    </row>
    <row r="68" spans="1:17" ht="1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2"/>
      <c r="Q68" s="504"/>
    </row>
    <row r="69" spans="1:17">
      <c r="A69" s="534"/>
      <c r="B69" s="548"/>
      <c r="C69" s="549"/>
      <c r="D69" s="549"/>
      <c r="E69" s="549"/>
      <c r="F69" s="549"/>
      <c r="G69" s="549"/>
      <c r="H69" s="549"/>
      <c r="I69" s="549"/>
      <c r="J69" s="549"/>
      <c r="K69" s="550"/>
      <c r="L69" s="551"/>
      <c r="M69" s="552"/>
      <c r="N69" s="1147"/>
      <c r="O69" s="1147"/>
      <c r="P69" s="267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2"/>
      <c r="Q70" s="504"/>
    </row>
    <row r="71" spans="1:17" s="471" customFormat="1" ht="14.4" thickTop="1">
      <c r="A71" s="553"/>
      <c r="B71" s="538">
        <f>B12</f>
        <v>111</v>
      </c>
      <c r="C71" s="554"/>
      <c r="D71" s="554"/>
      <c r="E71" s="554"/>
      <c r="F71" s="554"/>
      <c r="G71" s="554"/>
      <c r="H71" s="555"/>
      <c r="I71" s="555"/>
      <c r="J71" s="555"/>
      <c r="K71" s="555"/>
      <c r="L71" s="556"/>
      <c r="M71" s="557"/>
      <c r="N71" s="1149"/>
      <c r="O71" s="1149"/>
      <c r="P71" s="2673"/>
      <c r="Q71" s="559"/>
    </row>
    <row r="72" spans="1:17" s="471" customFormat="1" ht="14.4" thickBot="1">
      <c r="A72" s="553"/>
      <c r="B72" s="543"/>
      <c r="C72" s="560"/>
      <c r="D72" s="536"/>
      <c r="E72" s="536"/>
      <c r="F72" s="536"/>
      <c r="G72" s="536"/>
      <c r="H72" s="536"/>
      <c r="I72" s="536"/>
      <c r="J72" s="536"/>
      <c r="K72" s="536"/>
      <c r="L72" s="536"/>
      <c r="M72" s="537"/>
      <c r="N72" s="1148"/>
      <c r="O72" s="1148"/>
      <c r="P72" s="2673"/>
      <c r="Q72" s="559"/>
    </row>
    <row r="73" spans="1:17" s="471" customFormat="1" ht="14.4" thickTop="1">
      <c r="A73" s="553"/>
      <c r="B73" s="538">
        <f>B13</f>
        <v>111</v>
      </c>
      <c r="C73" s="554"/>
      <c r="D73" s="554"/>
      <c r="E73" s="554"/>
      <c r="F73" s="554"/>
      <c r="G73" s="554"/>
      <c r="H73" s="555"/>
      <c r="I73" s="555"/>
      <c r="J73" s="555"/>
      <c r="K73" s="555"/>
      <c r="L73" s="556"/>
      <c r="M73" s="557"/>
      <c r="N73" s="1149"/>
      <c r="O73" s="1149"/>
      <c r="P73" s="2674"/>
      <c r="Q73" s="561"/>
    </row>
    <row r="74" spans="1:17" s="471" customFormat="1" ht="14.4" thickBot="1">
      <c r="A74" s="553"/>
      <c r="B74" s="543"/>
      <c r="C74" s="560"/>
      <c r="D74" s="560"/>
      <c r="E74" s="560"/>
      <c r="F74" s="560"/>
      <c r="G74" s="560"/>
      <c r="H74" s="562"/>
      <c r="I74" s="562"/>
      <c r="J74" s="562"/>
      <c r="K74" s="562"/>
      <c r="L74" s="562"/>
      <c r="M74" s="563"/>
      <c r="N74" s="1149"/>
      <c r="O74" s="1149"/>
      <c r="P74" s="2673"/>
      <c r="Q74" s="559"/>
    </row>
    <row r="75" spans="1:17" s="471" customFormat="1" ht="14.4" thickTop="1">
      <c r="A75" s="553"/>
      <c r="B75" s="546">
        <f>B14</f>
        <v>111</v>
      </c>
      <c r="C75" s="523"/>
      <c r="D75" s="523"/>
      <c r="E75" s="523"/>
      <c r="F75" s="523"/>
      <c r="G75" s="523"/>
      <c r="H75" s="564"/>
      <c r="I75" s="564"/>
      <c r="J75" s="564"/>
      <c r="K75" s="564"/>
      <c r="L75" s="565"/>
      <c r="M75" s="566"/>
      <c r="N75" s="1149"/>
      <c r="O75" s="1149"/>
      <c r="P75" s="2675"/>
      <c r="Q75" s="559"/>
    </row>
    <row r="76" spans="1:17" s="471" customFormat="1" ht="14.4" thickBot="1">
      <c r="A76" s="568"/>
      <c r="B76" s="569"/>
      <c r="C76" s="570"/>
      <c r="D76" s="570"/>
      <c r="E76" s="570"/>
      <c r="F76" s="570"/>
      <c r="G76" s="570"/>
      <c r="H76" s="571"/>
      <c r="I76" s="571"/>
      <c r="J76" s="571"/>
      <c r="K76" s="571"/>
      <c r="L76" s="571"/>
      <c r="M76" s="572"/>
      <c r="N76" s="1149"/>
      <c r="O76" s="1149"/>
      <c r="P76" s="2673"/>
      <c r="Q76" s="559"/>
    </row>
    <row r="77" spans="1:17" ht="14.4">
      <c r="A77" s="527" t="s">
        <v>2549</v>
      </c>
      <c r="B77" s="528" t="s">
        <v>2687</v>
      </c>
      <c r="C77" s="573" t="s">
        <v>2587</v>
      </c>
      <c r="D77" s="573" t="s">
        <v>2588</v>
      </c>
      <c r="E77" s="573" t="s">
        <v>2589</v>
      </c>
      <c r="F77" s="573" t="s">
        <v>2590</v>
      </c>
      <c r="G77" s="573" t="s">
        <v>2591</v>
      </c>
      <c r="H77" s="529"/>
      <c r="I77" s="529"/>
      <c r="J77" s="529"/>
      <c r="K77" s="574"/>
      <c r="L77" s="575"/>
      <c r="M77" s="576"/>
      <c r="N77" s="1147"/>
      <c r="O77" s="1147"/>
      <c r="P77" s="267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2"/>
      <c r="Q78" s="504"/>
    </row>
    <row r="79" spans="1:17" ht="15" thickTop="1">
      <c r="A79" s="534"/>
      <c r="B79" s="538" t="s">
        <v>2592</v>
      </c>
      <c r="C79" s="578" t="s">
        <v>2587</v>
      </c>
      <c r="D79" s="578" t="s">
        <v>2588</v>
      </c>
      <c r="E79" s="578" t="s">
        <v>2589</v>
      </c>
      <c r="F79" s="578" t="s">
        <v>2590</v>
      </c>
      <c r="G79" s="578" t="s">
        <v>2591</v>
      </c>
      <c r="H79" s="539"/>
      <c r="I79" s="539"/>
      <c r="J79" s="539"/>
      <c r="K79" s="540"/>
      <c r="L79" s="541"/>
      <c r="M79" s="542"/>
      <c r="N79" s="1147"/>
      <c r="O79" s="1147"/>
      <c r="P79" s="267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2"/>
      <c r="Q80" s="504"/>
    </row>
    <row r="81" spans="1:17" ht="15" thickTop="1">
      <c r="A81" s="534"/>
      <c r="B81" s="538" t="s">
        <v>2593</v>
      </c>
      <c r="C81" s="578" t="s">
        <v>2587</v>
      </c>
      <c r="D81" s="578" t="s">
        <v>2588</v>
      </c>
      <c r="E81" s="578" t="s">
        <v>2589</v>
      </c>
      <c r="F81" s="578" t="s">
        <v>2590</v>
      </c>
      <c r="G81" s="578" t="s">
        <v>2591</v>
      </c>
      <c r="H81" s="539"/>
      <c r="I81" s="539"/>
      <c r="J81" s="539"/>
      <c r="K81" s="540"/>
      <c r="L81" s="541"/>
      <c r="M81" s="542"/>
      <c r="N81" s="1147"/>
      <c r="O81" s="1147"/>
      <c r="P81" s="267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2"/>
      <c r="Q82" s="504"/>
    </row>
    <row r="83" spans="1:17" ht="15" thickTop="1">
      <c r="A83" s="534"/>
      <c r="B83" s="546" t="s">
        <v>2679</v>
      </c>
      <c r="C83" s="660" t="s">
        <v>2665</v>
      </c>
      <c r="D83" s="660" t="s">
        <v>2666</v>
      </c>
      <c r="E83" s="660" t="s">
        <v>2667</v>
      </c>
      <c r="F83" s="660" t="s">
        <v>2668</v>
      </c>
      <c r="G83" s="660" t="s">
        <v>2669</v>
      </c>
      <c r="H83" s="539"/>
      <c r="I83" s="539"/>
      <c r="J83" s="539"/>
      <c r="K83" s="539"/>
      <c r="L83" s="539"/>
      <c r="M83" s="1377"/>
      <c r="N83" s="1148"/>
      <c r="O83" s="1148"/>
      <c r="P83" s="267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2"/>
      <c r="Q84" s="504"/>
    </row>
    <row r="85" spans="1:17" ht="15" thickTop="1">
      <c r="A85" s="534"/>
      <c r="B85" s="538" t="s">
        <v>2688</v>
      </c>
      <c r="C85" s="578" t="s">
        <v>2587</v>
      </c>
      <c r="D85" s="578" t="s">
        <v>2588</v>
      </c>
      <c r="E85" s="578" t="s">
        <v>2589</v>
      </c>
      <c r="F85" s="578" t="s">
        <v>2590</v>
      </c>
      <c r="G85" s="578" t="s">
        <v>2591</v>
      </c>
      <c r="H85" s="539"/>
      <c r="I85" s="539"/>
      <c r="J85" s="539"/>
      <c r="K85" s="540"/>
      <c r="L85" s="541"/>
      <c r="M85" s="542"/>
      <c r="N85" s="1147"/>
      <c r="O85" s="1147"/>
      <c r="P85" s="267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2"/>
      <c r="Q86" s="504"/>
    </row>
    <row r="87" spans="1:17" s="117" customFormat="1" ht="29.4" thickTop="1">
      <c r="A87" s="579"/>
      <c r="B87" s="538" t="s">
        <v>2689</v>
      </c>
      <c r="C87" s="554"/>
      <c r="D87" s="554"/>
      <c r="E87" s="554"/>
      <c r="F87" s="554"/>
      <c r="G87" s="554"/>
      <c r="H87" s="554"/>
      <c r="I87" s="554"/>
      <c r="J87" s="554"/>
      <c r="K87" s="554"/>
      <c r="L87" s="580"/>
      <c r="M87" s="581"/>
      <c r="N87" s="1146"/>
      <c r="O87" s="1146"/>
      <c r="P87" s="267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2"/>
      <c r="Q88" s="504"/>
    </row>
    <row r="89" spans="1:17" s="117" customFormat="1" ht="14.4" thickTop="1">
      <c r="A89" s="579"/>
      <c r="B89" s="538" t="str">
        <f>B27</f>
        <v>楼层</v>
      </c>
      <c r="C89" s="554"/>
      <c r="D89" s="554"/>
      <c r="E89" s="554"/>
      <c r="F89" s="2623"/>
      <c r="G89" s="554"/>
      <c r="H89" s="554"/>
      <c r="I89" s="554"/>
      <c r="J89" s="554"/>
      <c r="K89" s="554"/>
      <c r="L89" s="554"/>
      <c r="M89" s="581"/>
      <c r="N89" s="1146"/>
      <c r="O89" s="1146"/>
      <c r="P89" s="267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2"/>
      <c r="Q90" s="504"/>
    </row>
    <row r="91" spans="1:17" s="471" customFormat="1" ht="14.4" thickTop="1">
      <c r="A91" s="553"/>
      <c r="B91" s="538" t="str">
        <f>B28</f>
        <v>朝向</v>
      </c>
      <c r="C91" s="554"/>
      <c r="D91" s="554"/>
      <c r="E91" s="554"/>
      <c r="F91" s="554"/>
      <c r="G91" s="554"/>
      <c r="H91" s="555"/>
      <c r="I91" s="555"/>
      <c r="J91" s="555"/>
      <c r="K91" s="555"/>
      <c r="L91" s="556"/>
      <c r="M91" s="557"/>
      <c r="N91" s="1149"/>
      <c r="O91" s="1149"/>
      <c r="P91" s="267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3"/>
      <c r="Q92" s="559"/>
    </row>
    <row r="93" spans="1:17" ht="14.4" thickTop="1">
      <c r="A93" s="534"/>
      <c r="B93" s="538">
        <f>B29</f>
        <v>111</v>
      </c>
      <c r="C93" s="554"/>
      <c r="D93" s="554"/>
      <c r="E93" s="554"/>
      <c r="F93" s="554"/>
      <c r="G93" s="554"/>
      <c r="H93" s="554"/>
      <c r="I93" s="554"/>
      <c r="J93" s="554"/>
      <c r="K93" s="554"/>
      <c r="L93" s="580"/>
      <c r="M93" s="581"/>
      <c r="N93" s="1147"/>
      <c r="O93" s="1147"/>
      <c r="P93" s="2672"/>
      <c r="Q93" s="504"/>
    </row>
    <row r="94" spans="1:17" ht="14.4" thickBot="1">
      <c r="A94" s="534"/>
      <c r="B94" s="543"/>
      <c r="C94" s="560"/>
      <c r="D94" s="536"/>
      <c r="E94" s="536"/>
      <c r="F94" s="536"/>
      <c r="G94" s="536"/>
      <c r="H94" s="536"/>
      <c r="I94" s="536"/>
      <c r="J94" s="536"/>
      <c r="K94" s="536"/>
      <c r="L94" s="536"/>
      <c r="M94" s="537"/>
      <c r="N94" s="1148"/>
      <c r="O94" s="1148"/>
      <c r="P94" s="2672"/>
      <c r="Q94" s="504"/>
    </row>
    <row r="95" spans="1:17" ht="14.4" thickTop="1">
      <c r="A95" s="534"/>
      <c r="B95" s="538">
        <f>B30</f>
        <v>111</v>
      </c>
      <c r="C95" s="554"/>
      <c r="D95" s="554"/>
      <c r="E95" s="554"/>
      <c r="F95" s="554"/>
      <c r="G95" s="583"/>
      <c r="H95" s="583"/>
      <c r="I95" s="583"/>
      <c r="J95" s="583"/>
      <c r="K95" s="584"/>
      <c r="L95" s="585"/>
      <c r="M95" s="586"/>
      <c r="N95" s="1147"/>
      <c r="O95" s="1147"/>
      <c r="P95" s="2672"/>
      <c r="Q95" s="504"/>
    </row>
    <row r="96" spans="1:17" ht="14.4" thickBot="1">
      <c r="A96" s="534"/>
      <c r="B96" s="543"/>
      <c r="C96" s="560"/>
      <c r="D96" s="560"/>
      <c r="E96" s="560"/>
      <c r="F96" s="560"/>
      <c r="G96" s="536"/>
      <c r="H96" s="536"/>
      <c r="I96" s="536"/>
      <c r="J96" s="536"/>
      <c r="K96" s="536"/>
      <c r="L96" s="536"/>
      <c r="M96" s="537"/>
      <c r="N96" s="1148"/>
      <c r="O96" s="1148"/>
      <c r="P96" s="2672"/>
      <c r="Q96" s="504"/>
    </row>
    <row r="97" spans="1:17" ht="14.4" thickTop="1">
      <c r="A97" s="534"/>
      <c r="B97" s="538">
        <f>B31</f>
        <v>111</v>
      </c>
      <c r="C97" s="554"/>
      <c r="D97" s="554"/>
      <c r="E97" s="554"/>
      <c r="F97" s="554"/>
      <c r="G97" s="583"/>
      <c r="H97" s="583"/>
      <c r="I97" s="583"/>
      <c r="J97" s="583"/>
      <c r="K97" s="584"/>
      <c r="L97" s="585"/>
      <c r="M97" s="586"/>
      <c r="N97" s="1147"/>
      <c r="O97" s="1147"/>
      <c r="P97" s="2672"/>
      <c r="Q97" s="504"/>
    </row>
    <row r="98" spans="1:17" ht="14.4" thickBot="1">
      <c r="A98" s="534"/>
      <c r="B98" s="543"/>
      <c r="C98" s="560"/>
      <c r="D98" s="536"/>
      <c r="E98" s="536"/>
      <c r="F98" s="536"/>
      <c r="G98" s="536"/>
      <c r="H98" s="536"/>
      <c r="I98" s="536"/>
      <c r="J98" s="536"/>
      <c r="K98" s="536"/>
      <c r="L98" s="536"/>
      <c r="M98" s="537"/>
      <c r="N98" s="1148"/>
      <c r="O98" s="1148"/>
      <c r="P98" s="2672"/>
      <c r="Q98" s="504"/>
    </row>
    <row r="99" spans="1:17" ht="14.4" thickTop="1">
      <c r="A99" s="534"/>
      <c r="B99" s="546">
        <f>B32</f>
        <v>111</v>
      </c>
      <c r="C99" s="523"/>
      <c r="D99" s="523"/>
      <c r="E99" s="523"/>
      <c r="F99" s="523"/>
      <c r="G99" s="587"/>
      <c r="H99" s="587"/>
      <c r="I99" s="587"/>
      <c r="J99" s="587"/>
      <c r="K99" s="588"/>
      <c r="L99" s="589"/>
      <c r="M99" s="590"/>
      <c r="N99" s="1147"/>
      <c r="O99" s="1147"/>
      <c r="P99" s="2672"/>
      <c r="Q99" s="504"/>
    </row>
    <row r="100" spans="1:17" ht="14.4" thickBot="1">
      <c r="A100" s="2624"/>
      <c r="B100" s="569"/>
      <c r="C100" s="570"/>
      <c r="D100" s="570"/>
      <c r="E100" s="570"/>
      <c r="F100" s="570"/>
      <c r="G100" s="591"/>
      <c r="H100" s="591"/>
      <c r="I100" s="591"/>
      <c r="J100" s="591"/>
      <c r="K100" s="591"/>
      <c r="L100" s="591"/>
      <c r="M100" s="592"/>
      <c r="N100" s="1148"/>
      <c r="O100" s="1148"/>
      <c r="P100" s="2672"/>
      <c r="Q100" s="504"/>
    </row>
    <row r="101" spans="1:17" ht="14.4">
      <c r="A101" s="527" t="s">
        <v>2553</v>
      </c>
      <c r="B101" s="528" t="s">
        <v>2602</v>
      </c>
      <c r="C101" s="530"/>
      <c r="D101" s="530"/>
      <c r="E101" s="530"/>
      <c r="F101" s="530"/>
      <c r="G101" s="530"/>
      <c r="H101" s="530"/>
      <c r="I101" s="530"/>
      <c r="J101" s="530"/>
      <c r="K101" s="531"/>
      <c r="L101" s="532"/>
      <c r="M101" s="533"/>
      <c r="N101" s="1147"/>
      <c r="O101" s="1147"/>
      <c r="P101" s="267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2"/>
      <c r="Q102" s="504"/>
    </row>
    <row r="103" spans="1:17" ht="1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2"/>
      <c r="Q103" s="504"/>
    </row>
    <row r="104" spans="1:17" s="471" customFormat="1">
      <c r="A104" s="593"/>
      <c r="B104" s="594"/>
      <c r="C104" s="595"/>
      <c r="D104" s="595"/>
      <c r="E104" s="595"/>
      <c r="F104" s="595"/>
      <c r="G104" s="595"/>
      <c r="H104" s="595"/>
      <c r="I104" s="595"/>
      <c r="J104" s="596"/>
      <c r="K104" s="596"/>
      <c r="L104" s="597"/>
      <c r="M104" s="598"/>
      <c r="N104" s="1149"/>
      <c r="O104" s="1149"/>
      <c r="P104" s="2673"/>
      <c r="Q104" s="559"/>
    </row>
    <row r="105" spans="1:17" s="471" customFormat="1" ht="14.4" thickBot="1">
      <c r="A105" s="553"/>
      <c r="B105" s="543"/>
      <c r="C105" s="560"/>
      <c r="D105" s="536"/>
      <c r="E105" s="536"/>
      <c r="F105" s="536"/>
      <c r="G105" s="536"/>
      <c r="H105" s="536"/>
      <c r="I105" s="536"/>
      <c r="J105" s="536"/>
      <c r="K105" s="536"/>
      <c r="L105" s="536"/>
      <c r="M105" s="537"/>
      <c r="N105" s="1148"/>
      <c r="O105" s="1148"/>
      <c r="P105" s="2673"/>
      <c r="Q105" s="559"/>
    </row>
    <row r="106" spans="1:17" ht="15" thickTop="1">
      <c r="A106" s="599"/>
      <c r="B106" s="538" t="s">
        <v>2604</v>
      </c>
      <c r="C106" s="554"/>
      <c r="D106" s="554"/>
      <c r="E106" s="583"/>
      <c r="F106" s="583"/>
      <c r="G106" s="583"/>
      <c r="H106" s="583"/>
      <c r="I106" s="583"/>
      <c r="J106" s="583"/>
      <c r="K106" s="584"/>
      <c r="L106" s="585"/>
      <c r="M106" s="586"/>
      <c r="N106" s="1147"/>
      <c r="O106" s="1147"/>
      <c r="P106" s="267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2"/>
      <c r="Q107" s="504"/>
    </row>
    <row r="108" spans="1:17" ht="15" thickTop="1">
      <c r="A108" s="599"/>
      <c r="B108" s="538" t="s">
        <v>2606</v>
      </c>
      <c r="C108" s="554"/>
      <c r="D108" s="554"/>
      <c r="E108" s="554"/>
      <c r="F108" s="583"/>
      <c r="G108" s="583"/>
      <c r="H108" s="583"/>
      <c r="I108" s="583"/>
      <c r="J108" s="583"/>
      <c r="K108" s="584"/>
      <c r="L108" s="585"/>
      <c r="M108" s="586"/>
      <c r="N108" s="1147"/>
      <c r="O108" s="1147"/>
      <c r="P108" s="267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2"/>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2"/>
      <c r="Q112" s="504"/>
    </row>
    <row r="113" spans="1:17" s="471" customFormat="1" ht="15" thickTop="1">
      <c r="A113" s="593"/>
      <c r="B113" s="538" t="s">
        <v>2690</v>
      </c>
      <c r="C113" s="554"/>
      <c r="D113" s="554"/>
      <c r="E113" s="554"/>
      <c r="F113" s="554"/>
      <c r="G113" s="554"/>
      <c r="H113" s="583"/>
      <c r="I113" s="583"/>
      <c r="J113" s="583"/>
      <c r="K113" s="584"/>
      <c r="L113" s="585"/>
      <c r="M113" s="586"/>
      <c r="N113" s="1149"/>
      <c r="O113" s="1149"/>
      <c r="P113" s="267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3"/>
      <c r="Q114" s="559"/>
    </row>
    <row r="115" spans="1:17" ht="15" thickTop="1">
      <c r="A115" s="599"/>
      <c r="B115" s="538" t="s">
        <v>2607</v>
      </c>
      <c r="C115" s="554"/>
      <c r="D115" s="554"/>
      <c r="E115" s="583"/>
      <c r="F115" s="583"/>
      <c r="G115" s="583"/>
      <c r="H115" s="583"/>
      <c r="I115" s="583"/>
      <c r="J115" s="583"/>
      <c r="K115" s="584"/>
      <c r="L115" s="585"/>
      <c r="M115" s="586"/>
      <c r="N115" s="1147"/>
      <c r="O115" s="1147"/>
      <c r="P115" s="267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2"/>
      <c r="Q116" s="504"/>
    </row>
    <row r="117" spans="1:17" ht="15" thickTop="1">
      <c r="A117" s="599"/>
      <c r="B117" s="538" t="s">
        <v>2608</v>
      </c>
      <c r="C117" s="554"/>
      <c r="D117" s="554"/>
      <c r="E117" s="554"/>
      <c r="F117" s="554"/>
      <c r="G117" s="554"/>
      <c r="H117" s="583"/>
      <c r="I117" s="583"/>
      <c r="J117" s="583"/>
      <c r="K117" s="584"/>
      <c r="L117" s="585"/>
      <c r="M117" s="586"/>
      <c r="N117" s="1147"/>
      <c r="O117" s="1147"/>
      <c r="P117" s="267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2"/>
      <c r="Q118" s="504"/>
    </row>
    <row r="119" spans="1:17" ht="15" thickTop="1">
      <c r="A119" s="599"/>
      <c r="B119" s="636" t="s">
        <v>2691</v>
      </c>
      <c r="C119" s="583"/>
      <c r="D119" s="583"/>
      <c r="E119" s="583"/>
      <c r="F119" s="583"/>
      <c r="G119" s="583"/>
      <c r="H119" s="583"/>
      <c r="I119" s="583"/>
      <c r="J119" s="583"/>
      <c r="K119" s="583"/>
      <c r="L119" s="2677"/>
      <c r="M119" s="2678"/>
      <c r="N119" s="1148"/>
      <c r="O119" s="1148"/>
      <c r="P119" s="267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2"/>
      <c r="Q120" s="504"/>
    </row>
    <row r="121" spans="1:17" s="471" customFormat="1" ht="15" thickTop="1">
      <c r="A121" s="593"/>
      <c r="B121" s="538" t="s">
        <v>2674</v>
      </c>
      <c r="C121" s="554"/>
      <c r="D121" s="554"/>
      <c r="E121" s="554"/>
      <c r="F121" s="583"/>
      <c r="G121" s="555"/>
      <c r="H121" s="555"/>
      <c r="I121" s="555"/>
      <c r="J121" s="555"/>
      <c r="K121" s="555"/>
      <c r="L121" s="556"/>
      <c r="M121" s="557"/>
      <c r="N121" s="1149"/>
      <c r="O121" s="1149"/>
      <c r="P121" s="2673"/>
      <c r="Q121" s="559"/>
    </row>
    <row r="122" spans="1:17" s="471" customFormat="1" ht="14.4" thickBot="1">
      <c r="A122" s="553"/>
      <c r="B122" s="535"/>
      <c r="C122" s="560"/>
      <c r="D122" s="560"/>
      <c r="E122" s="560"/>
      <c r="F122" s="560"/>
      <c r="G122" s="560"/>
      <c r="H122" s="560"/>
      <c r="I122" s="560"/>
      <c r="J122" s="560"/>
      <c r="K122" s="560"/>
      <c r="L122" s="560"/>
      <c r="M122" s="560"/>
      <c r="N122" s="1149"/>
      <c r="O122" s="1149"/>
      <c r="P122" s="2673"/>
      <c r="Q122" s="559"/>
    </row>
    <row r="123" spans="1:17" ht="15" thickTop="1">
      <c r="A123" s="599"/>
      <c r="B123" s="538" t="s">
        <v>2610</v>
      </c>
      <c r="C123" s="554"/>
      <c r="D123" s="554"/>
      <c r="E123" s="554"/>
      <c r="F123" s="583"/>
      <c r="G123" s="583"/>
      <c r="H123" s="583"/>
      <c r="I123" s="583"/>
      <c r="J123" s="583"/>
      <c r="K123" s="584"/>
      <c r="L123" s="585"/>
      <c r="M123" s="586"/>
      <c r="N123" s="1147"/>
      <c r="O123" s="1147"/>
      <c r="P123" s="267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2"/>
      <c r="Q124" s="504"/>
    </row>
    <row r="125" spans="1:17" ht="29.4" thickTop="1">
      <c r="A125" s="599"/>
      <c r="B125" s="538" t="s">
        <v>2611</v>
      </c>
      <c r="C125" s="578" t="s">
        <v>2587</v>
      </c>
      <c r="D125" s="578" t="s">
        <v>2588</v>
      </c>
      <c r="E125" s="578" t="s">
        <v>2589</v>
      </c>
      <c r="F125" s="578" t="s">
        <v>2590</v>
      </c>
      <c r="G125" s="578" t="s">
        <v>2591</v>
      </c>
      <c r="H125" s="539"/>
      <c r="I125" s="539"/>
      <c r="J125" s="539"/>
      <c r="K125" s="540"/>
      <c r="L125" s="541"/>
      <c r="M125" s="542"/>
      <c r="N125" s="1147"/>
      <c r="O125" s="1147"/>
      <c r="P125" s="267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2"/>
      <c r="Q126" s="504"/>
    </row>
    <row r="127" spans="1:17" s="471" customFormat="1" ht="14.4" thickTop="1">
      <c r="A127" s="593"/>
      <c r="B127" s="538">
        <f>B45</f>
        <v>111</v>
      </c>
      <c r="C127" s="554"/>
      <c r="D127" s="554"/>
      <c r="E127" s="554"/>
      <c r="F127" s="554"/>
      <c r="G127" s="554"/>
      <c r="H127" s="555"/>
      <c r="I127" s="555"/>
      <c r="J127" s="555"/>
      <c r="K127" s="555"/>
      <c r="L127" s="556"/>
      <c r="M127" s="557"/>
      <c r="N127" s="1149"/>
      <c r="O127" s="1149"/>
      <c r="P127" s="2673"/>
      <c r="Q127" s="559"/>
    </row>
    <row r="128" spans="1:17" s="471" customFormat="1" ht="14.4" thickBot="1">
      <c r="A128" s="553"/>
      <c r="B128" s="543"/>
      <c r="C128" s="560"/>
      <c r="D128" s="536"/>
      <c r="E128" s="536"/>
      <c r="F128" s="536"/>
      <c r="G128" s="560"/>
      <c r="H128" s="562"/>
      <c r="I128" s="562"/>
      <c r="J128" s="562"/>
      <c r="K128" s="562"/>
      <c r="L128" s="562"/>
      <c r="M128" s="563"/>
      <c r="N128" s="1149"/>
      <c r="O128" s="1149"/>
      <c r="P128" s="2673"/>
      <c r="Q128" s="559"/>
    </row>
    <row r="129" spans="1:17" ht="14.4" thickTop="1">
      <c r="A129" s="599"/>
      <c r="B129" s="538">
        <f>B46</f>
        <v>111</v>
      </c>
      <c r="C129" s="554"/>
      <c r="D129" s="554"/>
      <c r="E129" s="554"/>
      <c r="F129" s="554"/>
      <c r="G129" s="583"/>
      <c r="H129" s="583"/>
      <c r="I129" s="583"/>
      <c r="J129" s="583"/>
      <c r="K129" s="584"/>
      <c r="L129" s="585"/>
      <c r="M129" s="586"/>
      <c r="N129" s="1147"/>
      <c r="O129" s="1147"/>
      <c r="P129" s="2672"/>
      <c r="Q129" s="504"/>
    </row>
    <row r="130" spans="1:17" ht="14.4" thickBot="1">
      <c r="A130" s="534"/>
      <c r="B130" s="543"/>
      <c r="C130" s="560"/>
      <c r="D130" s="560"/>
      <c r="E130" s="560"/>
      <c r="F130" s="560"/>
      <c r="G130" s="536"/>
      <c r="H130" s="536"/>
      <c r="I130" s="536"/>
      <c r="J130" s="536"/>
      <c r="K130" s="536"/>
      <c r="L130" s="536"/>
      <c r="M130" s="537"/>
      <c r="N130" s="1148"/>
      <c r="O130" s="1148"/>
      <c r="P130" s="2672"/>
      <c r="Q130" s="504"/>
    </row>
    <row r="131" spans="1:17" ht="14.4" thickTop="1">
      <c r="A131" s="599"/>
      <c r="B131" s="546">
        <f>B47</f>
        <v>111</v>
      </c>
      <c r="C131" s="523"/>
      <c r="D131" s="523"/>
      <c r="E131" s="523"/>
      <c r="F131" s="523"/>
      <c r="G131" s="587"/>
      <c r="H131" s="587"/>
      <c r="I131" s="587"/>
      <c r="J131" s="587"/>
      <c r="K131" s="523"/>
      <c r="L131" s="524"/>
      <c r="M131" s="590"/>
      <c r="N131" s="1147"/>
      <c r="O131" s="1147"/>
      <c r="P131" s="2672"/>
      <c r="Q131" s="504"/>
    </row>
    <row r="132" spans="1:17" ht="14.4" thickBot="1">
      <c r="A132" s="2624"/>
      <c r="B132" s="569"/>
      <c r="C132" s="570"/>
      <c r="D132" s="570"/>
      <c r="E132" s="570"/>
      <c r="F132" s="570"/>
      <c r="G132" s="591"/>
      <c r="H132" s="591"/>
      <c r="I132" s="591"/>
      <c r="J132" s="591"/>
      <c r="K132" s="591"/>
      <c r="L132" s="591"/>
      <c r="M132" s="592"/>
      <c r="N132" s="1148"/>
      <c r="O132" s="1148"/>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2518</v>
      </c>
      <c r="B1" s="2657" t="s">
        <v>2692</v>
      </c>
      <c r="C1" s="1614" t="s">
        <v>2520</v>
      </c>
      <c r="D1" s="1615"/>
      <c r="E1" s="1624"/>
      <c r="F1" s="2572"/>
      <c r="G1" s="1625" t="s">
        <v>2633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2317</v>
      </c>
      <c r="B2" s="1413" t="e">
        <f ca="1">IF(C2="——",ROUND(C43*D3/10000,0),ROUND(C43*D3/10000,0)-D2)</f>
        <v>#DIV/0!</v>
      </c>
      <c r="C2" s="2574"/>
      <c r="D2" s="1119" t="e">
        <f ca="1">SUMIF(INDIRECT("'"&amp;F2&amp;"'"&amp;"!A:A"),"承租人权益价值",INDIRECT("'"&amp;F2&amp;"'"&amp;"!c:c"))</f>
        <v>#REF!</v>
      </c>
      <c r="E2" s="2575" t="s">
        <v>2318</v>
      </c>
      <c r="F2" s="2576"/>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26881.280000000002</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179" t="s">
        <v>2638</v>
      </c>
      <c r="AC4" s="3178" t="s">
        <v>2639</v>
      </c>
    </row>
    <row r="5" spans="1:29">
      <c r="A5" s="404"/>
      <c r="B5" s="405"/>
      <c r="C5" s="3189" t="s">
        <v>2532</v>
      </c>
      <c r="D5" s="3190"/>
      <c r="E5" s="3187" t="s">
        <v>2533</v>
      </c>
      <c r="F5" s="3188"/>
      <c r="G5" s="3189" t="s">
        <v>2534</v>
      </c>
      <c r="H5" s="3190"/>
      <c r="I5" s="3189" t="s">
        <v>2535</v>
      </c>
      <c r="J5" s="3190"/>
      <c r="K5" s="610"/>
      <c r="L5" s="1125"/>
      <c r="M5" s="1126"/>
      <c r="N5" s="1126"/>
      <c r="O5" s="1126"/>
      <c r="P5" s="3202"/>
      <c r="Q5" s="3203"/>
      <c r="R5" s="3185"/>
      <c r="S5" s="3186"/>
      <c r="T5" s="3185"/>
      <c r="U5" s="3186"/>
      <c r="V5" s="3208"/>
      <c r="W5" s="3208"/>
      <c r="X5" s="1799"/>
      <c r="Y5" s="3185"/>
      <c r="Z5" s="3186"/>
      <c r="AA5" s="3179"/>
      <c r="AB5" s="3179"/>
      <c r="AC5" s="3179"/>
    </row>
    <row r="6" spans="1:29" ht="15" thickBot="1">
      <c r="A6" s="406"/>
      <c r="B6" s="407"/>
      <c r="C6" s="3191" t="s">
        <v>2536</v>
      </c>
      <c r="D6" s="3192"/>
      <c r="E6" s="3193" t="s">
        <v>2536</v>
      </c>
      <c r="F6" s="3194"/>
      <c r="G6" s="3191" t="s">
        <v>2536</v>
      </c>
      <c r="H6" s="3192"/>
      <c r="I6" s="3191" t="s">
        <v>2536</v>
      </c>
      <c r="J6" s="3192"/>
      <c r="K6" s="610" t="s">
        <v>2537</v>
      </c>
      <c r="L6" s="1125"/>
      <c r="M6" s="1126"/>
      <c r="N6" s="1126"/>
      <c r="O6" s="1126"/>
      <c r="P6" s="3204"/>
      <c r="Q6" s="3205"/>
      <c r="R6" s="3185"/>
      <c r="S6" s="3186"/>
      <c r="T6" s="3206"/>
      <c r="U6" s="3207"/>
      <c r="V6" s="3208"/>
      <c r="W6" s="3208"/>
      <c r="X6" s="1799"/>
      <c r="Y6" s="3206"/>
      <c r="Z6" s="3207"/>
      <c r="AA6" s="3180"/>
      <c r="AB6" s="3180"/>
      <c r="AC6" s="3180"/>
    </row>
    <row r="7" spans="1:29" s="117" customFormat="1" ht="15" thickBot="1">
      <c r="A7" s="408" t="s">
        <v>2538</v>
      </c>
      <c r="B7" s="409"/>
      <c r="C7" s="410">
        <f>'数据-取费表'!B2</f>
        <v>44020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81" t="s">
        <v>2539</v>
      </c>
      <c r="Q7" s="3209"/>
      <c r="R7" s="770" t="s">
        <v>17</v>
      </c>
      <c r="S7" s="771">
        <f t="shared" ref="S7:S15" si="0">F7</f>
        <v>0</v>
      </c>
      <c r="T7" s="770" t="s">
        <v>17</v>
      </c>
      <c r="U7" s="771">
        <f t="shared" ref="U7:U15" si="1">H7</f>
        <v>0</v>
      </c>
      <c r="V7" s="770" t="s">
        <v>17</v>
      </c>
      <c r="W7" s="771">
        <f t="shared" ref="W7:W15" si="2">J7</f>
        <v>0</v>
      </c>
      <c r="X7" s="772"/>
      <c r="Y7" s="3181" t="s">
        <v>2539</v>
      </c>
      <c r="Z7" s="3182"/>
      <c r="AA7" s="773" t="e">
        <f>D7/F7</f>
        <v>#DIV/0!</v>
      </c>
      <c r="AB7" s="773" t="e">
        <f>D7/H7</f>
        <v>#DIV/0!</v>
      </c>
      <c r="AC7" s="773" t="e">
        <f>D7/J7</f>
        <v>#DIV/0!</v>
      </c>
    </row>
    <row r="8" spans="1:29" s="117" customFormat="1" ht="1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81" t="s">
        <v>2542</v>
      </c>
      <c r="Q8" s="3182"/>
      <c r="R8" s="770" t="s">
        <v>17</v>
      </c>
      <c r="S8" s="771">
        <f t="shared" si="0"/>
        <v>0</v>
      </c>
      <c r="T8" s="770" t="s">
        <v>17</v>
      </c>
      <c r="U8" s="771">
        <f t="shared" si="1"/>
        <v>0</v>
      </c>
      <c r="V8" s="770" t="s">
        <v>17</v>
      </c>
      <c r="W8" s="771">
        <f t="shared" si="2"/>
        <v>0</v>
      </c>
      <c r="X8" s="772"/>
      <c r="Y8" s="3181" t="s">
        <v>2542</v>
      </c>
      <c r="Z8" s="3182"/>
      <c r="AA8" s="773" t="e">
        <f t="shared" ref="AA8:AA40" si="3">D8/F8</f>
        <v>#DIV/0!</v>
      </c>
      <c r="AB8" s="773" t="e">
        <f t="shared" ref="AB8:AB40" si="4">D8/H8</f>
        <v>#DIV/0!</v>
      </c>
      <c r="AC8" s="773" t="e">
        <f t="shared" ref="AC8:AC40" si="5">D8/J8</f>
        <v>#DIV/0!</v>
      </c>
    </row>
    <row r="9" spans="1:29" s="117" customFormat="1" ht="14.4">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95"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773">
        <f t="shared" si="5"/>
        <v>1</v>
      </c>
    </row>
    <row r="10" spans="1:29" s="427" customFormat="1" ht="28.8">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95"/>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95"/>
      <c r="Q11" s="1781"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7"/>
      <c r="M12" s="1128"/>
      <c r="N12" s="1128"/>
      <c r="O12" s="1129"/>
      <c r="P12" s="3195"/>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5"/>
      <c r="M13" s="1126"/>
      <c r="N13" s="1126"/>
      <c r="O13" s="1134"/>
      <c r="P13" s="3195"/>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6"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5"/>
      <c r="M14" s="1126"/>
      <c r="N14" s="1126"/>
      <c r="O14" s="1134"/>
      <c r="P14" s="3195"/>
      <c r="Q14" s="1781">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2549</v>
      </c>
      <c r="B15" s="69" t="s">
        <v>2693</v>
      </c>
      <c r="C15" s="268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10" t="s">
        <v>2550</v>
      </c>
      <c r="Q15" s="1796" t="str">
        <f t="shared" si="6"/>
        <v>产业集聚程度</v>
      </c>
      <c r="R15" s="774" t="s">
        <v>17</v>
      </c>
      <c r="S15" s="775">
        <f t="shared" si="0"/>
        <v>100</v>
      </c>
      <c r="T15" s="774" t="s">
        <v>17</v>
      </c>
      <c r="U15" s="775">
        <f t="shared" si="1"/>
        <v>100</v>
      </c>
      <c r="V15" s="774" t="s">
        <v>17</v>
      </c>
      <c r="W15" s="775">
        <f t="shared" si="2"/>
        <v>100</v>
      </c>
      <c r="X15" s="1799"/>
      <c r="Y15" s="3210" t="s">
        <v>2550</v>
      </c>
      <c r="Z15" s="1800" t="str">
        <f t="shared" si="7"/>
        <v>产业集聚程度</v>
      </c>
      <c r="AA15" s="1797">
        <f t="shared" si="3"/>
        <v>1</v>
      </c>
      <c r="AB15" s="1797">
        <f t="shared" si="4"/>
        <v>1</v>
      </c>
      <c r="AC15" s="1797">
        <f t="shared" si="5"/>
        <v>1</v>
      </c>
    </row>
    <row r="16" spans="1:29" ht="15">
      <c r="A16" s="428"/>
      <c r="B16" s="446"/>
      <c r="C16" s="447"/>
      <c r="D16" s="448"/>
      <c r="E16" s="447"/>
      <c r="F16" s="449"/>
      <c r="G16" s="447"/>
      <c r="H16" s="450"/>
      <c r="I16" s="447"/>
      <c r="J16" s="448"/>
      <c r="K16" s="615"/>
      <c r="L16" s="1135"/>
      <c r="M16" s="1126"/>
      <c r="N16" s="1126"/>
      <c r="O16" s="1134"/>
      <c r="P16" s="3211"/>
      <c r="Q16" s="1796"/>
      <c r="R16" s="774"/>
      <c r="S16" s="775"/>
      <c r="T16" s="774"/>
      <c r="U16" s="775"/>
      <c r="V16" s="774"/>
      <c r="W16" s="775"/>
      <c r="X16" s="1799"/>
      <c r="Y16" s="3211"/>
      <c r="Z16" s="1800"/>
      <c r="AA16" s="1797">
        <v>1</v>
      </c>
      <c r="AB16" s="1797">
        <v>1</v>
      </c>
      <c r="AC16" s="1797">
        <v>1</v>
      </c>
    </row>
    <row r="17" spans="1:29" ht="15">
      <c r="A17" s="428"/>
      <c r="B17" s="451" t="s">
        <v>2089</v>
      </c>
      <c r="C17" s="259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11"/>
      <c r="Q17" s="1796" t="str">
        <f>B17</f>
        <v>交通便捷度</v>
      </c>
      <c r="R17" s="774" t="s">
        <v>17</v>
      </c>
      <c r="S17" s="775">
        <f>F17</f>
        <v>100</v>
      </c>
      <c r="T17" s="774" t="s">
        <v>17</v>
      </c>
      <c r="U17" s="775">
        <f>H17</f>
        <v>100</v>
      </c>
      <c r="V17" s="774" t="s">
        <v>17</v>
      </c>
      <c r="W17" s="775">
        <f>J17</f>
        <v>100</v>
      </c>
      <c r="X17" s="1799"/>
      <c r="Y17" s="3211"/>
      <c r="Z17" s="1800" t="str">
        <f>Q17</f>
        <v>交通便捷度</v>
      </c>
      <c r="AA17" s="1797">
        <f t="shared" si="3"/>
        <v>1</v>
      </c>
      <c r="AB17" s="1797">
        <f t="shared" si="4"/>
        <v>1</v>
      </c>
      <c r="AC17" s="1797">
        <f t="shared" si="5"/>
        <v>1</v>
      </c>
    </row>
    <row r="18" spans="1:29" ht="15">
      <c r="A18" s="428"/>
      <c r="B18" s="456"/>
      <c r="C18" s="2596"/>
      <c r="D18" s="450"/>
      <c r="E18" s="2598"/>
      <c r="F18" s="453"/>
      <c r="G18" s="2597"/>
      <c r="H18" s="448"/>
      <c r="I18" s="2598"/>
      <c r="J18" s="448"/>
      <c r="K18" s="615"/>
      <c r="L18" s="1135"/>
      <c r="M18" s="1126"/>
      <c r="N18" s="1126"/>
      <c r="O18" s="1134"/>
      <c r="P18" s="3211"/>
      <c r="Q18" s="1796"/>
      <c r="R18" s="774"/>
      <c r="S18" s="775"/>
      <c r="T18" s="774"/>
      <c r="U18" s="775"/>
      <c r="V18" s="774"/>
      <c r="W18" s="775"/>
      <c r="X18" s="1799"/>
      <c r="Y18" s="3211"/>
      <c r="Z18" s="1800"/>
      <c r="AA18" s="1797">
        <v>1</v>
      </c>
      <c r="AB18" s="1797">
        <v>1</v>
      </c>
      <c r="AC18" s="1797">
        <v>1</v>
      </c>
    </row>
    <row r="19" spans="1:29" ht="15">
      <c r="A19" s="428"/>
      <c r="B19" s="451" t="s">
        <v>2678</v>
      </c>
      <c r="C19" s="259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11"/>
      <c r="Q19" s="1796" t="str">
        <f>B19</f>
        <v>公共配套设施</v>
      </c>
      <c r="R19" s="774" t="s">
        <v>17</v>
      </c>
      <c r="S19" s="775">
        <f>F19</f>
        <v>100</v>
      </c>
      <c r="T19" s="774" t="s">
        <v>17</v>
      </c>
      <c r="U19" s="775">
        <f>H19</f>
        <v>100</v>
      </c>
      <c r="V19" s="774" t="s">
        <v>17</v>
      </c>
      <c r="W19" s="775">
        <f>J19</f>
        <v>100</v>
      </c>
      <c r="X19" s="1799"/>
      <c r="Y19" s="3211"/>
      <c r="Z19" s="1800" t="str">
        <f>Q19</f>
        <v>公共配套设施</v>
      </c>
      <c r="AA19" s="1797">
        <f t="shared" si="3"/>
        <v>1</v>
      </c>
      <c r="AB19" s="1797">
        <f t="shared" si="4"/>
        <v>1</v>
      </c>
      <c r="AC19" s="1797">
        <f t="shared" si="5"/>
        <v>1</v>
      </c>
    </row>
    <row r="20" spans="1:29" ht="15">
      <c r="A20" s="428"/>
      <c r="B20" s="456"/>
      <c r="C20" s="447"/>
      <c r="D20" s="448"/>
      <c r="E20" s="2593"/>
      <c r="F20" s="449"/>
      <c r="G20" s="2592"/>
      <c r="H20" s="448"/>
      <c r="I20" s="2593"/>
      <c r="J20" s="448"/>
      <c r="K20" s="615"/>
      <c r="L20" s="1135"/>
      <c r="M20" s="1126"/>
      <c r="N20" s="1126"/>
      <c r="O20" s="1134"/>
      <c r="P20" s="3211"/>
      <c r="Q20" s="1796"/>
      <c r="R20" s="774"/>
      <c r="S20" s="775"/>
      <c r="T20" s="774"/>
      <c r="U20" s="775"/>
      <c r="V20" s="774"/>
      <c r="W20" s="775"/>
      <c r="X20" s="1799"/>
      <c r="Y20" s="3211"/>
      <c r="Z20" s="1800"/>
      <c r="AA20" s="1797">
        <v>1</v>
      </c>
      <c r="AB20" s="1797">
        <v>1</v>
      </c>
      <c r="AC20" s="1797">
        <v>1</v>
      </c>
    </row>
    <row r="21" spans="1:29" ht="15">
      <c r="A21" s="428"/>
      <c r="B21" s="1379" t="s">
        <v>2679</v>
      </c>
      <c r="C21" s="259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11"/>
      <c r="Q21" s="1796" t="str">
        <f>B21</f>
        <v>基础设施水平</v>
      </c>
      <c r="R21" s="774" t="s">
        <v>17</v>
      </c>
      <c r="S21" s="775">
        <f>F21</f>
        <v>100</v>
      </c>
      <c r="T21" s="774" t="s">
        <v>17</v>
      </c>
      <c r="U21" s="775">
        <f>H21</f>
        <v>100</v>
      </c>
      <c r="V21" s="774" t="s">
        <v>17</v>
      </c>
      <c r="W21" s="775">
        <f>J21</f>
        <v>100</v>
      </c>
      <c r="X21" s="1799"/>
      <c r="Y21" s="3211"/>
      <c r="Z21" s="1800" t="str">
        <f>Q21</f>
        <v>基础设施水平</v>
      </c>
      <c r="AA21" s="1797">
        <f t="shared" ref="AA21" si="8">D21/F21</f>
        <v>1</v>
      </c>
      <c r="AB21" s="1797">
        <f t="shared" ref="AB21" si="9">D21/H21</f>
        <v>1</v>
      </c>
      <c r="AC21" s="1797">
        <f t="shared" ref="AC21" si="10">D21/J21</f>
        <v>1</v>
      </c>
    </row>
    <row r="22" spans="1:29" ht="15">
      <c r="A22" s="428"/>
      <c r="B22" s="1379"/>
      <c r="C22" s="2596"/>
      <c r="D22" s="448"/>
      <c r="E22" s="447"/>
      <c r="F22" s="449"/>
      <c r="G22" s="447"/>
      <c r="H22" s="448"/>
      <c r="I22" s="447"/>
      <c r="J22" s="448"/>
      <c r="K22" s="1378"/>
      <c r="L22" s="1135"/>
      <c r="M22" s="1126"/>
      <c r="N22" s="1126"/>
      <c r="O22" s="1134"/>
      <c r="P22" s="3211"/>
      <c r="Q22" s="1796"/>
      <c r="R22" s="774"/>
      <c r="S22" s="775"/>
      <c r="T22" s="774"/>
      <c r="U22" s="775"/>
      <c r="V22" s="774"/>
      <c r="W22" s="775"/>
      <c r="X22" s="1799"/>
      <c r="Y22" s="3211"/>
      <c r="Z22" s="1800"/>
      <c r="AA22" s="1797">
        <v>1</v>
      </c>
      <c r="AB22" s="1797">
        <v>1</v>
      </c>
      <c r="AC22" s="1797">
        <v>1</v>
      </c>
    </row>
    <row r="23" spans="1:29" ht="15">
      <c r="A23" s="428"/>
      <c r="B23" s="451" t="s">
        <v>2680</v>
      </c>
      <c r="C23" s="259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11"/>
      <c r="Q23" s="1796" t="str">
        <f>B23</f>
        <v>环境质量</v>
      </c>
      <c r="R23" s="774" t="s">
        <v>17</v>
      </c>
      <c r="S23" s="775">
        <f>F23</f>
        <v>100</v>
      </c>
      <c r="T23" s="774" t="s">
        <v>17</v>
      </c>
      <c r="U23" s="775">
        <f>H23</f>
        <v>100</v>
      </c>
      <c r="V23" s="774" t="s">
        <v>17</v>
      </c>
      <c r="W23" s="775">
        <f>J23</f>
        <v>100</v>
      </c>
      <c r="X23" s="1799"/>
      <c r="Y23" s="3211"/>
      <c r="Z23" s="1800" t="str">
        <f>Q23</f>
        <v>环境质量</v>
      </c>
      <c r="AA23" s="1797">
        <f t="shared" si="3"/>
        <v>1</v>
      </c>
      <c r="AB23" s="1797">
        <f t="shared" si="4"/>
        <v>1</v>
      </c>
      <c r="AC23" s="1797">
        <f t="shared" si="5"/>
        <v>1</v>
      </c>
    </row>
    <row r="24" spans="1:29" ht="15">
      <c r="A24" s="428"/>
      <c r="B24" s="1379"/>
      <c r="C24" s="447"/>
      <c r="D24" s="448"/>
      <c r="E24" s="2593"/>
      <c r="F24" s="449"/>
      <c r="G24" s="2592"/>
      <c r="H24" s="448"/>
      <c r="I24" s="2593"/>
      <c r="J24" s="448"/>
      <c r="K24" s="615"/>
      <c r="L24" s="1135"/>
      <c r="M24" s="1126"/>
      <c r="N24" s="1126"/>
      <c r="O24" s="1134"/>
      <c r="P24" s="3211"/>
      <c r="Q24" s="1796"/>
      <c r="R24" s="774"/>
      <c r="S24" s="775"/>
      <c r="T24" s="774"/>
      <c r="U24" s="775"/>
      <c r="V24" s="774"/>
      <c r="W24" s="775"/>
      <c r="X24" s="1799"/>
      <c r="Y24" s="3211"/>
      <c r="Z24" s="1800"/>
      <c r="AA24" s="1797">
        <v>1</v>
      </c>
      <c r="AB24" s="1797">
        <v>1</v>
      </c>
      <c r="AC24" s="1797">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11"/>
      <c r="Q25" s="1796">
        <f>B25</f>
        <v>111</v>
      </c>
      <c r="R25" s="774" t="s">
        <v>17</v>
      </c>
      <c r="S25" s="775">
        <f>F25</f>
        <v>100</v>
      </c>
      <c r="T25" s="774" t="s">
        <v>17</v>
      </c>
      <c r="U25" s="775">
        <f>H25</f>
        <v>100</v>
      </c>
      <c r="V25" s="774" t="s">
        <v>17</v>
      </c>
      <c r="W25" s="775">
        <f>J25</f>
        <v>100</v>
      </c>
      <c r="X25" s="1799"/>
      <c r="Y25" s="3211"/>
      <c r="Z25" s="1800">
        <f>Q25</f>
        <v>111</v>
      </c>
      <c r="AA25" s="1797">
        <f t="shared" si="3"/>
        <v>1</v>
      </c>
      <c r="AB25" s="1797">
        <f t="shared" si="4"/>
        <v>1</v>
      </c>
      <c r="AC25" s="1797">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11"/>
      <c r="Q26" s="1796">
        <f t="shared" ref="Q26:Q40" si="11">B26</f>
        <v>111</v>
      </c>
      <c r="R26" s="774" t="s">
        <v>17</v>
      </c>
      <c r="S26" s="775">
        <f>F26</f>
        <v>100</v>
      </c>
      <c r="T26" s="774" t="s">
        <v>17</v>
      </c>
      <c r="U26" s="775">
        <f>H26</f>
        <v>100</v>
      </c>
      <c r="V26" s="774" t="s">
        <v>17</v>
      </c>
      <c r="W26" s="775">
        <f>J26</f>
        <v>100</v>
      </c>
      <c r="X26" s="1799"/>
      <c r="Y26" s="3211"/>
      <c r="Z26" s="1800">
        <f>Q26</f>
        <v>111</v>
      </c>
      <c r="AA26" s="1797">
        <f t="shared" si="3"/>
        <v>1</v>
      </c>
      <c r="AB26" s="1797">
        <f t="shared" si="4"/>
        <v>1</v>
      </c>
      <c r="AC26" s="1797">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11"/>
      <c r="Q27" s="1781">
        <f t="shared" si="11"/>
        <v>111</v>
      </c>
      <c r="R27" s="770" t="s">
        <v>17</v>
      </c>
      <c r="S27" s="771">
        <f>F27</f>
        <v>100</v>
      </c>
      <c r="T27" s="770" t="s">
        <v>17</v>
      </c>
      <c r="U27" s="771">
        <f>H27</f>
        <v>100</v>
      </c>
      <c r="V27" s="770" t="s">
        <v>17</v>
      </c>
      <c r="W27" s="771">
        <f>J27</f>
        <v>100</v>
      </c>
      <c r="X27" s="772"/>
      <c r="Y27" s="3211"/>
      <c r="Z27" s="55">
        <f>Q27</f>
        <v>111</v>
      </c>
      <c r="AA27" s="1797">
        <f>D27/F27</f>
        <v>1</v>
      </c>
      <c r="AB27" s="1797">
        <f>D27/H27</f>
        <v>1</v>
      </c>
      <c r="AC27" s="1797">
        <f>D27/J27</f>
        <v>1</v>
      </c>
    </row>
    <row r="28" spans="1:29" ht="15.6"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11"/>
      <c r="Q28" s="1796">
        <f t="shared" si="11"/>
        <v>111</v>
      </c>
      <c r="R28" s="774" t="s">
        <v>17</v>
      </c>
      <c r="S28" s="775">
        <f t="shared" ref="S28:S40" si="12">F28</f>
        <v>100</v>
      </c>
      <c r="T28" s="774" t="s">
        <v>17</v>
      </c>
      <c r="U28" s="775">
        <f t="shared" ref="U28:U40" si="13">H28</f>
        <v>100</v>
      </c>
      <c r="V28" s="774" t="s">
        <v>17</v>
      </c>
      <c r="W28" s="775">
        <f t="shared" ref="W28:W40" si="14">J28</f>
        <v>100</v>
      </c>
      <c r="X28" s="1799"/>
      <c r="Y28" s="3211"/>
      <c r="Z28" s="1800">
        <f t="shared" ref="Z28:Z40" si="15">Q28</f>
        <v>111</v>
      </c>
      <c r="AA28" s="1797">
        <f t="shared" si="3"/>
        <v>1</v>
      </c>
      <c r="AB28" s="1797">
        <f t="shared" si="4"/>
        <v>1</v>
      </c>
      <c r="AC28" s="1797">
        <f t="shared" si="5"/>
        <v>1</v>
      </c>
    </row>
    <row r="29" spans="1:29" ht="30">
      <c r="A29" s="466" t="s">
        <v>2553</v>
      </c>
      <c r="B29" s="71" t="s">
        <v>2683</v>
      </c>
      <c r="C29" s="2667"/>
      <c r="D29" s="467">
        <v>100</v>
      </c>
      <c r="E29" s="2667"/>
      <c r="F29" s="461">
        <f>SUMIF(88:88,E29,89:89)-SUMIF(88:88,C29,89:89)+100</f>
        <v>100</v>
      </c>
      <c r="G29" s="2667"/>
      <c r="H29" s="435">
        <f>SUMIF(88:88,G29,89:89)-SUMIF(88:88,C29,89:89)+100</f>
        <v>100</v>
      </c>
      <c r="I29" s="2667"/>
      <c r="J29" s="467">
        <f>SUMIF(88:88,I29,89:89)-SUMIF(88:88,C29,89:89)+100</f>
        <v>100</v>
      </c>
      <c r="K29" s="612"/>
      <c r="L29" s="1135"/>
      <c r="M29" s="1126"/>
      <c r="N29" s="1126"/>
      <c r="O29" s="1134"/>
      <c r="P29" s="3212" t="s">
        <v>2555</v>
      </c>
      <c r="Q29" s="1796" t="str">
        <f t="shared" si="11"/>
        <v>建筑类型</v>
      </c>
      <c r="R29" s="774" t="s">
        <v>17</v>
      </c>
      <c r="S29" s="775">
        <f t="shared" si="12"/>
        <v>100</v>
      </c>
      <c r="T29" s="774" t="s">
        <v>17</v>
      </c>
      <c r="U29" s="775">
        <f t="shared" si="13"/>
        <v>100</v>
      </c>
      <c r="V29" s="774" t="s">
        <v>17</v>
      </c>
      <c r="W29" s="775">
        <f t="shared" si="14"/>
        <v>100</v>
      </c>
      <c r="X29" s="1799"/>
      <c r="Y29" s="3213" t="s">
        <v>2555</v>
      </c>
      <c r="Z29" s="1800" t="str">
        <f t="shared" si="15"/>
        <v>建筑类型</v>
      </c>
      <c r="AA29" s="1797">
        <f t="shared" si="3"/>
        <v>1</v>
      </c>
      <c r="AB29" s="1797">
        <f t="shared" si="4"/>
        <v>1</v>
      </c>
      <c r="AC29" s="1797">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797" t="e">
        <f t="shared" si="3"/>
        <v>#N/A</v>
      </c>
      <c r="AB30" s="1797" t="e">
        <f t="shared" si="4"/>
        <v>#N/A</v>
      </c>
      <c r="AC30" s="1797"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13"/>
      <c r="Q31" s="1796" t="str">
        <f t="shared" si="11"/>
        <v>建筑结构</v>
      </c>
      <c r="R31" s="774" t="s">
        <v>17</v>
      </c>
      <c r="S31" s="775">
        <f t="shared" si="12"/>
        <v>100</v>
      </c>
      <c r="T31" s="774" t="s">
        <v>17</v>
      </c>
      <c r="U31" s="775">
        <f t="shared" si="13"/>
        <v>100</v>
      </c>
      <c r="V31" s="774" t="s">
        <v>17</v>
      </c>
      <c r="W31" s="775">
        <f t="shared" si="14"/>
        <v>100</v>
      </c>
      <c r="X31" s="1799"/>
      <c r="Y31" s="3213"/>
      <c r="Z31" s="1800" t="str">
        <f t="shared" si="15"/>
        <v>建筑结构</v>
      </c>
      <c r="AA31" s="1797">
        <f t="shared" si="3"/>
        <v>1</v>
      </c>
      <c r="AB31" s="1797">
        <f t="shared" si="4"/>
        <v>1</v>
      </c>
      <c r="AC31" s="1797">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13"/>
      <c r="Q32" s="1796" t="str">
        <f t="shared" si="11"/>
        <v>公共部分装修</v>
      </c>
      <c r="R32" s="774" t="s">
        <v>17</v>
      </c>
      <c r="S32" s="775">
        <f t="shared" si="12"/>
        <v>100</v>
      </c>
      <c r="T32" s="774" t="s">
        <v>17</v>
      </c>
      <c r="U32" s="775">
        <f t="shared" si="13"/>
        <v>100</v>
      </c>
      <c r="V32" s="774" t="s">
        <v>17</v>
      </c>
      <c r="W32" s="775">
        <f t="shared" si="14"/>
        <v>100</v>
      </c>
      <c r="X32" s="1799"/>
      <c r="Y32" s="3213"/>
      <c r="Z32" s="1800" t="str">
        <f t="shared" si="15"/>
        <v>公共部分装修</v>
      </c>
      <c r="AA32" s="1797">
        <f t="shared" si="3"/>
        <v>1</v>
      </c>
      <c r="AB32" s="1797">
        <f t="shared" si="4"/>
        <v>1</v>
      </c>
      <c r="AC32" s="1797">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13"/>
      <c r="Q33" s="1796" t="str">
        <f t="shared" si="11"/>
        <v>成新度</v>
      </c>
      <c r="R33" s="774" t="s">
        <v>17</v>
      </c>
      <c r="S33" s="775" t="e">
        <f t="shared" si="12"/>
        <v>#N/A</v>
      </c>
      <c r="T33" s="774" t="s">
        <v>17</v>
      </c>
      <c r="U33" s="775" t="e">
        <f t="shared" si="13"/>
        <v>#N/A</v>
      </c>
      <c r="V33" s="774" t="s">
        <v>17</v>
      </c>
      <c r="W33" s="775" t="e">
        <f t="shared" si="14"/>
        <v>#N/A</v>
      </c>
      <c r="X33" s="1799"/>
      <c r="Y33" s="3213"/>
      <c r="Z33" s="1800" t="str">
        <f t="shared" si="15"/>
        <v>成新度</v>
      </c>
      <c r="AA33" s="1797" t="e">
        <f t="shared" si="3"/>
        <v>#N/A</v>
      </c>
      <c r="AB33" s="1797" t="e">
        <f t="shared" si="4"/>
        <v>#N/A</v>
      </c>
      <c r="AC33" s="1797"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13"/>
      <c r="Q34" s="1781"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13" t="s">
        <v>2555</v>
      </c>
      <c r="Q35" s="1796" t="str">
        <f t="shared" si="11"/>
        <v>市政基础设施</v>
      </c>
      <c r="R35" s="774" t="s">
        <v>17</v>
      </c>
      <c r="S35" s="775">
        <f t="shared" si="12"/>
        <v>100</v>
      </c>
      <c r="T35" s="774" t="s">
        <v>17</v>
      </c>
      <c r="U35" s="775">
        <f t="shared" si="13"/>
        <v>100</v>
      </c>
      <c r="V35" s="774" t="s">
        <v>17</v>
      </c>
      <c r="W35" s="775">
        <f t="shared" si="14"/>
        <v>100</v>
      </c>
      <c r="X35" s="1799"/>
      <c r="Y35" s="3213" t="s">
        <v>2555</v>
      </c>
      <c r="Z35" s="1800" t="str">
        <f t="shared" si="15"/>
        <v>市政基础设施</v>
      </c>
      <c r="AA35" s="1797">
        <f t="shared" si="3"/>
        <v>1</v>
      </c>
      <c r="AB35" s="1797">
        <f t="shared" si="4"/>
        <v>1</v>
      </c>
      <c r="AC35" s="1797">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13"/>
      <c r="Q36" s="1796" t="str">
        <f t="shared" si="11"/>
        <v>内部装修</v>
      </c>
      <c r="R36" s="774" t="s">
        <v>17</v>
      </c>
      <c r="S36" s="775">
        <f t="shared" si="12"/>
        <v>100</v>
      </c>
      <c r="T36" s="774" t="s">
        <v>17</v>
      </c>
      <c r="U36" s="775">
        <f t="shared" si="13"/>
        <v>100</v>
      </c>
      <c r="V36" s="774" t="s">
        <v>17</v>
      </c>
      <c r="W36" s="775">
        <f t="shared" si="14"/>
        <v>100</v>
      </c>
      <c r="X36" s="1799"/>
      <c r="Y36" s="3213"/>
      <c r="Z36" s="1800" t="str">
        <f t="shared" si="15"/>
        <v>内部装修</v>
      </c>
      <c r="AA36" s="1797">
        <f t="shared" si="3"/>
        <v>1</v>
      </c>
      <c r="AB36" s="1797">
        <f t="shared" si="4"/>
        <v>1</v>
      </c>
      <c r="AC36" s="1797">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13"/>
      <c r="Q37" s="1796" t="str">
        <f t="shared" si="11"/>
        <v>内部装修状况</v>
      </c>
      <c r="R37" s="774" t="s">
        <v>17</v>
      </c>
      <c r="S37" s="775">
        <f t="shared" si="12"/>
        <v>100</v>
      </c>
      <c r="T37" s="774" t="s">
        <v>17</v>
      </c>
      <c r="U37" s="775">
        <f t="shared" si="13"/>
        <v>100</v>
      </c>
      <c r="V37" s="774" t="s">
        <v>17</v>
      </c>
      <c r="W37" s="775">
        <f t="shared" si="14"/>
        <v>100</v>
      </c>
      <c r="X37" s="1799"/>
      <c r="Y37" s="3213"/>
      <c r="Z37" s="1800" t="str">
        <f t="shared" si="15"/>
        <v>内部装修状况</v>
      </c>
      <c r="AA37" s="1797">
        <f t="shared" si="3"/>
        <v>1</v>
      </c>
      <c r="AB37" s="1797">
        <f t="shared" si="4"/>
        <v>1</v>
      </c>
      <c r="AC37" s="1797">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797">
        <f t="shared" si="3"/>
        <v>1</v>
      </c>
      <c r="AB38" s="1797">
        <f t="shared" si="4"/>
        <v>1</v>
      </c>
      <c r="AC38" s="1797">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13"/>
      <c r="Q39" s="1796">
        <f t="shared" si="11"/>
        <v>111</v>
      </c>
      <c r="R39" s="774" t="s">
        <v>17</v>
      </c>
      <c r="S39" s="775">
        <f t="shared" si="12"/>
        <v>100</v>
      </c>
      <c r="T39" s="774" t="s">
        <v>17</v>
      </c>
      <c r="U39" s="775">
        <f t="shared" si="13"/>
        <v>100</v>
      </c>
      <c r="V39" s="774" t="s">
        <v>17</v>
      </c>
      <c r="W39" s="775">
        <f t="shared" si="14"/>
        <v>100</v>
      </c>
      <c r="X39" s="1799"/>
      <c r="Y39" s="3213"/>
      <c r="Z39" s="1800">
        <f t="shared" si="15"/>
        <v>111</v>
      </c>
      <c r="AA39" s="1797">
        <f t="shared" si="3"/>
        <v>1</v>
      </c>
      <c r="AB39" s="1797">
        <f t="shared" si="4"/>
        <v>1</v>
      </c>
      <c r="AC39" s="1797">
        <f t="shared" si="5"/>
        <v>1</v>
      </c>
    </row>
    <row r="40" spans="1:29" ht="15.6"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53"/>
      <c r="Q40" s="1796">
        <f t="shared" si="11"/>
        <v>111</v>
      </c>
      <c r="R40" s="774" t="s">
        <v>17</v>
      </c>
      <c r="S40" s="775">
        <f t="shared" si="12"/>
        <v>100</v>
      </c>
      <c r="T40" s="774" t="s">
        <v>17</v>
      </c>
      <c r="U40" s="775">
        <f t="shared" si="13"/>
        <v>100</v>
      </c>
      <c r="V40" s="774" t="s">
        <v>17</v>
      </c>
      <c r="W40" s="775">
        <f t="shared" si="14"/>
        <v>100</v>
      </c>
      <c r="X40" s="1799"/>
      <c r="Y40" s="3253"/>
      <c r="Z40" s="1800">
        <f t="shared" si="15"/>
        <v>111</v>
      </c>
      <c r="AA40" s="1797">
        <f t="shared" si="3"/>
        <v>1</v>
      </c>
      <c r="AB40" s="1797">
        <f t="shared" si="4"/>
        <v>1</v>
      </c>
      <c r="AC40" s="1797">
        <f t="shared" si="5"/>
        <v>1</v>
      </c>
    </row>
    <row r="41" spans="1:29" ht="14.4">
      <c r="A41" s="479" t="s">
        <v>2567</v>
      </c>
      <c r="B41" s="480"/>
      <c r="C41" s="1402" t="s">
        <v>1</v>
      </c>
      <c r="D41" s="1403"/>
      <c r="E41" s="1404"/>
      <c r="F41" s="1405"/>
      <c r="G41" s="1406"/>
      <c r="H41" s="1407"/>
      <c r="I41" s="1404"/>
      <c r="J41" s="1407"/>
      <c r="K41" s="783"/>
      <c r="L41" s="1138"/>
      <c r="M41" s="1139"/>
      <c r="N41" s="1126"/>
      <c r="O41" s="1139"/>
      <c r="P41" s="3195" t="str">
        <f>A41</f>
        <v>成交单价（元/平方米）</v>
      </c>
      <c r="Q41" s="3195"/>
      <c r="R41" s="3249">
        <f>E41</f>
        <v>0</v>
      </c>
      <c r="S41" s="3249"/>
      <c r="T41" s="3249">
        <f>G41</f>
        <v>0</v>
      </c>
      <c r="U41" s="3249"/>
      <c r="V41" s="3249">
        <f>I41</f>
        <v>0</v>
      </c>
      <c r="W41" s="3249"/>
      <c r="X41" s="759"/>
      <c r="Y41" s="781"/>
      <c r="Z41" s="759"/>
      <c r="AA41" s="759"/>
      <c r="AB41" s="759"/>
      <c r="AC41" s="759"/>
    </row>
    <row r="42" spans="1:29" ht="15" thickBot="1">
      <c r="A42" s="486" t="s">
        <v>2659</v>
      </c>
      <c r="B42" s="487"/>
      <c r="C42" s="1408" t="e">
        <f>R43</f>
        <v>#DIV/0!</v>
      </c>
      <c r="D42" s="1409"/>
      <c r="E42" s="1410" t="e">
        <f>R42</f>
        <v>#DIV/0!</v>
      </c>
      <c r="F42" s="1410"/>
      <c r="G42" s="1408" t="e">
        <f>T42</f>
        <v>#DIV/0!</v>
      </c>
      <c r="H42" s="1409"/>
      <c r="I42" s="1410" t="e">
        <f>V42</f>
        <v>#DIV/0!</v>
      </c>
      <c r="J42" s="1409"/>
      <c r="K42" s="784"/>
      <c r="L42" s="1138"/>
      <c r="M42" s="1139"/>
      <c r="N42" s="1126"/>
      <c r="O42" s="1139"/>
      <c r="P42" s="3195" t="str">
        <f>A42</f>
        <v>比较价值（元/平方米）</v>
      </c>
      <c r="Q42" s="3195"/>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 thickBot="1">
      <c r="A43" s="492" t="s">
        <v>2660</v>
      </c>
      <c r="B43" s="493"/>
      <c r="C43" s="1412" t="e">
        <f>R43</f>
        <v>#DIV/0!</v>
      </c>
      <c r="D43" s="1412"/>
      <c r="E43" s="1412"/>
      <c r="F43" s="1412"/>
      <c r="G43" s="1412"/>
      <c r="H43" s="1412"/>
      <c r="I43" s="1412"/>
      <c r="J43" s="1412"/>
      <c r="K43" s="785"/>
      <c r="L43" s="1138"/>
      <c r="M43" s="1139"/>
      <c r="N43" s="1139"/>
      <c r="O43" s="1139"/>
      <c r="P43" s="3215" t="str">
        <f>A43</f>
        <v>估价对象XX用房的比较价值（楼面单价，元/平方米）</v>
      </c>
      <c r="Q43" s="3216"/>
      <c r="R43" s="3248" t="e">
        <f>IF(F1="售价",ROUND(AVERAGE(R42:V42),0),ROUND(AVERAGE(R42:V42),1))</f>
        <v>#DIV/0!</v>
      </c>
      <c r="S43" s="3248"/>
      <c r="T43" s="3248"/>
      <c r="U43" s="3248"/>
      <c r="V43" s="3248"/>
      <c r="W43" s="3248"/>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2.2" thickBot="1">
      <c r="A51" s="763" t="s">
        <v>2664</v>
      </c>
      <c r="B51" s="759"/>
      <c r="C51" s="764"/>
      <c r="D51" s="764"/>
      <c r="E51" s="764"/>
      <c r="F51" s="765"/>
      <c r="G51" s="765"/>
      <c r="H51" s="764"/>
      <c r="I51" s="764"/>
      <c r="J51" s="764"/>
      <c r="K51" s="1155"/>
      <c r="L51" s="1156"/>
      <c r="M51" s="1154"/>
      <c r="N51" s="1154"/>
      <c r="O51" s="1154"/>
      <c r="P51" s="503"/>
      <c r="Q51" s="504"/>
    </row>
    <row r="52" spans="1:17" s="508" customFormat="1" ht="14.4">
      <c r="A52" s="505" t="s">
        <v>2538</v>
      </c>
      <c r="B52" s="506"/>
      <c r="C52" s="1568" t="str">
        <f>YEAR(C7)&amp;"-"&amp;MONTH(C7)</f>
        <v>2020-7</v>
      </c>
      <c r="D52" s="1569">
        <f>EDATE(C52,-1)</f>
        <v>43983</v>
      </c>
      <c r="E52" s="1569">
        <f t="shared" ref="E52:O52" si="16">EDATE(D52,-1)</f>
        <v>43952</v>
      </c>
      <c r="F52" s="1569">
        <f t="shared" si="16"/>
        <v>43922</v>
      </c>
      <c r="G52" s="1569">
        <f t="shared" si="16"/>
        <v>43891</v>
      </c>
      <c r="H52" s="1569">
        <f t="shared" si="16"/>
        <v>43862</v>
      </c>
      <c r="I52" s="1569">
        <f t="shared" si="16"/>
        <v>43831</v>
      </c>
      <c r="J52" s="1569">
        <f t="shared" si="16"/>
        <v>43800</v>
      </c>
      <c r="K52" s="1569">
        <f t="shared" si="16"/>
        <v>43770</v>
      </c>
      <c r="L52" s="1569">
        <f t="shared" si="16"/>
        <v>43739</v>
      </c>
      <c r="M52" s="1569">
        <f t="shared" si="16"/>
        <v>43709</v>
      </c>
      <c r="N52" s="1569">
        <f t="shared" si="16"/>
        <v>43678</v>
      </c>
      <c r="O52" s="1569">
        <f t="shared" si="16"/>
        <v>43647</v>
      </c>
      <c r="P52" s="507"/>
    </row>
    <row r="53" spans="1:17" s="117" customFormat="1">
      <c r="A53" s="509"/>
      <c r="B53" s="510"/>
      <c r="C53" s="1567">
        <v>100</v>
      </c>
      <c r="D53" s="512"/>
      <c r="E53" s="512"/>
      <c r="F53" s="512"/>
      <c r="G53" s="512"/>
      <c r="H53" s="512"/>
      <c r="I53" s="512"/>
      <c r="J53" s="512"/>
      <c r="K53" s="512"/>
      <c r="L53" s="512"/>
      <c r="M53" s="513"/>
      <c r="N53" s="512"/>
      <c r="O53" s="514"/>
      <c r="P53" s="504"/>
    </row>
    <row r="54" spans="1:17" s="117" customFormat="1" ht="15" thickBot="1">
      <c r="A54" s="515" t="s">
        <v>2575</v>
      </c>
      <c r="B54" s="516"/>
      <c r="C54" s="517"/>
      <c r="D54" s="518"/>
      <c r="E54" s="518"/>
      <c r="F54" s="518"/>
      <c r="G54" s="518"/>
      <c r="H54" s="518"/>
      <c r="I54" s="518"/>
      <c r="J54" s="518"/>
      <c r="K54" s="518"/>
      <c r="L54" s="518"/>
      <c r="M54" s="519"/>
      <c r="N54" s="518"/>
      <c r="O54" s="520"/>
      <c r="P54" s="504"/>
      <c r="Q54" s="504"/>
    </row>
    <row r="55" spans="1:17" s="117" customFormat="1" ht="14.4">
      <c r="A55" s="521" t="s">
        <v>2540</v>
      </c>
      <c r="B55" s="510"/>
      <c r="C55" s="522" t="s">
        <v>2642</v>
      </c>
      <c r="D55" s="523"/>
      <c r="E55" s="523"/>
      <c r="F55" s="523"/>
      <c r="G55" s="523"/>
      <c r="H55" s="523"/>
      <c r="I55" s="523"/>
      <c r="J55" s="523"/>
      <c r="K55" s="523"/>
      <c r="L55" s="524"/>
      <c r="M55" s="525"/>
      <c r="N55" s="1146"/>
      <c r="O55" s="1146"/>
      <c r="P55" s="526"/>
      <c r="Q55" s="504"/>
    </row>
    <row r="56" spans="1:17" s="117" customFormat="1" ht="14.4" thickBot="1">
      <c r="A56" s="521"/>
      <c r="B56" s="510"/>
      <c r="C56" s="639">
        <v>100</v>
      </c>
      <c r="D56" s="512"/>
      <c r="E56" s="512"/>
      <c r="F56" s="512"/>
      <c r="G56" s="512"/>
      <c r="H56" s="512"/>
      <c r="I56" s="512"/>
      <c r="J56" s="512"/>
      <c r="K56" s="512"/>
      <c r="L56" s="512"/>
      <c r="M56" s="514"/>
      <c r="N56" s="1146"/>
      <c r="O56" s="1146"/>
      <c r="P56" s="504"/>
      <c r="Q56" s="504"/>
    </row>
    <row r="57" spans="1:17" ht="14.4">
      <c r="A57" s="527" t="s">
        <v>2578</v>
      </c>
      <c r="B57" s="528" t="s">
        <v>2544</v>
      </c>
      <c r="C57" s="529">
        <f>C9</f>
        <v>0</v>
      </c>
      <c r="D57" s="530"/>
      <c r="E57" s="530"/>
      <c r="F57" s="530"/>
      <c r="G57" s="530"/>
      <c r="H57" s="530"/>
      <c r="I57" s="530"/>
      <c r="J57" s="530"/>
      <c r="K57" s="531"/>
      <c r="L57" s="532"/>
      <c r="M57" s="533"/>
      <c r="N57" s="1147"/>
      <c r="O57" s="1147"/>
      <c r="P57" s="45"/>
      <c r="Q57" s="504"/>
    </row>
    <row r="58" spans="1:17" ht="14.4" thickBot="1">
      <c r="A58" s="534"/>
      <c r="B58" s="535"/>
      <c r="C58" s="536">
        <v>100</v>
      </c>
      <c r="D58" s="536"/>
      <c r="E58" s="536"/>
      <c r="F58" s="536"/>
      <c r="G58" s="536"/>
      <c r="H58" s="536"/>
      <c r="I58" s="536"/>
      <c r="J58" s="536"/>
      <c r="K58" s="536"/>
      <c r="L58" s="536"/>
      <c r="M58" s="537"/>
      <c r="N58" s="1148"/>
      <c r="O58" s="1148"/>
      <c r="P58" s="45"/>
      <c r="Q58" s="504"/>
    </row>
    <row r="59" spans="1:17" ht="29.4" thickTop="1">
      <c r="A59" s="534"/>
      <c r="B59" s="538" t="s">
        <v>2547</v>
      </c>
      <c r="C59" s="539" t="s">
        <v>2579</v>
      </c>
      <c r="D59" s="539" t="s">
        <v>2580</v>
      </c>
      <c r="E59" s="539" t="s">
        <v>2581</v>
      </c>
      <c r="F59" s="539" t="s">
        <v>2582</v>
      </c>
      <c r="G59" s="539" t="s">
        <v>2583</v>
      </c>
      <c r="H59" s="539" t="s">
        <v>2584</v>
      </c>
      <c r="I59" s="539" t="s">
        <v>2585</v>
      </c>
      <c r="J59" s="539"/>
      <c r="K59" s="540"/>
      <c r="L59" s="541"/>
      <c r="M59" s="542"/>
      <c r="N59" s="1147"/>
      <c r="O59" s="1147"/>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c r="A62" s="534"/>
      <c r="B62" s="548"/>
      <c r="C62" s="549"/>
      <c r="D62" s="549"/>
      <c r="E62" s="549"/>
      <c r="F62" s="549"/>
      <c r="G62" s="549"/>
      <c r="H62" s="549"/>
      <c r="I62" s="549"/>
      <c r="J62" s="549"/>
      <c r="K62" s="550"/>
      <c r="L62" s="551"/>
      <c r="M62" s="552"/>
      <c r="N62" s="1147"/>
      <c r="O62" s="1147"/>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4.4" thickTop="1">
      <c r="A64" s="553"/>
      <c r="B64" s="538">
        <f>B12</f>
        <v>111</v>
      </c>
      <c r="C64" s="554"/>
      <c r="D64" s="554"/>
      <c r="E64" s="554"/>
      <c r="F64" s="554"/>
      <c r="G64" s="554"/>
      <c r="H64" s="555"/>
      <c r="I64" s="555"/>
      <c r="J64" s="555"/>
      <c r="K64" s="555"/>
      <c r="L64" s="556"/>
      <c r="M64" s="557"/>
      <c r="N64" s="1149"/>
      <c r="O64" s="1149"/>
      <c r="P64" s="558"/>
      <c r="Q64" s="559"/>
    </row>
    <row r="65" spans="1:17" s="471" customFormat="1" ht="14.4" thickBot="1">
      <c r="A65" s="553"/>
      <c r="B65" s="543"/>
      <c r="C65" s="560"/>
      <c r="D65" s="536"/>
      <c r="E65" s="536"/>
      <c r="F65" s="536"/>
      <c r="G65" s="536"/>
      <c r="H65" s="536"/>
      <c r="I65" s="536"/>
      <c r="J65" s="536"/>
      <c r="K65" s="536"/>
      <c r="L65" s="536"/>
      <c r="M65" s="537"/>
      <c r="N65" s="1148"/>
      <c r="O65" s="1148"/>
      <c r="P65" s="558"/>
      <c r="Q65" s="559"/>
    </row>
    <row r="66" spans="1:17" s="471" customFormat="1" ht="14.4" thickTop="1">
      <c r="A66" s="553"/>
      <c r="B66" s="538">
        <f>B13</f>
        <v>111</v>
      </c>
      <c r="C66" s="554"/>
      <c r="D66" s="554"/>
      <c r="E66" s="554"/>
      <c r="F66" s="554"/>
      <c r="G66" s="554"/>
      <c r="H66" s="555"/>
      <c r="I66" s="555"/>
      <c r="J66" s="555"/>
      <c r="K66" s="555"/>
      <c r="L66" s="556"/>
      <c r="M66" s="557"/>
      <c r="N66" s="1149"/>
      <c r="O66" s="1149"/>
      <c r="P66" s="470"/>
      <c r="Q66" s="561"/>
    </row>
    <row r="67" spans="1:17" s="471" customFormat="1" ht="14.4" thickBot="1">
      <c r="A67" s="553"/>
      <c r="B67" s="543"/>
      <c r="C67" s="560"/>
      <c r="D67" s="536"/>
      <c r="E67" s="536"/>
      <c r="F67" s="536"/>
      <c r="G67" s="560"/>
      <c r="H67" s="562"/>
      <c r="I67" s="562"/>
      <c r="J67" s="562"/>
      <c r="K67" s="562"/>
      <c r="L67" s="562"/>
      <c r="M67" s="563"/>
      <c r="N67" s="1149"/>
      <c r="O67" s="1149"/>
      <c r="P67" s="558"/>
      <c r="Q67" s="559"/>
    </row>
    <row r="68" spans="1:17" s="471" customFormat="1" ht="14.4" thickTop="1">
      <c r="A68" s="553"/>
      <c r="B68" s="546">
        <f>B14</f>
        <v>111</v>
      </c>
      <c r="C68" s="523"/>
      <c r="D68" s="523"/>
      <c r="E68" s="523"/>
      <c r="F68" s="523"/>
      <c r="G68" s="523"/>
      <c r="H68" s="564"/>
      <c r="I68" s="564"/>
      <c r="J68" s="564"/>
      <c r="K68" s="564"/>
      <c r="L68" s="565"/>
      <c r="M68" s="566"/>
      <c r="N68" s="1149"/>
      <c r="O68" s="1149"/>
      <c r="P68" s="567"/>
      <c r="Q68" s="559"/>
    </row>
    <row r="69" spans="1:17" s="471" customFormat="1" ht="14.4" thickBot="1">
      <c r="A69" s="568"/>
      <c r="B69" s="569"/>
      <c r="C69" s="570"/>
      <c r="D69" s="570"/>
      <c r="E69" s="570"/>
      <c r="F69" s="570"/>
      <c r="G69" s="570"/>
      <c r="H69" s="571"/>
      <c r="I69" s="571"/>
      <c r="J69" s="571"/>
      <c r="K69" s="571"/>
      <c r="L69" s="571"/>
      <c r="M69" s="572"/>
      <c r="N69" s="1149"/>
      <c r="O69" s="1149"/>
      <c r="P69" s="558"/>
      <c r="Q69" s="559"/>
    </row>
    <row r="70" spans="1:17" ht="14.4">
      <c r="A70" s="527" t="s">
        <v>2549</v>
      </c>
      <c r="B70" s="528" t="s">
        <v>2695</v>
      </c>
      <c r="C70" s="573" t="s">
        <v>2587</v>
      </c>
      <c r="D70" s="573" t="s">
        <v>2588</v>
      </c>
      <c r="E70" s="573" t="s">
        <v>2589</v>
      </c>
      <c r="F70" s="573" t="s">
        <v>2590</v>
      </c>
      <c r="G70" s="573" t="s">
        <v>2591</v>
      </c>
      <c r="H70" s="529"/>
      <c r="I70" s="529"/>
      <c r="J70" s="529"/>
      <c r="K70" s="574"/>
      <c r="L70" s="575"/>
      <c r="M70" s="576"/>
      <c r="N70" s="1147"/>
      <c r="O70" s="1147"/>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 thickTop="1">
      <c r="A72" s="534"/>
      <c r="B72" s="538" t="s">
        <v>2592</v>
      </c>
      <c r="C72" s="578" t="s">
        <v>2587</v>
      </c>
      <c r="D72" s="578" t="s">
        <v>2588</v>
      </c>
      <c r="E72" s="578" t="s">
        <v>2589</v>
      </c>
      <c r="F72" s="578" t="s">
        <v>2590</v>
      </c>
      <c r="G72" s="578" t="s">
        <v>2591</v>
      </c>
      <c r="H72" s="539"/>
      <c r="I72" s="539"/>
      <c r="J72" s="539"/>
      <c r="K72" s="540"/>
      <c r="L72" s="541"/>
      <c r="M72" s="542"/>
      <c r="N72" s="1147"/>
      <c r="O72" s="1147"/>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 thickTop="1">
      <c r="A74" s="534"/>
      <c r="B74" s="538" t="s">
        <v>2593</v>
      </c>
      <c r="C74" s="578" t="s">
        <v>2587</v>
      </c>
      <c r="D74" s="578" t="s">
        <v>2588</v>
      </c>
      <c r="E74" s="578" t="s">
        <v>2589</v>
      </c>
      <c r="F74" s="578" t="s">
        <v>2590</v>
      </c>
      <c r="G74" s="578" t="s">
        <v>2591</v>
      </c>
      <c r="H74" s="539"/>
      <c r="I74" s="539"/>
      <c r="J74" s="539"/>
      <c r="K74" s="540"/>
      <c r="L74" s="541"/>
      <c r="M74" s="542"/>
      <c r="N74" s="1147"/>
      <c r="O74" s="1147"/>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 thickTop="1">
      <c r="A76" s="534"/>
      <c r="B76" s="546" t="s">
        <v>2679</v>
      </c>
      <c r="C76" s="660" t="s">
        <v>2665</v>
      </c>
      <c r="D76" s="660" t="s">
        <v>2666</v>
      </c>
      <c r="E76" s="660" t="s">
        <v>2667</v>
      </c>
      <c r="F76" s="660" t="s">
        <v>2668</v>
      </c>
      <c r="G76" s="660" t="s">
        <v>2669</v>
      </c>
      <c r="H76" s="539"/>
      <c r="I76" s="539"/>
      <c r="J76" s="539"/>
      <c r="K76" s="539"/>
      <c r="L76" s="539"/>
      <c r="M76" s="1377"/>
      <c r="N76" s="1148"/>
      <c r="O76" s="1148"/>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 thickTop="1">
      <c r="A78" s="534"/>
      <c r="B78" s="538" t="s">
        <v>2688</v>
      </c>
      <c r="C78" s="578" t="s">
        <v>2587</v>
      </c>
      <c r="D78" s="578" t="s">
        <v>2588</v>
      </c>
      <c r="E78" s="578" t="s">
        <v>2589</v>
      </c>
      <c r="F78" s="578" t="s">
        <v>2590</v>
      </c>
      <c r="G78" s="578" t="s">
        <v>2591</v>
      </c>
      <c r="H78" s="539"/>
      <c r="I78" s="539"/>
      <c r="J78" s="539"/>
      <c r="K78" s="540"/>
      <c r="L78" s="541"/>
      <c r="M78" s="542"/>
      <c r="N78" s="1147"/>
      <c r="O78" s="1147"/>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4.4" thickTop="1">
      <c r="A80" s="579"/>
      <c r="B80" s="538">
        <f>B25</f>
        <v>111</v>
      </c>
      <c r="C80" s="554"/>
      <c r="D80" s="554"/>
      <c r="E80" s="554"/>
      <c r="F80" s="554"/>
      <c r="G80" s="554"/>
      <c r="H80" s="554"/>
      <c r="I80" s="554"/>
      <c r="J80" s="554"/>
      <c r="K80" s="554"/>
      <c r="L80" s="580"/>
      <c r="M80" s="581"/>
      <c r="N80" s="1146"/>
      <c r="O80" s="1146"/>
      <c r="P80" s="45"/>
      <c r="Q80" s="504"/>
    </row>
    <row r="81" spans="1:17" s="117" customFormat="1" ht="14.4" thickBot="1">
      <c r="A81" s="579"/>
      <c r="B81" s="543"/>
      <c r="C81" s="560"/>
      <c r="D81" s="536"/>
      <c r="E81" s="536"/>
      <c r="F81" s="536"/>
      <c r="G81" s="536"/>
      <c r="H81" s="536"/>
      <c r="I81" s="536"/>
      <c r="J81" s="536"/>
      <c r="K81" s="536"/>
      <c r="L81" s="536"/>
      <c r="M81" s="537"/>
      <c r="N81" s="1148"/>
      <c r="O81" s="1148"/>
      <c r="P81" s="45"/>
      <c r="Q81" s="504"/>
    </row>
    <row r="82" spans="1:17" s="117" customFormat="1" ht="14.4" thickTop="1">
      <c r="A82" s="579"/>
      <c r="B82" s="538">
        <f>B26</f>
        <v>111</v>
      </c>
      <c r="C82" s="554"/>
      <c r="D82" s="554"/>
      <c r="E82" s="554"/>
      <c r="F82" s="554"/>
      <c r="G82" s="554"/>
      <c r="H82" s="554"/>
      <c r="I82" s="554"/>
      <c r="J82" s="554"/>
      <c r="K82" s="554"/>
      <c r="L82" s="580"/>
      <c r="M82" s="581"/>
      <c r="N82" s="1146"/>
      <c r="O82" s="1146"/>
      <c r="P82" s="45"/>
      <c r="Q82" s="504"/>
    </row>
    <row r="83" spans="1:17" s="117" customFormat="1" ht="14.4" thickBot="1">
      <c r="A83" s="579"/>
      <c r="B83" s="543"/>
      <c r="C83" s="560"/>
      <c r="D83" s="536"/>
      <c r="E83" s="536"/>
      <c r="F83" s="536"/>
      <c r="G83" s="536"/>
      <c r="H83" s="536"/>
      <c r="I83" s="536"/>
      <c r="J83" s="536"/>
      <c r="K83" s="536"/>
      <c r="L83" s="536"/>
      <c r="M83" s="537"/>
      <c r="N83" s="1148"/>
      <c r="O83" s="1148"/>
      <c r="P83" s="45"/>
      <c r="Q83" s="504"/>
    </row>
    <row r="84" spans="1:17" s="471" customFormat="1" ht="14.4" thickTop="1">
      <c r="A84" s="553"/>
      <c r="B84" s="538">
        <f>B27</f>
        <v>111</v>
      </c>
      <c r="C84" s="554"/>
      <c r="D84" s="554"/>
      <c r="E84" s="554"/>
      <c r="F84" s="554"/>
      <c r="G84" s="554"/>
      <c r="H84" s="554"/>
      <c r="I84" s="554"/>
      <c r="J84" s="554"/>
      <c r="K84" s="554"/>
      <c r="L84" s="580"/>
      <c r="M84" s="581"/>
      <c r="N84" s="1149"/>
      <c r="O84" s="1149"/>
      <c r="P84" s="558"/>
      <c r="Q84" s="559"/>
    </row>
    <row r="85" spans="1:17" s="471" customFormat="1" ht="14.4" thickBot="1">
      <c r="A85" s="553"/>
      <c r="B85" s="543"/>
      <c r="C85" s="560"/>
      <c r="D85" s="536"/>
      <c r="E85" s="536"/>
      <c r="F85" s="536"/>
      <c r="G85" s="536"/>
      <c r="H85" s="536"/>
      <c r="I85" s="536"/>
      <c r="J85" s="536"/>
      <c r="K85" s="536"/>
      <c r="L85" s="536"/>
      <c r="M85" s="537"/>
      <c r="N85" s="1149"/>
      <c r="O85" s="1149"/>
      <c r="P85" s="558"/>
      <c r="Q85" s="559"/>
    </row>
    <row r="86" spans="1:17" ht="14.4" thickTop="1">
      <c r="A86" s="534"/>
      <c r="B86" s="546">
        <f>B28</f>
        <v>111</v>
      </c>
      <c r="C86" s="523"/>
      <c r="D86" s="523"/>
      <c r="E86" s="523"/>
      <c r="F86" s="523"/>
      <c r="G86" s="587"/>
      <c r="H86" s="587"/>
      <c r="I86" s="587"/>
      <c r="J86" s="587"/>
      <c r="K86" s="588"/>
      <c r="L86" s="589"/>
      <c r="M86" s="590"/>
      <c r="N86" s="1147"/>
      <c r="O86" s="1147"/>
      <c r="P86" s="45"/>
      <c r="Q86" s="504"/>
    </row>
    <row r="87" spans="1:17" ht="14.4" thickBot="1">
      <c r="A87" s="2624"/>
      <c r="B87" s="569"/>
      <c r="C87" s="570"/>
      <c r="D87" s="570"/>
      <c r="E87" s="570"/>
      <c r="F87" s="570"/>
      <c r="G87" s="591"/>
      <c r="H87" s="591"/>
      <c r="I87" s="591"/>
      <c r="J87" s="591"/>
      <c r="K87" s="591"/>
      <c r="L87" s="591"/>
      <c r="M87" s="592"/>
      <c r="N87" s="1148"/>
      <c r="O87" s="1148"/>
      <c r="P87" s="45"/>
      <c r="Q87" s="504"/>
    </row>
    <row r="88" spans="1:17" ht="14.4">
      <c r="A88" s="527" t="s">
        <v>2553</v>
      </c>
      <c r="B88" s="528" t="s">
        <v>2602</v>
      </c>
      <c r="C88" s="530"/>
      <c r="D88" s="530"/>
      <c r="E88" s="530"/>
      <c r="F88" s="530"/>
      <c r="G88" s="530"/>
      <c r="H88" s="530"/>
      <c r="I88" s="530"/>
      <c r="J88" s="530"/>
      <c r="K88" s="531"/>
      <c r="L88" s="532"/>
      <c r="M88" s="533"/>
      <c r="N88" s="1147"/>
      <c r="O88" s="1147"/>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4.4"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2604</v>
      </c>
      <c r="C93" s="554"/>
      <c r="D93" s="554"/>
      <c r="E93" s="583"/>
      <c r="F93" s="583"/>
      <c r="G93" s="583"/>
      <c r="H93" s="583"/>
      <c r="I93" s="583"/>
      <c r="J93" s="583"/>
      <c r="K93" s="584"/>
      <c r="L93" s="585"/>
      <c r="M93" s="586"/>
      <c r="N93" s="1147"/>
      <c r="O93" s="1147"/>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2606</v>
      </c>
      <c r="C95" s="554"/>
      <c r="D95" s="554"/>
      <c r="E95" s="554"/>
      <c r="F95" s="583"/>
      <c r="G95" s="583"/>
      <c r="H95" s="583"/>
      <c r="I95" s="583"/>
      <c r="J95" s="583"/>
      <c r="K95" s="584"/>
      <c r="L95" s="585"/>
      <c r="M95" s="586"/>
      <c r="N95" s="1147"/>
      <c r="O95" s="1147"/>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2607</v>
      </c>
      <c r="C100" s="554"/>
      <c r="D100" s="554"/>
      <c r="E100" s="554"/>
      <c r="F100" s="554"/>
      <c r="G100" s="554"/>
      <c r="H100" s="583"/>
      <c r="I100" s="583"/>
      <c r="J100" s="583"/>
      <c r="K100" s="584"/>
      <c r="L100" s="585"/>
      <c r="M100" s="586"/>
      <c r="N100" s="1149"/>
      <c r="O100" s="1149"/>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2608</v>
      </c>
      <c r="C102" s="554"/>
      <c r="D102" s="554"/>
      <c r="E102" s="554"/>
      <c r="F102" s="554"/>
      <c r="G102" s="554"/>
      <c r="H102" s="583"/>
      <c r="I102" s="583"/>
      <c r="J102" s="583"/>
      <c r="K102" s="584"/>
      <c r="L102" s="585"/>
      <c r="M102" s="586"/>
      <c r="N102" s="1147"/>
      <c r="O102" s="1147"/>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2610</v>
      </c>
      <c r="C104" s="554"/>
      <c r="D104" s="554"/>
      <c r="E104" s="554"/>
      <c r="F104" s="554"/>
      <c r="G104" s="554"/>
      <c r="H104" s="583"/>
      <c r="I104" s="583"/>
      <c r="J104" s="583"/>
      <c r="K104" s="584"/>
      <c r="L104" s="585"/>
      <c r="M104" s="586"/>
      <c r="N104" s="1147"/>
      <c r="O104" s="1147"/>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29.4" thickTop="1">
      <c r="A106" s="599"/>
      <c r="B106" s="636" t="s">
        <v>2696</v>
      </c>
      <c r="C106" s="578" t="s">
        <v>2587</v>
      </c>
      <c r="D106" s="578" t="s">
        <v>2588</v>
      </c>
      <c r="E106" s="578" t="s">
        <v>2589</v>
      </c>
      <c r="F106" s="578" t="s">
        <v>2590</v>
      </c>
      <c r="G106" s="578" t="s">
        <v>2591</v>
      </c>
      <c r="H106" s="539"/>
      <c r="I106" s="539"/>
      <c r="J106" s="539"/>
      <c r="K106" s="540"/>
      <c r="L106" s="541"/>
      <c r="M106" s="542"/>
      <c r="N106" s="1148"/>
      <c r="O106" s="1148"/>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4.4"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4.4" thickBot="1">
      <c r="A109" s="553"/>
      <c r="B109" s="535"/>
      <c r="C109" s="560"/>
      <c r="D109" s="536"/>
      <c r="E109" s="536"/>
      <c r="F109" s="536"/>
      <c r="G109" s="560"/>
      <c r="H109" s="562"/>
      <c r="I109" s="562"/>
      <c r="J109" s="562"/>
      <c r="K109" s="562"/>
      <c r="L109" s="562"/>
      <c r="M109" s="563"/>
      <c r="N109" s="1149"/>
      <c r="O109" s="1149"/>
      <c r="P109" s="558"/>
      <c r="Q109" s="559"/>
    </row>
    <row r="110" spans="1:17" ht="14.4" thickTop="1">
      <c r="A110" s="599"/>
      <c r="B110" s="538">
        <f>B39</f>
        <v>111</v>
      </c>
      <c r="C110" s="554"/>
      <c r="D110" s="554"/>
      <c r="E110" s="554"/>
      <c r="F110" s="554"/>
      <c r="G110" s="554"/>
      <c r="H110" s="555"/>
      <c r="I110" s="555"/>
      <c r="J110" s="555"/>
      <c r="K110" s="555"/>
      <c r="L110" s="556"/>
      <c r="M110" s="557"/>
      <c r="N110" s="1147"/>
      <c r="O110" s="1147"/>
      <c r="P110" s="45"/>
      <c r="Q110" s="504"/>
    </row>
    <row r="111" spans="1:17" ht="14.4" thickBot="1">
      <c r="A111" s="534"/>
      <c r="B111" s="543"/>
      <c r="C111" s="560"/>
      <c r="D111" s="536"/>
      <c r="E111" s="536"/>
      <c r="F111" s="536"/>
      <c r="G111" s="560"/>
      <c r="H111" s="562"/>
      <c r="I111" s="562"/>
      <c r="J111" s="562"/>
      <c r="K111" s="562"/>
      <c r="L111" s="562"/>
      <c r="M111" s="563"/>
      <c r="N111" s="1148"/>
      <c r="O111" s="1148"/>
      <c r="P111" s="45"/>
      <c r="Q111" s="504"/>
    </row>
    <row r="112" spans="1:17" ht="14.4" thickTop="1">
      <c r="A112" s="599"/>
      <c r="B112" s="546">
        <f>B40</f>
        <v>111</v>
      </c>
      <c r="C112" s="523"/>
      <c r="D112" s="523"/>
      <c r="E112" s="523"/>
      <c r="F112" s="523"/>
      <c r="G112" s="587"/>
      <c r="H112" s="587"/>
      <c r="I112" s="587"/>
      <c r="J112" s="587"/>
      <c r="K112" s="523"/>
      <c r="L112" s="524"/>
      <c r="M112" s="590"/>
      <c r="N112" s="1147"/>
      <c r="O112" s="1147"/>
      <c r="P112" s="45"/>
      <c r="Q112" s="504"/>
    </row>
    <row r="113" spans="1:17" ht="14.4" thickBot="1">
      <c r="A113" s="2624"/>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2697</v>
      </c>
      <c r="B1" s="1613"/>
      <c r="C1" s="1614" t="s">
        <v>2520</v>
      </c>
      <c r="D1" s="1615"/>
      <c r="E1" s="1616"/>
      <c r="F1" s="2572"/>
      <c r="G1" s="1617" t="s">
        <v>2633</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2317</v>
      </c>
      <c r="B2" s="1413" t="e">
        <f ca="1">IF(C2="——",IF(B37="元/平方米",ROUND(C39*D3/10000,0),ROUND(F3*C39/10000,0)),IF(B37="元/平方米",ROUND(C39*D3/10000,0),ROUND(F3*C39/10000,0))-D2)</f>
        <v>#DIV/0!</v>
      </c>
      <c r="C2" s="2574"/>
      <c r="D2" s="1119" t="e">
        <f ca="1">SUMIF(INDIRECT("'"&amp;F2&amp;"'"&amp;"!A:A"),"承租人权益价值",INDIRECT("'"&amp;F2&amp;"'"&amp;"!c:c"))</f>
        <v>#REF!</v>
      </c>
      <c r="E2" s="2575" t="s">
        <v>2318</v>
      </c>
      <c r="F2" s="2576"/>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179" t="s">
        <v>2638</v>
      </c>
      <c r="AC4" s="3178" t="s">
        <v>2639</v>
      </c>
    </row>
    <row r="5" spans="1:29">
      <c r="A5" s="404"/>
      <c r="B5" s="405"/>
      <c r="C5" s="3189" t="s">
        <v>2532</v>
      </c>
      <c r="D5" s="3190"/>
      <c r="E5" s="3187" t="s">
        <v>2533</v>
      </c>
      <c r="F5" s="3188"/>
      <c r="G5" s="3189" t="s">
        <v>2534</v>
      </c>
      <c r="H5" s="3190"/>
      <c r="I5" s="3189" t="s">
        <v>2535</v>
      </c>
      <c r="J5" s="3190"/>
      <c r="K5" s="610"/>
      <c r="L5" s="1125"/>
      <c r="M5" s="1126"/>
      <c r="N5" s="1126"/>
      <c r="O5" s="1126"/>
      <c r="P5" s="3202"/>
      <c r="Q5" s="3203"/>
      <c r="R5" s="3185"/>
      <c r="S5" s="3186"/>
      <c r="T5" s="3185"/>
      <c r="U5" s="3186"/>
      <c r="V5" s="3208"/>
      <c r="W5" s="3208"/>
      <c r="X5" s="1799"/>
      <c r="Y5" s="3185"/>
      <c r="Z5" s="3186"/>
      <c r="AA5" s="3179"/>
      <c r="AB5" s="3179"/>
      <c r="AC5" s="3179"/>
    </row>
    <row r="6" spans="1:29" ht="15" thickBot="1">
      <c r="A6" s="406"/>
      <c r="B6" s="407"/>
      <c r="C6" s="3191" t="s">
        <v>2536</v>
      </c>
      <c r="D6" s="3192"/>
      <c r="E6" s="3193" t="s">
        <v>2536</v>
      </c>
      <c r="F6" s="3194"/>
      <c r="G6" s="3191" t="s">
        <v>2536</v>
      </c>
      <c r="H6" s="3192"/>
      <c r="I6" s="3191" t="s">
        <v>2536</v>
      </c>
      <c r="J6" s="3192"/>
      <c r="K6" s="610" t="s">
        <v>2537</v>
      </c>
      <c r="L6" s="1125"/>
      <c r="M6" s="1126"/>
      <c r="N6" s="1126"/>
      <c r="O6" s="1126"/>
      <c r="P6" s="3204"/>
      <c r="Q6" s="3205"/>
      <c r="R6" s="3185"/>
      <c r="S6" s="3186"/>
      <c r="T6" s="3206"/>
      <c r="U6" s="3207"/>
      <c r="V6" s="3208"/>
      <c r="W6" s="3208"/>
      <c r="X6" s="1799"/>
      <c r="Y6" s="3206"/>
      <c r="Z6" s="3207"/>
      <c r="AA6" s="3180"/>
      <c r="AB6" s="3180"/>
      <c r="AC6" s="3180"/>
    </row>
    <row r="7" spans="1:29" s="117" customFormat="1" ht="15" thickBot="1">
      <c r="A7" s="408" t="s">
        <v>2538</v>
      </c>
      <c r="B7" s="409"/>
      <c r="C7" s="410">
        <f>'数据-取费表'!B2</f>
        <v>44020</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81" t="s">
        <v>2539</v>
      </c>
      <c r="Q7" s="3209"/>
      <c r="R7" s="770" t="s">
        <v>17</v>
      </c>
      <c r="S7" s="771">
        <f t="shared" ref="S7:S14" si="0">F7</f>
        <v>0</v>
      </c>
      <c r="T7" s="770" t="s">
        <v>17</v>
      </c>
      <c r="U7" s="771">
        <f t="shared" ref="U7:U14" si="1">H7</f>
        <v>0</v>
      </c>
      <c r="V7" s="770" t="s">
        <v>17</v>
      </c>
      <c r="W7" s="771">
        <f t="shared" ref="W7:W14" si="2">J7</f>
        <v>0</v>
      </c>
      <c r="X7" s="772"/>
      <c r="Y7" s="3181" t="s">
        <v>2539</v>
      </c>
      <c r="Z7" s="3182"/>
      <c r="AA7" s="773" t="e">
        <f>D7/F7</f>
        <v>#DIV/0!</v>
      </c>
      <c r="AB7" s="773" t="e">
        <f>D7/H7</f>
        <v>#DIV/0!</v>
      </c>
      <c r="AC7" s="773" t="e">
        <f>D7/J7</f>
        <v>#DIV/0!</v>
      </c>
    </row>
    <row r="8" spans="1:29" s="117" customFormat="1" ht="1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81" t="s">
        <v>2542</v>
      </c>
      <c r="Q8" s="3182"/>
      <c r="R8" s="770" t="s">
        <v>17</v>
      </c>
      <c r="S8" s="771">
        <f t="shared" si="0"/>
        <v>0</v>
      </c>
      <c r="T8" s="770" t="s">
        <v>17</v>
      </c>
      <c r="U8" s="771">
        <f t="shared" si="1"/>
        <v>0</v>
      </c>
      <c r="V8" s="770" t="s">
        <v>17</v>
      </c>
      <c r="W8" s="771">
        <f t="shared" si="2"/>
        <v>0</v>
      </c>
      <c r="X8" s="772"/>
      <c r="Y8" s="3181" t="s">
        <v>2542</v>
      </c>
      <c r="Z8" s="3182"/>
      <c r="AA8" s="773" t="e">
        <f t="shared" ref="AA8:AA36" si="3">D8/F8</f>
        <v>#DIV/0!</v>
      </c>
      <c r="AB8" s="773" t="e">
        <f t="shared" ref="AB8:AB36" si="4">D8/H8</f>
        <v>#DIV/0!</v>
      </c>
      <c r="AC8" s="773" t="e">
        <f t="shared" ref="AC8:AC36" si="5">D8/J8</f>
        <v>#DIV/0!</v>
      </c>
    </row>
    <row r="9" spans="1:29" s="117" customFormat="1" ht="14.4">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95" t="s">
        <v>2545</v>
      </c>
      <c r="Q9" s="1781" t="str">
        <f t="shared" ref="Q9:Q14" si="6">B9</f>
        <v>用途</v>
      </c>
      <c r="R9" s="770" t="s">
        <v>17</v>
      </c>
      <c r="S9" s="771">
        <f t="shared" si="0"/>
        <v>100</v>
      </c>
      <c r="T9" s="770" t="s">
        <v>17</v>
      </c>
      <c r="U9" s="771">
        <f t="shared" si="1"/>
        <v>100</v>
      </c>
      <c r="V9" s="770" t="s">
        <v>17</v>
      </c>
      <c r="W9" s="771">
        <f t="shared" si="2"/>
        <v>100</v>
      </c>
      <c r="X9" s="772"/>
      <c r="Y9" s="3053" t="s">
        <v>2546</v>
      </c>
      <c r="Z9" s="55" t="str">
        <f t="shared" ref="Z9:Z14" si="7">Q9</f>
        <v>用途</v>
      </c>
      <c r="AA9" s="773">
        <f t="shared" si="3"/>
        <v>1</v>
      </c>
      <c r="AB9" s="773">
        <f t="shared" si="4"/>
        <v>1</v>
      </c>
      <c r="AC9" s="773">
        <f t="shared" si="5"/>
        <v>1</v>
      </c>
    </row>
    <row r="10" spans="1:29" s="427" customFormat="1" ht="28.8">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95"/>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95"/>
      <c r="Q11" s="1781">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95"/>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95"/>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01" t="s">
        <v>2549</v>
      </c>
      <c r="B14" s="629" t="s">
        <v>2699</v>
      </c>
      <c r="C14" s="268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10" t="s">
        <v>2550</v>
      </c>
      <c r="Q14" s="1796" t="str">
        <f t="shared" si="6"/>
        <v>交通便捷度</v>
      </c>
      <c r="R14" s="774" t="s">
        <v>17</v>
      </c>
      <c r="S14" s="775">
        <f t="shared" si="0"/>
        <v>100</v>
      </c>
      <c r="T14" s="774" t="s">
        <v>17</v>
      </c>
      <c r="U14" s="775">
        <f t="shared" si="1"/>
        <v>100</v>
      </c>
      <c r="V14" s="774" t="s">
        <v>17</v>
      </c>
      <c r="W14" s="775">
        <f t="shared" si="2"/>
        <v>100</v>
      </c>
      <c r="X14" s="1799"/>
      <c r="Y14" s="3210" t="s">
        <v>2550</v>
      </c>
      <c r="Z14" s="1800" t="str">
        <f t="shared" si="7"/>
        <v>交通便捷度</v>
      </c>
      <c r="AA14" s="1797">
        <f t="shared" si="3"/>
        <v>1</v>
      </c>
      <c r="AB14" s="1797">
        <f t="shared" si="4"/>
        <v>1</v>
      </c>
      <c r="AC14" s="1797">
        <f t="shared" si="5"/>
        <v>1</v>
      </c>
    </row>
    <row r="15" spans="1:29" ht="15">
      <c r="A15" s="404"/>
      <c r="B15" s="647"/>
      <c r="C15" s="447"/>
      <c r="D15" s="448"/>
      <c r="E15" s="447"/>
      <c r="F15" s="449"/>
      <c r="G15" s="447"/>
      <c r="H15" s="450"/>
      <c r="I15" s="447"/>
      <c r="J15" s="448"/>
      <c r="K15" s="615"/>
      <c r="L15" s="1135"/>
      <c r="M15" s="1126"/>
      <c r="N15" s="1126"/>
      <c r="O15" s="1126"/>
      <c r="P15" s="3211"/>
      <c r="Q15" s="1796"/>
      <c r="R15" s="774"/>
      <c r="S15" s="775"/>
      <c r="T15" s="774"/>
      <c r="U15" s="775"/>
      <c r="V15" s="774"/>
      <c r="W15" s="775"/>
      <c r="X15" s="1799"/>
      <c r="Y15" s="3211"/>
      <c r="Z15" s="1800"/>
      <c r="AA15" s="1797">
        <v>1</v>
      </c>
      <c r="AB15" s="1797">
        <v>1</v>
      </c>
      <c r="AC15" s="1797">
        <v>1</v>
      </c>
    </row>
    <row r="16" spans="1:29" ht="15">
      <c r="A16" s="404"/>
      <c r="B16" s="631" t="s">
        <v>2678</v>
      </c>
      <c r="C16" s="259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11"/>
      <c r="Q16" s="1796" t="str">
        <f>B16</f>
        <v>公共配套设施</v>
      </c>
      <c r="R16" s="774" t="s">
        <v>17</v>
      </c>
      <c r="S16" s="775">
        <f>F16</f>
        <v>100</v>
      </c>
      <c r="T16" s="774" t="s">
        <v>17</v>
      </c>
      <c r="U16" s="775">
        <f>H16</f>
        <v>100</v>
      </c>
      <c r="V16" s="774" t="s">
        <v>17</v>
      </c>
      <c r="W16" s="775">
        <f>J16</f>
        <v>100</v>
      </c>
      <c r="X16" s="1799"/>
      <c r="Y16" s="3211"/>
      <c r="Z16" s="1800" t="str">
        <f>Q16</f>
        <v>公共配套设施</v>
      </c>
      <c r="AA16" s="1797">
        <f t="shared" si="3"/>
        <v>1</v>
      </c>
      <c r="AB16" s="1797">
        <f t="shared" si="4"/>
        <v>1</v>
      </c>
      <c r="AC16" s="1797">
        <f t="shared" si="5"/>
        <v>1</v>
      </c>
    </row>
    <row r="17" spans="1:29" ht="15">
      <c r="A17" s="404"/>
      <c r="B17" s="632"/>
      <c r="C17" s="2596"/>
      <c r="D17" s="448"/>
      <c r="E17" s="447"/>
      <c r="F17" s="449"/>
      <c r="G17" s="447"/>
      <c r="H17" s="448"/>
      <c r="I17" s="447"/>
      <c r="J17" s="448"/>
      <c r="K17" s="615"/>
      <c r="L17" s="1135"/>
      <c r="M17" s="1126"/>
      <c r="N17" s="1126"/>
      <c r="O17" s="1126"/>
      <c r="P17" s="3211"/>
      <c r="Q17" s="1796"/>
      <c r="R17" s="774"/>
      <c r="S17" s="775"/>
      <c r="T17" s="774"/>
      <c r="U17" s="775"/>
      <c r="V17" s="774"/>
      <c r="W17" s="775"/>
      <c r="X17" s="1799"/>
      <c r="Y17" s="3211"/>
      <c r="Z17" s="1800"/>
      <c r="AA17" s="1797">
        <v>1</v>
      </c>
      <c r="AB17" s="1797">
        <v>1</v>
      </c>
      <c r="AC17" s="1797">
        <v>1</v>
      </c>
    </row>
    <row r="18" spans="1:29" ht="15">
      <c r="A18" s="404"/>
      <c r="B18" s="633" t="s">
        <v>2679</v>
      </c>
      <c r="C18" s="259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11"/>
      <c r="Q18" s="1796" t="str">
        <f>B18</f>
        <v>基础设施水平</v>
      </c>
      <c r="R18" s="774" t="s">
        <v>17</v>
      </c>
      <c r="S18" s="775">
        <f>F18</f>
        <v>100</v>
      </c>
      <c r="T18" s="774" t="s">
        <v>17</v>
      </c>
      <c r="U18" s="775">
        <f>H18</f>
        <v>100</v>
      </c>
      <c r="V18" s="774" t="s">
        <v>17</v>
      </c>
      <c r="W18" s="775">
        <f>J18</f>
        <v>100</v>
      </c>
      <c r="X18" s="1799"/>
      <c r="Y18" s="3211"/>
      <c r="Z18" s="1800" t="str">
        <f>Q18</f>
        <v>基础设施水平</v>
      </c>
      <c r="AA18" s="1797">
        <f t="shared" ref="AA18" si="8">D18/F18</f>
        <v>1</v>
      </c>
      <c r="AB18" s="1797">
        <f t="shared" ref="AB18" si="9">D18/H18</f>
        <v>1</v>
      </c>
      <c r="AC18" s="1797">
        <f t="shared" ref="AC18" si="10">D18/J18</f>
        <v>1</v>
      </c>
    </row>
    <row r="19" spans="1:29" ht="15">
      <c r="A19" s="404"/>
      <c r="B19" s="633"/>
      <c r="C19" s="2596"/>
      <c r="D19" s="450"/>
      <c r="E19" s="2596"/>
      <c r="F19" s="453"/>
      <c r="G19" s="2596"/>
      <c r="H19" s="448"/>
      <c r="I19" s="447"/>
      <c r="J19" s="448"/>
      <c r="K19" s="1378"/>
      <c r="L19" s="1135"/>
      <c r="M19" s="1126"/>
      <c r="N19" s="1126"/>
      <c r="O19" s="1126"/>
      <c r="P19" s="3211"/>
      <c r="Q19" s="1796"/>
      <c r="R19" s="774"/>
      <c r="S19" s="775"/>
      <c r="T19" s="774"/>
      <c r="U19" s="775"/>
      <c r="V19" s="774"/>
      <c r="W19" s="775"/>
      <c r="X19" s="1799"/>
      <c r="Y19" s="3211"/>
      <c r="Z19" s="1800"/>
      <c r="AA19" s="1797">
        <v>1</v>
      </c>
      <c r="AB19" s="1797">
        <v>1</v>
      </c>
      <c r="AC19" s="1797">
        <v>1</v>
      </c>
    </row>
    <row r="20" spans="1:29" ht="15">
      <c r="A20" s="404"/>
      <c r="B20" s="631" t="s">
        <v>2700</v>
      </c>
      <c r="C20" s="259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11"/>
      <c r="Q20" s="1796" t="str">
        <f>B20</f>
        <v>自然及人文环境</v>
      </c>
      <c r="R20" s="774" t="s">
        <v>17</v>
      </c>
      <c r="S20" s="775">
        <f>F20</f>
        <v>100</v>
      </c>
      <c r="T20" s="774" t="s">
        <v>17</v>
      </c>
      <c r="U20" s="775">
        <f>H20</f>
        <v>100</v>
      </c>
      <c r="V20" s="774" t="s">
        <v>17</v>
      </c>
      <c r="W20" s="775">
        <f>J20</f>
        <v>100</v>
      </c>
      <c r="X20" s="1799"/>
      <c r="Y20" s="3211"/>
      <c r="Z20" s="1800" t="str">
        <f>Q20</f>
        <v>自然及人文环境</v>
      </c>
      <c r="AA20" s="1797">
        <f t="shared" si="3"/>
        <v>1</v>
      </c>
      <c r="AB20" s="1797">
        <f t="shared" si="4"/>
        <v>1</v>
      </c>
      <c r="AC20" s="1797">
        <f t="shared" si="5"/>
        <v>1</v>
      </c>
    </row>
    <row r="21" spans="1:29" ht="15">
      <c r="A21" s="404"/>
      <c r="B21" s="632"/>
      <c r="C21" s="447"/>
      <c r="D21" s="448"/>
      <c r="E21" s="447"/>
      <c r="F21" s="449"/>
      <c r="G21" s="447"/>
      <c r="H21" s="448"/>
      <c r="I21" s="447"/>
      <c r="J21" s="448"/>
      <c r="K21" s="615"/>
      <c r="L21" s="1135"/>
      <c r="M21" s="1126"/>
      <c r="N21" s="1126"/>
      <c r="O21" s="1126"/>
      <c r="P21" s="3211"/>
      <c r="Q21" s="1796"/>
      <c r="R21" s="774"/>
      <c r="S21" s="775"/>
      <c r="T21" s="774"/>
      <c r="U21" s="775"/>
      <c r="V21" s="774"/>
      <c r="W21" s="775"/>
      <c r="X21" s="1799"/>
      <c r="Y21" s="3211"/>
      <c r="Z21" s="1800"/>
      <c r="AA21" s="1797">
        <v>1</v>
      </c>
      <c r="AB21" s="1797">
        <v>1</v>
      </c>
      <c r="AC21" s="1797">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11"/>
      <c r="Q22" s="1796" t="str">
        <f>B22</f>
        <v>楼层</v>
      </c>
      <c r="R22" s="774" t="s">
        <v>17</v>
      </c>
      <c r="S22" s="775">
        <f>F22</f>
        <v>100</v>
      </c>
      <c r="T22" s="774" t="s">
        <v>17</v>
      </c>
      <c r="U22" s="775">
        <f>H22</f>
        <v>100</v>
      </c>
      <c r="V22" s="774" t="s">
        <v>17</v>
      </c>
      <c r="W22" s="775">
        <f>J22</f>
        <v>100</v>
      </c>
      <c r="X22" s="1799"/>
      <c r="Y22" s="3211"/>
      <c r="Z22" s="1800" t="str">
        <f>Q22</f>
        <v>楼层</v>
      </c>
      <c r="AA22" s="1797">
        <f t="shared" si="3"/>
        <v>1</v>
      </c>
      <c r="AB22" s="1797">
        <f t="shared" si="4"/>
        <v>1</v>
      </c>
      <c r="AC22" s="179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11"/>
      <c r="Q23" s="1796">
        <f>B23</f>
        <v>111</v>
      </c>
      <c r="R23" s="774" t="s">
        <v>17</v>
      </c>
      <c r="S23" s="775">
        <f>F23</f>
        <v>100</v>
      </c>
      <c r="T23" s="774" t="s">
        <v>17</v>
      </c>
      <c r="U23" s="775">
        <f>H23</f>
        <v>100</v>
      </c>
      <c r="V23" s="774" t="s">
        <v>17</v>
      </c>
      <c r="W23" s="775">
        <f>J23</f>
        <v>100</v>
      </c>
      <c r="X23" s="1799"/>
      <c r="Y23" s="3211"/>
      <c r="Z23" s="1800">
        <f>Q23</f>
        <v>111</v>
      </c>
      <c r="AA23" s="1797">
        <f t="shared" si="3"/>
        <v>1</v>
      </c>
      <c r="AB23" s="1797">
        <f t="shared" si="4"/>
        <v>1</v>
      </c>
      <c r="AC23" s="179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11"/>
      <c r="Q24" s="1796">
        <f t="shared" ref="Q24:Q36" si="11">B24</f>
        <v>111</v>
      </c>
      <c r="R24" s="774" t="s">
        <v>17</v>
      </c>
      <c r="S24" s="775">
        <f>F24</f>
        <v>100</v>
      </c>
      <c r="T24" s="774" t="s">
        <v>17</v>
      </c>
      <c r="U24" s="775">
        <f>H24</f>
        <v>100</v>
      </c>
      <c r="V24" s="774" t="s">
        <v>17</v>
      </c>
      <c r="W24" s="775">
        <f>J24</f>
        <v>100</v>
      </c>
      <c r="X24" s="1799"/>
      <c r="Y24" s="3211"/>
      <c r="Z24" s="1800">
        <f>Q24</f>
        <v>111</v>
      </c>
      <c r="AA24" s="1797">
        <f t="shared" si="3"/>
        <v>1</v>
      </c>
      <c r="AB24" s="1797">
        <f t="shared" si="4"/>
        <v>1</v>
      </c>
      <c r="AC24" s="179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11"/>
      <c r="Q25" s="1781">
        <f t="shared" si="11"/>
        <v>111</v>
      </c>
      <c r="R25" s="770" t="s">
        <v>17</v>
      </c>
      <c r="S25" s="771">
        <f>F25</f>
        <v>100</v>
      </c>
      <c r="T25" s="770" t="s">
        <v>17</v>
      </c>
      <c r="U25" s="771">
        <f>H25</f>
        <v>100</v>
      </c>
      <c r="V25" s="770" t="s">
        <v>17</v>
      </c>
      <c r="W25" s="771">
        <f>J25</f>
        <v>100</v>
      </c>
      <c r="X25" s="772"/>
      <c r="Y25" s="3211"/>
      <c r="Z25" s="55">
        <f>Q25</f>
        <v>111</v>
      </c>
      <c r="AA25" s="1797">
        <f>D25/F25</f>
        <v>1</v>
      </c>
      <c r="AB25" s="1797">
        <f>D25/H25</f>
        <v>1</v>
      </c>
      <c r="AC25" s="1797">
        <f>D25/J25</f>
        <v>1</v>
      </c>
    </row>
    <row r="26" spans="1:29" ht="30">
      <c r="A26" s="652" t="s">
        <v>2553</v>
      </c>
      <c r="B26" s="70" t="s">
        <v>2702</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12" t="s">
        <v>2555</v>
      </c>
      <c r="Q26" s="1796" t="str">
        <f t="shared" si="11"/>
        <v>配套类型</v>
      </c>
      <c r="R26" s="774" t="s">
        <v>17</v>
      </c>
      <c r="S26" s="775">
        <f t="shared" ref="S26:S36" si="12">F26</f>
        <v>100</v>
      </c>
      <c r="T26" s="774" t="s">
        <v>17</v>
      </c>
      <c r="U26" s="775">
        <f t="shared" ref="U26:U36" si="13">H26</f>
        <v>100</v>
      </c>
      <c r="V26" s="774" t="s">
        <v>17</v>
      </c>
      <c r="W26" s="775">
        <f t="shared" ref="W26:W36" si="14">J26</f>
        <v>100</v>
      </c>
      <c r="X26" s="1799"/>
      <c r="Y26" s="3213" t="s">
        <v>2555</v>
      </c>
      <c r="Z26" s="1800" t="str">
        <f t="shared" ref="Z26:Z36" si="15">Q26</f>
        <v>配套类型</v>
      </c>
      <c r="AA26" s="1797">
        <f t="shared" si="3"/>
        <v>1</v>
      </c>
      <c r="AB26" s="1797">
        <f t="shared" si="4"/>
        <v>1</v>
      </c>
      <c r="AC26" s="1797">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797">
        <f t="shared" si="3"/>
        <v>1</v>
      </c>
      <c r="AB27" s="1797">
        <f t="shared" si="4"/>
        <v>1</v>
      </c>
      <c r="AC27" s="1797">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13"/>
      <c r="Q28" s="1796" t="str">
        <f t="shared" si="11"/>
        <v>公共部分装修</v>
      </c>
      <c r="R28" s="774" t="s">
        <v>17</v>
      </c>
      <c r="S28" s="775">
        <f t="shared" si="12"/>
        <v>100</v>
      </c>
      <c r="T28" s="774" t="s">
        <v>17</v>
      </c>
      <c r="U28" s="775">
        <f t="shared" si="13"/>
        <v>100</v>
      </c>
      <c r="V28" s="774" t="s">
        <v>17</v>
      </c>
      <c r="W28" s="775">
        <f t="shared" si="14"/>
        <v>100</v>
      </c>
      <c r="X28" s="1799"/>
      <c r="Y28" s="3213"/>
      <c r="Z28" s="1800" t="str">
        <f t="shared" si="15"/>
        <v>公共部分装修</v>
      </c>
      <c r="AA28" s="1797">
        <f t="shared" si="3"/>
        <v>1</v>
      </c>
      <c r="AB28" s="1797">
        <f t="shared" si="4"/>
        <v>1</v>
      </c>
      <c r="AC28" s="1797">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13"/>
      <c r="Q29" s="1796" t="str">
        <f t="shared" si="11"/>
        <v>成新率</v>
      </c>
      <c r="R29" s="774" t="s">
        <v>17</v>
      </c>
      <c r="S29" s="775" t="e">
        <f t="shared" si="12"/>
        <v>#N/A</v>
      </c>
      <c r="T29" s="774" t="s">
        <v>17</v>
      </c>
      <c r="U29" s="775" t="e">
        <f t="shared" si="13"/>
        <v>#N/A</v>
      </c>
      <c r="V29" s="774" t="s">
        <v>17</v>
      </c>
      <c r="W29" s="775" t="e">
        <f t="shared" si="14"/>
        <v>#N/A</v>
      </c>
      <c r="X29" s="1799"/>
      <c r="Y29" s="3213"/>
      <c r="Z29" s="1800" t="str">
        <f t="shared" si="15"/>
        <v>成新率</v>
      </c>
      <c r="AA29" s="1797" t="e">
        <f t="shared" si="3"/>
        <v>#N/A</v>
      </c>
      <c r="AB29" s="1797" t="e">
        <f t="shared" si="4"/>
        <v>#N/A</v>
      </c>
      <c r="AC29" s="1797"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13"/>
      <c r="Q30" s="1796" t="str">
        <f t="shared" si="11"/>
        <v>物业等级</v>
      </c>
      <c r="R30" s="774" t="s">
        <v>17</v>
      </c>
      <c r="S30" s="775">
        <f t="shared" si="12"/>
        <v>100</v>
      </c>
      <c r="T30" s="774" t="s">
        <v>17</v>
      </c>
      <c r="U30" s="775">
        <f t="shared" si="13"/>
        <v>100</v>
      </c>
      <c r="V30" s="774" t="s">
        <v>17</v>
      </c>
      <c r="W30" s="775">
        <f t="shared" si="14"/>
        <v>100</v>
      </c>
      <c r="X30" s="1799"/>
      <c r="Y30" s="3213"/>
      <c r="Z30" s="1800" t="str">
        <f t="shared" si="15"/>
        <v>物业等级</v>
      </c>
      <c r="AA30" s="1797">
        <f t="shared" si="3"/>
        <v>1</v>
      </c>
      <c r="AB30" s="1797">
        <f t="shared" si="4"/>
        <v>1</v>
      </c>
      <c r="AC30" s="1797">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13"/>
      <c r="Q31" s="1781"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13" t="s">
        <v>2555</v>
      </c>
      <c r="Q32" s="1796" t="str">
        <f t="shared" si="11"/>
        <v>车位类型</v>
      </c>
      <c r="R32" s="774" t="s">
        <v>17</v>
      </c>
      <c r="S32" s="775">
        <f t="shared" si="12"/>
        <v>100</v>
      </c>
      <c r="T32" s="774" t="s">
        <v>17</v>
      </c>
      <c r="U32" s="775">
        <f t="shared" si="13"/>
        <v>100</v>
      </c>
      <c r="V32" s="774" t="s">
        <v>17</v>
      </c>
      <c r="W32" s="775">
        <f t="shared" si="14"/>
        <v>100</v>
      </c>
      <c r="X32" s="1799"/>
      <c r="Y32" s="3213" t="s">
        <v>2555</v>
      </c>
      <c r="Z32" s="1800" t="str">
        <f t="shared" si="15"/>
        <v>车位类型</v>
      </c>
      <c r="AA32" s="1797">
        <f t="shared" si="3"/>
        <v>1</v>
      </c>
      <c r="AB32" s="1797">
        <f t="shared" si="4"/>
        <v>1</v>
      </c>
      <c r="AC32" s="1797">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13"/>
      <c r="Q33" s="1796" t="str">
        <f t="shared" si="11"/>
        <v>是否直接入户</v>
      </c>
      <c r="R33" s="774" t="s">
        <v>17</v>
      </c>
      <c r="S33" s="775">
        <f t="shared" si="12"/>
        <v>100</v>
      </c>
      <c r="T33" s="774" t="s">
        <v>17</v>
      </c>
      <c r="U33" s="775">
        <f t="shared" si="13"/>
        <v>100</v>
      </c>
      <c r="V33" s="774" t="s">
        <v>17</v>
      </c>
      <c r="W33" s="775">
        <f t="shared" si="14"/>
        <v>100</v>
      </c>
      <c r="X33" s="1799"/>
      <c r="Y33" s="3213"/>
      <c r="Z33" s="1800" t="str">
        <f t="shared" si="15"/>
        <v>是否直接入户</v>
      </c>
      <c r="AA33" s="1797">
        <f t="shared" si="3"/>
        <v>1</v>
      </c>
      <c r="AB33" s="1797">
        <f t="shared" si="4"/>
        <v>1</v>
      </c>
      <c r="AC33" s="179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13"/>
      <c r="Q34" s="1796">
        <f t="shared" si="11"/>
        <v>111</v>
      </c>
      <c r="R34" s="774" t="s">
        <v>17</v>
      </c>
      <c r="S34" s="775">
        <f t="shared" si="12"/>
        <v>100</v>
      </c>
      <c r="T34" s="774" t="s">
        <v>17</v>
      </c>
      <c r="U34" s="775">
        <f t="shared" si="13"/>
        <v>100</v>
      </c>
      <c r="V34" s="774" t="s">
        <v>17</v>
      </c>
      <c r="W34" s="775">
        <f t="shared" si="14"/>
        <v>100</v>
      </c>
      <c r="X34" s="1799"/>
      <c r="Y34" s="3213"/>
      <c r="Z34" s="1800">
        <f t="shared" si="15"/>
        <v>111</v>
      </c>
      <c r="AA34" s="1797">
        <f t="shared" si="3"/>
        <v>1</v>
      </c>
      <c r="AB34" s="1797">
        <f t="shared" si="4"/>
        <v>1</v>
      </c>
      <c r="AC34" s="179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797">
        <f t="shared" si="3"/>
        <v>1</v>
      </c>
      <c r="AB35" s="1797">
        <f t="shared" si="4"/>
        <v>1</v>
      </c>
      <c r="AC35" s="179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13"/>
      <c r="Q36" s="1796">
        <f t="shared" si="11"/>
        <v>111</v>
      </c>
      <c r="R36" s="774" t="s">
        <v>17</v>
      </c>
      <c r="S36" s="775">
        <f t="shared" si="12"/>
        <v>100</v>
      </c>
      <c r="T36" s="774" t="s">
        <v>17</v>
      </c>
      <c r="U36" s="775">
        <f t="shared" si="13"/>
        <v>100</v>
      </c>
      <c r="V36" s="774" t="s">
        <v>17</v>
      </c>
      <c r="W36" s="775">
        <f t="shared" si="14"/>
        <v>100</v>
      </c>
      <c r="X36" s="1799"/>
      <c r="Y36" s="3213"/>
      <c r="Z36" s="1800">
        <f t="shared" si="15"/>
        <v>111</v>
      </c>
      <c r="AA36" s="1797">
        <f t="shared" si="3"/>
        <v>1</v>
      </c>
      <c r="AB36" s="1797">
        <f t="shared" si="4"/>
        <v>1</v>
      </c>
      <c r="AC36" s="1797">
        <f t="shared" si="5"/>
        <v>1</v>
      </c>
    </row>
    <row r="37" spans="1:29" ht="14.4">
      <c r="A37" s="479" t="s">
        <v>2710</v>
      </c>
      <c r="B37" s="2683" t="s">
        <v>2711</v>
      </c>
      <c r="C37" s="1402" t="s">
        <v>1</v>
      </c>
      <c r="D37" s="1403"/>
      <c r="E37" s="1404"/>
      <c r="F37" s="1405"/>
      <c r="G37" s="1406"/>
      <c r="H37" s="1407"/>
      <c r="I37" s="1404"/>
      <c r="J37" s="1407"/>
      <c r="K37" s="619"/>
      <c r="L37" s="1138"/>
      <c r="M37" s="1139"/>
      <c r="N37" s="1126"/>
      <c r="O37" s="1139"/>
      <c r="P37" s="3195" t="str">
        <f>A37</f>
        <v>成交单价</v>
      </c>
      <c r="Q37" s="3195"/>
      <c r="R37" s="3249">
        <f>E37</f>
        <v>0</v>
      </c>
      <c r="S37" s="3249"/>
      <c r="T37" s="3249">
        <f>G37</f>
        <v>0</v>
      </c>
      <c r="U37" s="3249"/>
      <c r="V37" s="3249">
        <f>I37</f>
        <v>0</v>
      </c>
      <c r="W37" s="3249"/>
      <c r="X37" s="759"/>
      <c r="Y37" s="781"/>
      <c r="Z37" s="759"/>
      <c r="AA37" s="759"/>
      <c r="AB37" s="759"/>
      <c r="AC37" s="759"/>
    </row>
    <row r="38" spans="1:29" ht="15" thickBot="1">
      <c r="A38" s="486" t="s">
        <v>2712</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95" t="str">
        <f>A38</f>
        <v>比较价值（元/平方米）</v>
      </c>
      <c r="Q38" s="3195"/>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 thickBot="1">
      <c r="A39" s="492" t="s">
        <v>2713</v>
      </c>
      <c r="B39" s="493"/>
      <c r="C39" s="1412" t="e">
        <f>R39</f>
        <v>#DIV/0!</v>
      </c>
      <c r="D39" s="1412"/>
      <c r="E39" s="1412"/>
      <c r="F39" s="1412"/>
      <c r="G39" s="1412"/>
      <c r="H39" s="1412"/>
      <c r="I39" s="1412"/>
      <c r="J39" s="1412"/>
      <c r="K39" s="621"/>
      <c r="L39" s="1138"/>
      <c r="M39" s="1139"/>
      <c r="N39" s="1139"/>
      <c r="O39" s="1139"/>
      <c r="P39" s="3215" t="str">
        <f>A39</f>
        <v>估价对象XX用房的比较价值（楼面单价，元/平方米）</v>
      </c>
      <c r="Q39" s="3216"/>
      <c r="R39" s="3248" t="e">
        <f>IF(F1="售价",ROUND(AVERAGE(R38:V38),0),ROUND(AVERAGE(R38:V38),1))</f>
        <v>#DIV/0!</v>
      </c>
      <c r="S39" s="3248"/>
      <c r="T39" s="3248"/>
      <c r="U39" s="3248"/>
      <c r="V39" s="3248"/>
      <c r="W39" s="3248"/>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2.2" thickBot="1">
      <c r="A47" s="1419" t="s">
        <v>2717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4.4">
      <c r="A48" s="505" t="s">
        <v>2718</v>
      </c>
      <c r="B48" s="506"/>
      <c r="C48" s="1568" t="str">
        <f>YEAR(C7)&amp;"-"&amp;MONTH(C7)</f>
        <v>2020-7</v>
      </c>
      <c r="D48" s="1569">
        <f>EDATE(C48,-1)</f>
        <v>43983</v>
      </c>
      <c r="E48" s="1569">
        <f t="shared" ref="E48:O48" si="16">EDATE(D48,-1)</f>
        <v>43952</v>
      </c>
      <c r="F48" s="1569">
        <f t="shared" si="16"/>
        <v>43922</v>
      </c>
      <c r="G48" s="1569">
        <f t="shared" si="16"/>
        <v>43891</v>
      </c>
      <c r="H48" s="1569">
        <f t="shared" si="16"/>
        <v>43862</v>
      </c>
      <c r="I48" s="1569">
        <f t="shared" si="16"/>
        <v>43831</v>
      </c>
      <c r="J48" s="1569">
        <f t="shared" si="16"/>
        <v>43800</v>
      </c>
      <c r="K48" s="1569">
        <f t="shared" si="16"/>
        <v>43770</v>
      </c>
      <c r="L48" s="1569">
        <f t="shared" si="16"/>
        <v>43739</v>
      </c>
      <c r="M48" s="1569">
        <f t="shared" si="16"/>
        <v>43709</v>
      </c>
      <c r="N48" s="1569">
        <f t="shared" si="16"/>
        <v>43678</v>
      </c>
      <c r="O48" s="1569">
        <f t="shared" si="16"/>
        <v>43647</v>
      </c>
      <c r="P48" s="1433"/>
      <c r="Q48" s="1434"/>
      <c r="R48" s="1434"/>
      <c r="S48" s="1434"/>
      <c r="T48" s="1434"/>
      <c r="U48" s="1434"/>
      <c r="V48" s="1434"/>
      <c r="W48" s="1434"/>
      <c r="X48" s="1434"/>
      <c r="Y48" s="1434"/>
      <c r="Z48" s="1434"/>
      <c r="AA48" s="1434"/>
      <c r="AB48" s="1434"/>
      <c r="AC48" s="1434"/>
    </row>
    <row r="49" spans="1:29" s="117" customFormat="1">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c r="A50" s="515" t="s">
        <v>2575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4.4">
      <c r="A51" s="521" t="s">
        <v>2540</v>
      </c>
      <c r="B51" s="510"/>
      <c r="C51" s="522" t="s">
        <v>2642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4.4"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ht="14.4">
      <c r="A53" s="527" t="s">
        <v>2578</v>
      </c>
      <c r="B53" s="528" t="s">
        <v>2544</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4.4"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9.4" thickTop="1">
      <c r="A55" s="534"/>
      <c r="B55" s="538" t="s">
        <v>2547</v>
      </c>
      <c r="C55" s="539" t="s">
        <v>2579</v>
      </c>
      <c r="D55" s="539" t="s">
        <v>2580</v>
      </c>
      <c r="E55" s="539" t="s">
        <v>2581</v>
      </c>
      <c r="F55" s="539" t="s">
        <v>2582</v>
      </c>
      <c r="G55" s="539" t="s">
        <v>2583</v>
      </c>
      <c r="H55" s="539" t="s">
        <v>2584</v>
      </c>
      <c r="I55" s="539" t="s">
        <v>2585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4.4"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4.4"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4.4"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4.4"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4.4"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4.4"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 thickTop="1">
      <c r="A65" s="534"/>
      <c r="B65" s="538" t="s">
        <v>2593</v>
      </c>
      <c r="C65" s="578" t="s">
        <v>2587</v>
      </c>
      <c r="D65" s="578" t="s">
        <v>2588</v>
      </c>
      <c r="E65" s="578" t="s">
        <v>2589</v>
      </c>
      <c r="F65" s="578" t="s">
        <v>2590</v>
      </c>
      <c r="G65" s="578" t="s">
        <v>2591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 thickTop="1">
      <c r="A67" s="534"/>
      <c r="B67" s="546" t="s">
        <v>2679</v>
      </c>
      <c r="C67" s="660" t="s">
        <v>2665</v>
      </c>
      <c r="D67" s="660" t="s">
        <v>2666</v>
      </c>
      <c r="E67" s="660" t="s">
        <v>2667</v>
      </c>
      <c r="F67" s="660" t="s">
        <v>2668</v>
      </c>
      <c r="G67" s="660" t="s">
        <v>2669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 thickTop="1">
      <c r="A69" s="534"/>
      <c r="B69" s="538" t="s">
        <v>2599</v>
      </c>
      <c r="C69" s="578" t="s">
        <v>2587</v>
      </c>
      <c r="D69" s="578" t="s">
        <v>2588</v>
      </c>
      <c r="E69" s="578" t="s">
        <v>2589</v>
      </c>
      <c r="F69" s="578" t="s">
        <v>2590</v>
      </c>
      <c r="G69" s="578" t="s">
        <v>2591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 thickTop="1">
      <c r="A71" s="534"/>
      <c r="B71" s="538" t="s">
        <v>2719</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4.4"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4.4"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4.4"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4.4"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4.4"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4.4"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9.4" thickTop="1">
      <c r="A79" s="527" t="s">
        <v>2553</v>
      </c>
      <c r="B79" s="528" t="s">
        <v>2720</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 thickTop="1">
      <c r="A81" s="534"/>
      <c r="B81" s="538" t="s">
        <v>2721</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4.4"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2606</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2723</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4.4"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2725</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2726</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4.4"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4.4"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4.4"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4.4"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4.4"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4.4"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2697</v>
      </c>
      <c r="B1" s="1613"/>
      <c r="C1" s="1614" t="s">
        <v>2520</v>
      </c>
      <c r="D1" s="1615"/>
      <c r="E1" s="1624"/>
      <c r="F1" s="2572"/>
      <c r="G1" s="1625" t="s">
        <v>2633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2317</v>
      </c>
      <c r="B2" s="1413" t="e">
        <f ca="1">IF(C2="——",ROUND(C37*D3/10000,0),ROUND(C37*D3/10000,0)-D2)</f>
        <v>#DIV/0!</v>
      </c>
      <c r="C2" s="2574"/>
      <c r="D2" s="1119" t="e">
        <f ca="1">SUMIF(INDIRECT("'"&amp;F2&amp;"'"&amp;"!A:A"),"承租人权益价值",INDIRECT("'"&amp;F2&amp;"'"&amp;"!c:c"))</f>
        <v>#REF!</v>
      </c>
      <c r="E2" s="2575" t="s">
        <v>2318</v>
      </c>
      <c r="F2" s="2576"/>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179" t="s">
        <v>2638</v>
      </c>
      <c r="AC4" s="3178" t="s">
        <v>2639</v>
      </c>
    </row>
    <row r="5" spans="1:29">
      <c r="A5" s="404"/>
      <c r="B5" s="405"/>
      <c r="C5" s="3189" t="s">
        <v>2532</v>
      </c>
      <c r="D5" s="3190"/>
      <c r="E5" s="3187" t="s">
        <v>2533</v>
      </c>
      <c r="F5" s="3188"/>
      <c r="G5" s="3189" t="s">
        <v>2534</v>
      </c>
      <c r="H5" s="3190"/>
      <c r="I5" s="3189" t="s">
        <v>2535</v>
      </c>
      <c r="J5" s="3190"/>
      <c r="K5" s="610"/>
      <c r="L5" s="1125"/>
      <c r="M5" s="1126"/>
      <c r="N5" s="1126"/>
      <c r="O5" s="1126"/>
      <c r="P5" s="3202"/>
      <c r="Q5" s="3203"/>
      <c r="R5" s="3185"/>
      <c r="S5" s="3186"/>
      <c r="T5" s="3185"/>
      <c r="U5" s="3186"/>
      <c r="V5" s="3208"/>
      <c r="W5" s="3208"/>
      <c r="X5" s="1799"/>
      <c r="Y5" s="3185"/>
      <c r="Z5" s="3186"/>
      <c r="AA5" s="3179"/>
      <c r="AB5" s="3179"/>
      <c r="AC5" s="3179"/>
    </row>
    <row r="6" spans="1:29" ht="15" thickBot="1">
      <c r="A6" s="406"/>
      <c r="B6" s="407"/>
      <c r="C6" s="3191" t="s">
        <v>2536</v>
      </c>
      <c r="D6" s="3192"/>
      <c r="E6" s="3193" t="s">
        <v>2536</v>
      </c>
      <c r="F6" s="3194"/>
      <c r="G6" s="3191" t="s">
        <v>2536</v>
      </c>
      <c r="H6" s="3192"/>
      <c r="I6" s="3191" t="s">
        <v>2536</v>
      </c>
      <c r="J6" s="3192"/>
      <c r="K6" s="610" t="s">
        <v>2537</v>
      </c>
      <c r="L6" s="1125"/>
      <c r="M6" s="1126"/>
      <c r="N6" s="1126"/>
      <c r="O6" s="1126"/>
      <c r="P6" s="3204"/>
      <c r="Q6" s="3205"/>
      <c r="R6" s="3185"/>
      <c r="S6" s="3186"/>
      <c r="T6" s="3206"/>
      <c r="U6" s="3207"/>
      <c r="V6" s="3208"/>
      <c r="W6" s="3208"/>
      <c r="X6" s="1799"/>
      <c r="Y6" s="3206"/>
      <c r="Z6" s="3207"/>
      <c r="AA6" s="3180"/>
      <c r="AB6" s="3180"/>
      <c r="AC6" s="3180"/>
    </row>
    <row r="7" spans="1:29" s="117" customFormat="1" ht="15" thickBot="1">
      <c r="A7" s="408" t="s">
        <v>2538</v>
      </c>
      <c r="B7" s="409"/>
      <c r="C7" s="410">
        <f>'数据-取费表'!B2</f>
        <v>44020</v>
      </c>
      <c r="D7" s="411">
        <v>100</v>
      </c>
      <c r="E7" s="412"/>
      <c r="F7" s="413">
        <f>SUMIF(46:46,YEAR(E7)&amp;"-"&amp;MONTH(E7),47:47)</f>
        <v>0</v>
      </c>
      <c r="G7" s="2684"/>
      <c r="H7" s="411">
        <f>SUMIF(46:46,YEAR(G7)&amp;"-"&amp;MONTH(G7),47:47)</f>
        <v>0</v>
      </c>
      <c r="I7" s="412"/>
      <c r="J7" s="411">
        <f>SUMIF(46:46,YEAR(I7)&amp;"-"&amp;MONTH(I7),47:47)</f>
        <v>0</v>
      </c>
      <c r="K7" s="611"/>
      <c r="L7" s="1127"/>
      <c r="M7" s="1128"/>
      <c r="N7" s="1128"/>
      <c r="O7" s="1128"/>
      <c r="P7" s="3181" t="s">
        <v>2539</v>
      </c>
      <c r="Q7" s="3209"/>
      <c r="R7" s="770" t="s">
        <v>17</v>
      </c>
      <c r="S7" s="771">
        <f t="shared" ref="S7:S14" si="0">F7</f>
        <v>0</v>
      </c>
      <c r="T7" s="770" t="s">
        <v>17</v>
      </c>
      <c r="U7" s="771">
        <f t="shared" ref="U7:U14" si="1">H7</f>
        <v>0</v>
      </c>
      <c r="V7" s="770" t="s">
        <v>17</v>
      </c>
      <c r="W7" s="771">
        <f t="shared" ref="W7:W14" si="2">J7</f>
        <v>0</v>
      </c>
      <c r="X7" s="772"/>
      <c r="Y7" s="3181" t="s">
        <v>2539</v>
      </c>
      <c r="Z7" s="3182"/>
      <c r="AA7" s="773" t="e">
        <f>D7/F7</f>
        <v>#DIV/0!</v>
      </c>
      <c r="AB7" s="773" t="e">
        <f>D7/H7</f>
        <v>#DIV/0!</v>
      </c>
      <c r="AC7" s="773" t="e">
        <f>D7/J7</f>
        <v>#DIV/0!</v>
      </c>
    </row>
    <row r="8" spans="1:29" s="117" customFormat="1" ht="1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81" t="s">
        <v>2542</v>
      </c>
      <c r="Q8" s="3182"/>
      <c r="R8" s="770" t="s">
        <v>17</v>
      </c>
      <c r="S8" s="771">
        <f t="shared" si="0"/>
        <v>0</v>
      </c>
      <c r="T8" s="770" t="s">
        <v>17</v>
      </c>
      <c r="U8" s="771">
        <f t="shared" si="1"/>
        <v>0</v>
      </c>
      <c r="V8" s="770" t="s">
        <v>17</v>
      </c>
      <c r="W8" s="771">
        <f t="shared" si="2"/>
        <v>0</v>
      </c>
      <c r="X8" s="772"/>
      <c r="Y8" s="3181" t="s">
        <v>2542</v>
      </c>
      <c r="Z8" s="3182"/>
      <c r="AA8" s="773" t="e">
        <f t="shared" ref="AA8:AA34" si="3">D8/F8</f>
        <v>#DIV/0!</v>
      </c>
      <c r="AB8" s="773" t="e">
        <f t="shared" ref="AB8:AB34" si="4">D8/H8</f>
        <v>#DIV/0!</v>
      </c>
      <c r="AC8" s="773" t="e">
        <f t="shared" ref="AC8:AC34" si="5">D8/J8</f>
        <v>#DIV/0!</v>
      </c>
    </row>
    <row r="9" spans="1:29" s="117" customFormat="1" ht="14.4">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95" t="s">
        <v>2545</v>
      </c>
      <c r="Q9" s="1781" t="str">
        <f t="shared" ref="Q9:Q14" si="6">B9</f>
        <v>用途</v>
      </c>
      <c r="R9" s="770" t="s">
        <v>17</v>
      </c>
      <c r="S9" s="771">
        <f t="shared" si="0"/>
        <v>100</v>
      </c>
      <c r="T9" s="770" t="s">
        <v>17</v>
      </c>
      <c r="U9" s="771">
        <f t="shared" si="1"/>
        <v>100</v>
      </c>
      <c r="V9" s="770" t="s">
        <v>17</v>
      </c>
      <c r="W9" s="771">
        <f t="shared" si="2"/>
        <v>100</v>
      </c>
      <c r="X9" s="772"/>
      <c r="Y9" s="3053" t="s">
        <v>2546</v>
      </c>
      <c r="Z9" s="55" t="str">
        <f t="shared" ref="Z9:Z14" si="7">Q9</f>
        <v>用途</v>
      </c>
      <c r="AA9" s="773">
        <f t="shared" si="3"/>
        <v>1</v>
      </c>
      <c r="AB9" s="773">
        <f t="shared" si="4"/>
        <v>1</v>
      </c>
      <c r="AC9" s="773">
        <f t="shared" si="5"/>
        <v>1</v>
      </c>
    </row>
    <row r="10" spans="1:29" s="427" customFormat="1" ht="28.8">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95"/>
      <c r="Q10" s="1781"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95"/>
      <c r="Q11" s="1781">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95"/>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6"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5"/>
      <c r="M13" s="1126"/>
      <c r="N13" s="1126"/>
      <c r="O13" s="1134"/>
      <c r="P13" s="3195"/>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40" t="s">
        <v>2549</v>
      </c>
      <c r="B14" s="69" t="s">
        <v>2699</v>
      </c>
      <c r="C14" s="268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10" t="s">
        <v>2550</v>
      </c>
      <c r="Q14" s="1796" t="str">
        <f t="shared" si="6"/>
        <v>交通便捷度</v>
      </c>
      <c r="R14" s="774" t="s">
        <v>17</v>
      </c>
      <c r="S14" s="775">
        <f t="shared" si="0"/>
        <v>100</v>
      </c>
      <c r="T14" s="774" t="s">
        <v>17</v>
      </c>
      <c r="U14" s="775">
        <f t="shared" si="1"/>
        <v>100</v>
      </c>
      <c r="V14" s="774" t="s">
        <v>17</v>
      </c>
      <c r="W14" s="775">
        <f t="shared" si="2"/>
        <v>100</v>
      </c>
      <c r="X14" s="1799"/>
      <c r="Y14" s="3210" t="s">
        <v>2550</v>
      </c>
      <c r="Z14" s="1800" t="str">
        <f t="shared" si="7"/>
        <v>交通便捷度</v>
      </c>
      <c r="AA14" s="1797">
        <f t="shared" si="3"/>
        <v>1</v>
      </c>
      <c r="AB14" s="1797">
        <f t="shared" si="4"/>
        <v>1</v>
      </c>
      <c r="AC14" s="1797">
        <f t="shared" si="5"/>
        <v>1</v>
      </c>
    </row>
    <row r="15" spans="1:29" ht="15">
      <c r="A15" s="428"/>
      <c r="B15" s="446"/>
      <c r="C15" s="447"/>
      <c r="D15" s="448"/>
      <c r="E15" s="447"/>
      <c r="F15" s="449"/>
      <c r="G15" s="447"/>
      <c r="H15" s="450"/>
      <c r="I15" s="447"/>
      <c r="J15" s="448"/>
      <c r="K15" s="615"/>
      <c r="L15" s="1135"/>
      <c r="M15" s="1126"/>
      <c r="N15" s="1126"/>
      <c r="O15" s="1134"/>
      <c r="P15" s="3211"/>
      <c r="Q15" s="1796"/>
      <c r="R15" s="774"/>
      <c r="S15" s="775"/>
      <c r="T15" s="774"/>
      <c r="U15" s="775"/>
      <c r="V15" s="774"/>
      <c r="W15" s="775"/>
      <c r="X15" s="1799"/>
      <c r="Y15" s="3211"/>
      <c r="Z15" s="1800"/>
      <c r="AA15" s="1797">
        <v>1</v>
      </c>
      <c r="AB15" s="1797">
        <v>1</v>
      </c>
      <c r="AC15" s="1797">
        <v>1</v>
      </c>
    </row>
    <row r="16" spans="1:29" ht="15">
      <c r="A16" s="428"/>
      <c r="B16" s="451" t="s">
        <v>2678</v>
      </c>
      <c r="C16" s="259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11"/>
      <c r="Q16" s="1796" t="str">
        <f>B16</f>
        <v>公共配套设施</v>
      </c>
      <c r="R16" s="774" t="s">
        <v>17</v>
      </c>
      <c r="S16" s="775">
        <f>F16</f>
        <v>100</v>
      </c>
      <c r="T16" s="774" t="s">
        <v>17</v>
      </c>
      <c r="U16" s="775">
        <f>H16</f>
        <v>100</v>
      </c>
      <c r="V16" s="774" t="s">
        <v>17</v>
      </c>
      <c r="W16" s="775">
        <f>J16</f>
        <v>100</v>
      </c>
      <c r="X16" s="1799"/>
      <c r="Y16" s="3211"/>
      <c r="Z16" s="1800" t="str">
        <f>Q16</f>
        <v>公共配套设施</v>
      </c>
      <c r="AA16" s="1797">
        <f t="shared" si="3"/>
        <v>1</v>
      </c>
      <c r="AB16" s="1797">
        <f t="shared" si="4"/>
        <v>1</v>
      </c>
      <c r="AC16" s="1797">
        <f t="shared" si="5"/>
        <v>1</v>
      </c>
    </row>
    <row r="17" spans="1:29" ht="15">
      <c r="A17" s="428"/>
      <c r="B17" s="456"/>
      <c r="C17" s="2596"/>
      <c r="D17" s="448"/>
      <c r="E17" s="447"/>
      <c r="F17" s="449"/>
      <c r="G17" s="447"/>
      <c r="H17" s="448"/>
      <c r="I17" s="447"/>
      <c r="J17" s="448"/>
      <c r="K17" s="615"/>
      <c r="L17" s="1135"/>
      <c r="M17" s="1126"/>
      <c r="N17" s="1126"/>
      <c r="O17" s="1134"/>
      <c r="P17" s="3211"/>
      <c r="Q17" s="1796"/>
      <c r="R17" s="774"/>
      <c r="S17" s="775"/>
      <c r="T17" s="774"/>
      <c r="U17" s="775"/>
      <c r="V17" s="774"/>
      <c r="W17" s="775"/>
      <c r="X17" s="1799"/>
      <c r="Y17" s="3211"/>
      <c r="Z17" s="1800"/>
      <c r="AA17" s="1797">
        <v>1</v>
      </c>
      <c r="AB17" s="1797">
        <v>1</v>
      </c>
      <c r="AC17" s="1797">
        <v>1</v>
      </c>
    </row>
    <row r="18" spans="1:29" ht="15">
      <c r="A18" s="428"/>
      <c r="B18" s="1379" t="s">
        <v>2679</v>
      </c>
      <c r="C18" s="259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11"/>
      <c r="Q18" s="1796" t="str">
        <f>B18</f>
        <v>基础设施水平</v>
      </c>
      <c r="R18" s="774" t="s">
        <v>17</v>
      </c>
      <c r="S18" s="775">
        <f>F18</f>
        <v>100</v>
      </c>
      <c r="T18" s="774" t="s">
        <v>17</v>
      </c>
      <c r="U18" s="775">
        <f>H18</f>
        <v>100</v>
      </c>
      <c r="V18" s="774" t="s">
        <v>17</v>
      </c>
      <c r="W18" s="775">
        <f>J18</f>
        <v>100</v>
      </c>
      <c r="X18" s="1799"/>
      <c r="Y18" s="3211"/>
      <c r="Z18" s="1800" t="str">
        <f>Q18</f>
        <v>基础设施水平</v>
      </c>
      <c r="AA18" s="1797">
        <f t="shared" ref="AA18" si="8">D18/F18</f>
        <v>1</v>
      </c>
      <c r="AB18" s="1797">
        <f t="shared" ref="AB18" si="9">D18/H18</f>
        <v>1</v>
      </c>
      <c r="AC18" s="1797">
        <f t="shared" ref="AC18" si="10">D18/J18</f>
        <v>1</v>
      </c>
    </row>
    <row r="19" spans="1:29" ht="15">
      <c r="A19" s="428"/>
      <c r="B19" s="1379"/>
      <c r="C19" s="2596"/>
      <c r="D19" s="450"/>
      <c r="E19" s="2596"/>
      <c r="F19" s="453"/>
      <c r="G19" s="2596"/>
      <c r="H19" s="448"/>
      <c r="I19" s="447"/>
      <c r="J19" s="448"/>
      <c r="K19" s="1378"/>
      <c r="L19" s="1135"/>
      <c r="M19" s="1126"/>
      <c r="N19" s="1126"/>
      <c r="O19" s="1134"/>
      <c r="P19" s="3211"/>
      <c r="Q19" s="1796"/>
      <c r="R19" s="774"/>
      <c r="S19" s="775"/>
      <c r="T19" s="774"/>
      <c r="U19" s="775"/>
      <c r="V19" s="774"/>
      <c r="W19" s="775"/>
      <c r="X19" s="1799"/>
      <c r="Y19" s="3211"/>
      <c r="Z19" s="1800"/>
      <c r="AA19" s="1797">
        <v>1</v>
      </c>
      <c r="AB19" s="1797">
        <v>1</v>
      </c>
      <c r="AC19" s="1797">
        <v>1</v>
      </c>
    </row>
    <row r="20" spans="1:29" ht="15">
      <c r="A20" s="428"/>
      <c r="B20" s="451" t="s">
        <v>2700</v>
      </c>
      <c r="C20" s="259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11"/>
      <c r="Q20" s="1796" t="str">
        <f>B20</f>
        <v>自然及人文环境</v>
      </c>
      <c r="R20" s="774" t="s">
        <v>17</v>
      </c>
      <c r="S20" s="775">
        <f>F20</f>
        <v>100</v>
      </c>
      <c r="T20" s="774" t="s">
        <v>17</v>
      </c>
      <c r="U20" s="775">
        <f>H20</f>
        <v>100</v>
      </c>
      <c r="V20" s="774" t="s">
        <v>17</v>
      </c>
      <c r="W20" s="775">
        <f>J20</f>
        <v>100</v>
      </c>
      <c r="X20" s="1799"/>
      <c r="Y20" s="3211"/>
      <c r="Z20" s="1800" t="str">
        <f>Q20</f>
        <v>自然及人文环境</v>
      </c>
      <c r="AA20" s="1797">
        <f t="shared" si="3"/>
        <v>1</v>
      </c>
      <c r="AB20" s="1797">
        <f t="shared" si="4"/>
        <v>1</v>
      </c>
      <c r="AC20" s="1797">
        <f t="shared" si="5"/>
        <v>1</v>
      </c>
    </row>
    <row r="21" spans="1:29" ht="15">
      <c r="A21" s="428"/>
      <c r="B21" s="456"/>
      <c r="C21" s="447"/>
      <c r="D21" s="448"/>
      <c r="E21" s="447"/>
      <c r="F21" s="449"/>
      <c r="G21" s="447"/>
      <c r="H21" s="448"/>
      <c r="I21" s="447"/>
      <c r="J21" s="448"/>
      <c r="K21" s="615"/>
      <c r="L21" s="1135"/>
      <c r="M21" s="1126"/>
      <c r="N21" s="1126"/>
      <c r="O21" s="1134"/>
      <c r="P21" s="3211"/>
      <c r="Q21" s="1796"/>
      <c r="R21" s="774"/>
      <c r="S21" s="775"/>
      <c r="T21" s="774"/>
      <c r="U21" s="775"/>
      <c r="V21" s="774"/>
      <c r="W21" s="775"/>
      <c r="X21" s="1799"/>
      <c r="Y21" s="3211"/>
      <c r="Z21" s="1800"/>
      <c r="AA21" s="1797">
        <v>1</v>
      </c>
      <c r="AB21" s="1797">
        <v>1</v>
      </c>
      <c r="AC21" s="1797">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11"/>
      <c r="Q22" s="1796" t="str">
        <f>B22</f>
        <v>楼层</v>
      </c>
      <c r="R22" s="774" t="s">
        <v>17</v>
      </c>
      <c r="S22" s="775">
        <f>F22</f>
        <v>100</v>
      </c>
      <c r="T22" s="774" t="s">
        <v>17</v>
      </c>
      <c r="U22" s="775">
        <f>H22</f>
        <v>100</v>
      </c>
      <c r="V22" s="774" t="s">
        <v>17</v>
      </c>
      <c r="W22" s="775">
        <f>J22</f>
        <v>100</v>
      </c>
      <c r="X22" s="1799"/>
      <c r="Y22" s="3211"/>
      <c r="Z22" s="1800" t="str">
        <f>Q22</f>
        <v>楼层</v>
      </c>
      <c r="AA22" s="1797">
        <f t="shared" si="3"/>
        <v>1</v>
      </c>
      <c r="AB22" s="1797">
        <f t="shared" si="4"/>
        <v>1</v>
      </c>
      <c r="AC22" s="1797">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11"/>
      <c r="Q23" s="1796">
        <f>B23</f>
        <v>111</v>
      </c>
      <c r="R23" s="774" t="s">
        <v>17</v>
      </c>
      <c r="S23" s="775">
        <f>F23</f>
        <v>100</v>
      </c>
      <c r="T23" s="774" t="s">
        <v>17</v>
      </c>
      <c r="U23" s="775">
        <f>H23</f>
        <v>100</v>
      </c>
      <c r="V23" s="774" t="s">
        <v>17</v>
      </c>
      <c r="W23" s="775">
        <f>J23</f>
        <v>100</v>
      </c>
      <c r="X23" s="1799"/>
      <c r="Y23" s="3211"/>
      <c r="Z23" s="1800">
        <f>Q23</f>
        <v>111</v>
      </c>
      <c r="AA23" s="1797">
        <f t="shared" si="3"/>
        <v>1</v>
      </c>
      <c r="AB23" s="1797">
        <f t="shared" si="4"/>
        <v>1</v>
      </c>
      <c r="AC23" s="1797">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11"/>
      <c r="Q24" s="1796">
        <f t="shared" ref="Q24:Q34" si="11">B24</f>
        <v>111</v>
      </c>
      <c r="R24" s="774" t="s">
        <v>17</v>
      </c>
      <c r="S24" s="775">
        <f>F24</f>
        <v>100</v>
      </c>
      <c r="T24" s="774" t="s">
        <v>17</v>
      </c>
      <c r="U24" s="775">
        <f>H24</f>
        <v>100</v>
      </c>
      <c r="V24" s="774" t="s">
        <v>17</v>
      </c>
      <c r="W24" s="775">
        <f>J24</f>
        <v>100</v>
      </c>
      <c r="X24" s="1799"/>
      <c r="Y24" s="3211"/>
      <c r="Z24" s="1800">
        <f>Q24</f>
        <v>111</v>
      </c>
      <c r="AA24" s="1797">
        <f t="shared" si="3"/>
        <v>1</v>
      </c>
      <c r="AB24" s="1797">
        <f t="shared" si="4"/>
        <v>1</v>
      </c>
      <c r="AC24" s="1797">
        <f t="shared" si="5"/>
        <v>1</v>
      </c>
    </row>
    <row r="25" spans="1:29" s="117" customFormat="1" ht="15.6"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27"/>
      <c r="M25" s="1128"/>
      <c r="N25" s="1128"/>
      <c r="O25" s="1129"/>
      <c r="P25" s="3211"/>
      <c r="Q25" s="1781">
        <f t="shared" si="11"/>
        <v>111</v>
      </c>
      <c r="R25" s="770" t="s">
        <v>17</v>
      </c>
      <c r="S25" s="771">
        <f>F25</f>
        <v>100</v>
      </c>
      <c r="T25" s="770" t="s">
        <v>17</v>
      </c>
      <c r="U25" s="771">
        <f>H25</f>
        <v>100</v>
      </c>
      <c r="V25" s="770" t="s">
        <v>17</v>
      </c>
      <c r="W25" s="771">
        <f>J25</f>
        <v>100</v>
      </c>
      <c r="X25" s="772"/>
      <c r="Y25" s="3211"/>
      <c r="Z25" s="55">
        <f>Q25</f>
        <v>111</v>
      </c>
      <c r="AA25" s="1797">
        <f>D25/F25</f>
        <v>1</v>
      </c>
      <c r="AB25" s="1797">
        <f>D25/H25</f>
        <v>1</v>
      </c>
      <c r="AC25" s="1797">
        <f>D25/J25</f>
        <v>1</v>
      </c>
    </row>
    <row r="26" spans="1:29" ht="30">
      <c r="A26" s="466" t="s">
        <v>2553</v>
      </c>
      <c r="B26" s="71" t="s">
        <v>2704</v>
      </c>
      <c r="C26" s="2667"/>
      <c r="D26" s="467">
        <v>100</v>
      </c>
      <c r="E26" s="2667"/>
      <c r="F26" s="667">
        <f>SUMIF(77:77,E26,78:78)-SUMIF(77:77,C26,78:78)+100</f>
        <v>100</v>
      </c>
      <c r="G26" s="2667"/>
      <c r="H26" s="467">
        <f>SUMIF(77:77,G26,78:78)-SUMIF(77:77,C26,78:78)+100</f>
        <v>100</v>
      </c>
      <c r="I26" s="2667"/>
      <c r="J26" s="467">
        <f>SUMIF(77:77,I26,78:78)-SUMIF(77:77,C26,78:78)+100</f>
        <v>100</v>
      </c>
      <c r="K26" s="612"/>
      <c r="L26" s="1135"/>
      <c r="M26" s="1126"/>
      <c r="N26" s="1126"/>
      <c r="O26" s="1134"/>
      <c r="P26" s="3212" t="s">
        <v>2555</v>
      </c>
      <c r="Q26" s="1796" t="str">
        <f t="shared" si="11"/>
        <v>公共部分装修</v>
      </c>
      <c r="R26" s="774" t="s">
        <v>17</v>
      </c>
      <c r="S26" s="775">
        <f t="shared" ref="S26:S34" si="12">F26</f>
        <v>100</v>
      </c>
      <c r="T26" s="774" t="s">
        <v>17</v>
      </c>
      <c r="U26" s="775">
        <f t="shared" ref="U26:U34" si="13">H26</f>
        <v>100</v>
      </c>
      <c r="V26" s="774" t="s">
        <v>17</v>
      </c>
      <c r="W26" s="775">
        <f t="shared" ref="W26:W34" si="14">J26</f>
        <v>100</v>
      </c>
      <c r="X26" s="1799"/>
      <c r="Y26" s="3213" t="s">
        <v>2555</v>
      </c>
      <c r="Z26" s="1800" t="str">
        <f t="shared" ref="Z26:Z34" si="15">Q26</f>
        <v>公共部分装修</v>
      </c>
      <c r="AA26" s="1797">
        <f t="shared" si="3"/>
        <v>1</v>
      </c>
      <c r="AB26" s="1797">
        <f t="shared" si="4"/>
        <v>1</v>
      </c>
      <c r="AC26" s="1797">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797" t="e">
        <f t="shared" si="3"/>
        <v>#N/A</v>
      </c>
      <c r="AB27" s="1797" t="e">
        <f t="shared" si="4"/>
        <v>#N/A</v>
      </c>
      <c r="AC27" s="1797"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13"/>
      <c r="Q28" s="1796" t="str">
        <f t="shared" si="11"/>
        <v>物业等级</v>
      </c>
      <c r="R28" s="774" t="s">
        <v>17</v>
      </c>
      <c r="S28" s="775">
        <f t="shared" si="12"/>
        <v>100</v>
      </c>
      <c r="T28" s="774" t="s">
        <v>17</v>
      </c>
      <c r="U28" s="775">
        <f t="shared" si="13"/>
        <v>100</v>
      </c>
      <c r="V28" s="774" t="s">
        <v>17</v>
      </c>
      <c r="W28" s="775">
        <f t="shared" si="14"/>
        <v>100</v>
      </c>
      <c r="X28" s="1799"/>
      <c r="Y28" s="3213"/>
      <c r="Z28" s="1800" t="str">
        <f t="shared" si="15"/>
        <v>物业等级</v>
      </c>
      <c r="AA28" s="1797">
        <f t="shared" si="3"/>
        <v>1</v>
      </c>
      <c r="AB28" s="1797">
        <f t="shared" si="4"/>
        <v>1</v>
      </c>
      <c r="AC28" s="1797">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13"/>
      <c r="Q29" s="1796" t="str">
        <f t="shared" si="11"/>
        <v>有无电梯</v>
      </c>
      <c r="R29" s="774" t="s">
        <v>17</v>
      </c>
      <c r="S29" s="775">
        <f t="shared" si="12"/>
        <v>100</v>
      </c>
      <c r="T29" s="774" t="s">
        <v>17</v>
      </c>
      <c r="U29" s="775">
        <f t="shared" si="13"/>
        <v>100</v>
      </c>
      <c r="V29" s="774" t="s">
        <v>17</v>
      </c>
      <c r="W29" s="775">
        <f t="shared" si="14"/>
        <v>100</v>
      </c>
      <c r="X29" s="1799"/>
      <c r="Y29" s="3213"/>
      <c r="Z29" s="1800" t="str">
        <f t="shared" si="15"/>
        <v>有无电梯</v>
      </c>
      <c r="AA29" s="1797">
        <f t="shared" si="3"/>
        <v>1</v>
      </c>
      <c r="AB29" s="1797">
        <f t="shared" si="4"/>
        <v>1</v>
      </c>
      <c r="AC29" s="1797">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13"/>
      <c r="Q30" s="1796" t="str">
        <f t="shared" si="11"/>
        <v>建筑面积</v>
      </c>
      <c r="R30" s="774" t="s">
        <v>17</v>
      </c>
      <c r="S30" s="775" t="e">
        <f t="shared" si="12"/>
        <v>#N/A</v>
      </c>
      <c r="T30" s="774" t="s">
        <v>17</v>
      </c>
      <c r="U30" s="775" t="e">
        <f t="shared" si="13"/>
        <v>#N/A</v>
      </c>
      <c r="V30" s="774" t="s">
        <v>17</v>
      </c>
      <c r="W30" s="775" t="e">
        <f t="shared" si="14"/>
        <v>#N/A</v>
      </c>
      <c r="X30" s="1799"/>
      <c r="Y30" s="3213"/>
      <c r="Z30" s="1800" t="str">
        <f t="shared" si="15"/>
        <v>建筑面积</v>
      </c>
      <c r="AA30" s="1797" t="e">
        <f t="shared" si="3"/>
        <v>#N/A</v>
      </c>
      <c r="AB30" s="1797" t="e">
        <f t="shared" si="4"/>
        <v>#N/A</v>
      </c>
      <c r="AC30" s="1797"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13"/>
      <c r="Q31" s="1781"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13" t="s">
        <v>2555</v>
      </c>
      <c r="Q32" s="1796">
        <f t="shared" si="11"/>
        <v>111</v>
      </c>
      <c r="R32" s="774" t="s">
        <v>17</v>
      </c>
      <c r="S32" s="775">
        <f t="shared" si="12"/>
        <v>100</v>
      </c>
      <c r="T32" s="774" t="s">
        <v>17</v>
      </c>
      <c r="U32" s="775">
        <f t="shared" si="13"/>
        <v>100</v>
      </c>
      <c r="V32" s="774" t="s">
        <v>17</v>
      </c>
      <c r="W32" s="775">
        <f t="shared" si="14"/>
        <v>100</v>
      </c>
      <c r="X32" s="1799"/>
      <c r="Y32" s="3213" t="s">
        <v>2555</v>
      </c>
      <c r="Z32" s="1800">
        <f t="shared" si="15"/>
        <v>111</v>
      </c>
      <c r="AA32" s="1797">
        <f t="shared" si="3"/>
        <v>1</v>
      </c>
      <c r="AB32" s="1797">
        <f t="shared" si="4"/>
        <v>1</v>
      </c>
      <c r="AC32" s="1797">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13"/>
      <c r="Q33" s="1796">
        <f t="shared" si="11"/>
        <v>111</v>
      </c>
      <c r="R33" s="774" t="s">
        <v>17</v>
      </c>
      <c r="S33" s="775">
        <f t="shared" si="12"/>
        <v>100</v>
      </c>
      <c r="T33" s="774" t="s">
        <v>17</v>
      </c>
      <c r="U33" s="775">
        <f t="shared" si="13"/>
        <v>100</v>
      </c>
      <c r="V33" s="774" t="s">
        <v>17</v>
      </c>
      <c r="W33" s="775">
        <f t="shared" si="14"/>
        <v>100</v>
      </c>
      <c r="X33" s="1799"/>
      <c r="Y33" s="3213"/>
      <c r="Z33" s="1800">
        <f t="shared" si="15"/>
        <v>111</v>
      </c>
      <c r="AA33" s="1797">
        <f t="shared" si="3"/>
        <v>1</v>
      </c>
      <c r="AB33" s="1797">
        <f t="shared" si="4"/>
        <v>1</v>
      </c>
      <c r="AC33" s="1797">
        <f t="shared" si="5"/>
        <v>1</v>
      </c>
    </row>
    <row r="34" spans="1:29" ht="15.6"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5"/>
      <c r="M34" s="1126"/>
      <c r="N34" s="1126"/>
      <c r="O34" s="1134"/>
      <c r="P34" s="3213"/>
      <c r="Q34" s="1796">
        <f t="shared" si="11"/>
        <v>111</v>
      </c>
      <c r="R34" s="774" t="s">
        <v>17</v>
      </c>
      <c r="S34" s="775">
        <f t="shared" si="12"/>
        <v>100</v>
      </c>
      <c r="T34" s="774" t="s">
        <v>17</v>
      </c>
      <c r="U34" s="775">
        <f t="shared" si="13"/>
        <v>100</v>
      </c>
      <c r="V34" s="774" t="s">
        <v>17</v>
      </c>
      <c r="W34" s="775">
        <f t="shared" si="14"/>
        <v>100</v>
      </c>
      <c r="X34" s="1799"/>
      <c r="Y34" s="3213"/>
      <c r="Z34" s="1800">
        <f t="shared" si="15"/>
        <v>111</v>
      </c>
      <c r="AA34" s="1797">
        <f t="shared" si="3"/>
        <v>1</v>
      </c>
      <c r="AB34" s="1797">
        <f t="shared" si="4"/>
        <v>1</v>
      </c>
      <c r="AC34" s="1797">
        <f t="shared" si="5"/>
        <v>1</v>
      </c>
    </row>
    <row r="35" spans="1:29" ht="14.4">
      <c r="A35" s="479" t="s">
        <v>2567</v>
      </c>
      <c r="B35" s="480"/>
      <c r="C35" s="1402" t="s">
        <v>1</v>
      </c>
      <c r="D35" s="1403"/>
      <c r="E35" s="1404"/>
      <c r="F35" s="1405"/>
      <c r="G35" s="1406"/>
      <c r="H35" s="1407"/>
      <c r="I35" s="1404"/>
      <c r="J35" s="1407"/>
      <c r="K35" s="783"/>
      <c r="L35" s="1138"/>
      <c r="M35" s="1139"/>
      <c r="N35" s="1126"/>
      <c r="O35" s="1139"/>
      <c r="P35" s="3195" t="str">
        <f>A35</f>
        <v>成交单价（元/平方米）</v>
      </c>
      <c r="Q35" s="3195"/>
      <c r="R35" s="3249">
        <f>E35</f>
        <v>0</v>
      </c>
      <c r="S35" s="3249"/>
      <c r="T35" s="3249">
        <f>G35</f>
        <v>0</v>
      </c>
      <c r="U35" s="3249"/>
      <c r="V35" s="3249">
        <f>I35</f>
        <v>0</v>
      </c>
      <c r="W35" s="3249"/>
      <c r="X35" s="759"/>
      <c r="Y35" s="781"/>
      <c r="Z35" s="759"/>
      <c r="AA35" s="759"/>
      <c r="AB35" s="759"/>
      <c r="AC35" s="759"/>
    </row>
    <row r="36" spans="1:29" ht="15" thickBot="1">
      <c r="A36" s="486" t="s">
        <v>2659</v>
      </c>
      <c r="B36" s="487"/>
      <c r="C36" s="1408" t="e">
        <f>R37</f>
        <v>#DIV/0!</v>
      </c>
      <c r="D36" s="1409"/>
      <c r="E36" s="1410" t="e">
        <f>R36</f>
        <v>#DIV/0!</v>
      </c>
      <c r="F36" s="1410"/>
      <c r="G36" s="1408" t="e">
        <f>T36</f>
        <v>#DIV/0!</v>
      </c>
      <c r="H36" s="1409"/>
      <c r="I36" s="1410" t="e">
        <f>V36</f>
        <v>#DIV/0!</v>
      </c>
      <c r="J36" s="1409"/>
      <c r="K36" s="784"/>
      <c r="L36" s="1138"/>
      <c r="M36" s="1139"/>
      <c r="N36" s="1126"/>
      <c r="O36" s="1139"/>
      <c r="P36" s="3195" t="str">
        <f>A36</f>
        <v>比较价值（元/平方米）</v>
      </c>
      <c r="Q36" s="3195"/>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 thickBot="1">
      <c r="A37" s="492" t="s">
        <v>2660</v>
      </c>
      <c r="B37" s="493"/>
      <c r="C37" s="1412" t="e">
        <f>R37</f>
        <v>#DIV/0!</v>
      </c>
      <c r="D37" s="1412"/>
      <c r="E37" s="1412"/>
      <c r="F37" s="1412"/>
      <c r="G37" s="1412"/>
      <c r="H37" s="1412"/>
      <c r="I37" s="1412"/>
      <c r="J37" s="1412"/>
      <c r="K37" s="785"/>
      <c r="L37" s="1138"/>
      <c r="M37" s="1139"/>
      <c r="N37" s="1139"/>
      <c r="O37" s="1139"/>
      <c r="P37" s="3215" t="str">
        <f>A37</f>
        <v>估价对象XX用房的比较价值（楼面单价，元/平方米）</v>
      </c>
      <c r="Q37" s="3216"/>
      <c r="R37" s="3248" t="e">
        <f>IF(F1="售价",ROUND(AVERAGE(R36:V36),0),ROUND(AVERAGE(R36:V36),1))</f>
        <v>#DIV/0!</v>
      </c>
      <c r="S37" s="3248"/>
      <c r="T37" s="3248"/>
      <c r="U37" s="3248"/>
      <c r="V37" s="3248"/>
      <c r="W37" s="3248"/>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2.2" thickBot="1">
      <c r="A45" s="763" t="s">
        <v>2664</v>
      </c>
      <c r="B45" s="759"/>
      <c r="C45" s="764"/>
      <c r="D45" s="764"/>
      <c r="E45" s="764"/>
      <c r="F45" s="765"/>
      <c r="G45" s="765"/>
      <c r="H45" s="764"/>
      <c r="I45" s="764"/>
      <c r="J45" s="764"/>
      <c r="K45" s="766"/>
      <c r="L45" s="767"/>
      <c r="M45" s="764"/>
      <c r="N45" s="764"/>
      <c r="O45" s="764"/>
      <c r="P45" s="503"/>
      <c r="Q45" s="504"/>
    </row>
    <row r="46" spans="1:29" s="508" customFormat="1" ht="14.4">
      <c r="A46" s="505" t="s">
        <v>2538</v>
      </c>
      <c r="B46" s="506"/>
      <c r="C46" s="1568" t="str">
        <f>YEAR(C7)&amp;"-"&amp;MONTH(C7)</f>
        <v>2020-7</v>
      </c>
      <c r="D46" s="1569">
        <f>EDATE(C46,-1)</f>
        <v>43983</v>
      </c>
      <c r="E46" s="1569">
        <f t="shared" ref="E46:O46" si="16">EDATE(D46,-1)</f>
        <v>43952</v>
      </c>
      <c r="F46" s="1569">
        <f t="shared" si="16"/>
        <v>43922</v>
      </c>
      <c r="G46" s="1569">
        <f t="shared" si="16"/>
        <v>43891</v>
      </c>
      <c r="H46" s="1569">
        <f t="shared" si="16"/>
        <v>43862</v>
      </c>
      <c r="I46" s="1569">
        <f t="shared" si="16"/>
        <v>43831</v>
      </c>
      <c r="J46" s="1569">
        <f t="shared" si="16"/>
        <v>43800</v>
      </c>
      <c r="K46" s="1569">
        <f t="shared" si="16"/>
        <v>43770</v>
      </c>
      <c r="L46" s="1569">
        <f t="shared" si="16"/>
        <v>43739</v>
      </c>
      <c r="M46" s="1569">
        <f t="shared" si="16"/>
        <v>43709</v>
      </c>
      <c r="N46" s="1569">
        <f t="shared" si="16"/>
        <v>43678</v>
      </c>
      <c r="O46" s="1569">
        <f t="shared" si="16"/>
        <v>43647</v>
      </c>
      <c r="P46" s="507"/>
    </row>
    <row r="47" spans="1:29" s="117" customFormat="1">
      <c r="A47" s="509"/>
      <c r="B47" s="510"/>
      <c r="C47" s="1567">
        <v>100</v>
      </c>
      <c r="D47" s="512"/>
      <c r="E47" s="512"/>
      <c r="F47" s="512"/>
      <c r="G47" s="512"/>
      <c r="H47" s="512"/>
      <c r="I47" s="512"/>
      <c r="J47" s="512"/>
      <c r="K47" s="512"/>
      <c r="L47" s="512"/>
      <c r="M47" s="513"/>
      <c r="N47" s="512"/>
      <c r="O47" s="514"/>
      <c r="P47" s="504"/>
    </row>
    <row r="48" spans="1:29" s="117" customFormat="1" ht="15" thickBot="1">
      <c r="A48" s="515" t="s">
        <v>2575</v>
      </c>
      <c r="B48" s="516"/>
      <c r="C48" s="517"/>
      <c r="D48" s="518"/>
      <c r="E48" s="518"/>
      <c r="F48" s="518"/>
      <c r="G48" s="518"/>
      <c r="H48" s="518"/>
      <c r="I48" s="518"/>
      <c r="J48" s="518"/>
      <c r="K48" s="518"/>
      <c r="L48" s="518"/>
      <c r="M48" s="519"/>
      <c r="N48" s="518"/>
      <c r="O48" s="520"/>
      <c r="P48" s="504"/>
      <c r="Q48" s="504"/>
    </row>
    <row r="49" spans="1:17" s="117" customFormat="1" ht="14.4">
      <c r="A49" s="521" t="s">
        <v>2540</v>
      </c>
      <c r="B49" s="510"/>
      <c r="C49" s="522" t="s">
        <v>2642</v>
      </c>
      <c r="D49" s="523"/>
      <c r="E49" s="523"/>
      <c r="F49" s="523"/>
      <c r="G49" s="523"/>
      <c r="H49" s="523"/>
      <c r="I49" s="523"/>
      <c r="J49" s="523"/>
      <c r="K49" s="523"/>
      <c r="L49" s="524"/>
      <c r="M49" s="525"/>
      <c r="N49" s="1146"/>
      <c r="O49" s="1146"/>
      <c r="P49" s="526"/>
      <c r="Q49" s="504"/>
    </row>
    <row r="50" spans="1:17" s="117" customFormat="1" ht="14.4" thickBot="1">
      <c r="A50" s="521"/>
      <c r="B50" s="510"/>
      <c r="C50" s="639">
        <v>100</v>
      </c>
      <c r="D50" s="512"/>
      <c r="E50" s="512"/>
      <c r="F50" s="512"/>
      <c r="G50" s="512"/>
      <c r="H50" s="512"/>
      <c r="I50" s="512"/>
      <c r="J50" s="512"/>
      <c r="K50" s="512"/>
      <c r="L50" s="512"/>
      <c r="M50" s="514"/>
      <c r="N50" s="1146"/>
      <c r="O50" s="1146"/>
      <c r="P50" s="504"/>
      <c r="Q50" s="504"/>
    </row>
    <row r="51" spans="1:17" ht="14.4">
      <c r="A51" s="527" t="s">
        <v>2578</v>
      </c>
      <c r="B51" s="528" t="s">
        <v>2544</v>
      </c>
      <c r="C51" s="529">
        <f>C9</f>
        <v>0</v>
      </c>
      <c r="D51" s="530"/>
      <c r="E51" s="530"/>
      <c r="F51" s="530"/>
      <c r="G51" s="530"/>
      <c r="H51" s="530"/>
      <c r="I51" s="530"/>
      <c r="J51" s="530"/>
      <c r="K51" s="531"/>
      <c r="L51" s="532"/>
      <c r="M51" s="533"/>
      <c r="N51" s="1147"/>
      <c r="O51" s="1147"/>
      <c r="P51" s="45"/>
      <c r="Q51" s="504"/>
    </row>
    <row r="52" spans="1:17" ht="14.4" thickBot="1">
      <c r="A52" s="534"/>
      <c r="B52" s="535"/>
      <c r="C52" s="536">
        <v>100</v>
      </c>
      <c r="D52" s="536"/>
      <c r="E52" s="536"/>
      <c r="F52" s="536"/>
      <c r="G52" s="536"/>
      <c r="H52" s="536"/>
      <c r="I52" s="536"/>
      <c r="J52" s="536"/>
      <c r="K52" s="536"/>
      <c r="L52" s="536"/>
      <c r="M52" s="537"/>
      <c r="N52" s="1148"/>
      <c r="O52" s="1148"/>
      <c r="P52" s="45"/>
      <c r="Q52" s="504"/>
    </row>
    <row r="53" spans="1:17" ht="29.4" thickTop="1">
      <c r="A53" s="534"/>
      <c r="B53" s="538" t="s">
        <v>2547</v>
      </c>
      <c r="C53" s="539" t="s">
        <v>2579</v>
      </c>
      <c r="D53" s="539" t="s">
        <v>2580</v>
      </c>
      <c r="E53" s="539" t="s">
        <v>2581</v>
      </c>
      <c r="F53" s="539" t="s">
        <v>2582</v>
      </c>
      <c r="G53" s="539" t="s">
        <v>2583</v>
      </c>
      <c r="H53" s="539" t="s">
        <v>2584</v>
      </c>
      <c r="I53" s="539" t="s">
        <v>2585</v>
      </c>
      <c r="J53" s="539"/>
      <c r="K53" s="540"/>
      <c r="L53" s="541"/>
      <c r="M53" s="542"/>
      <c r="N53" s="1147"/>
      <c r="O53" s="1147"/>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4.4" thickTop="1">
      <c r="A55" s="534"/>
      <c r="B55" s="660">
        <f>B11</f>
        <v>111</v>
      </c>
      <c r="C55" s="549"/>
      <c r="D55" s="549"/>
      <c r="E55" s="549"/>
      <c r="F55" s="549"/>
      <c r="G55" s="549"/>
      <c r="H55" s="549"/>
      <c r="I55" s="549"/>
      <c r="J55" s="549"/>
      <c r="K55" s="550"/>
      <c r="L55" s="551"/>
      <c r="M55" s="552"/>
      <c r="N55" s="1147"/>
      <c r="O55" s="1147"/>
      <c r="P55" s="45"/>
      <c r="Q55" s="504"/>
    </row>
    <row r="56" spans="1:17" ht="14.4" thickBot="1">
      <c r="A56" s="534"/>
      <c r="B56" s="535"/>
      <c r="C56" s="560"/>
      <c r="D56" s="536"/>
      <c r="E56" s="536"/>
      <c r="F56" s="536"/>
      <c r="G56" s="536"/>
      <c r="H56" s="536"/>
      <c r="I56" s="536"/>
      <c r="J56" s="536"/>
      <c r="K56" s="536"/>
      <c r="L56" s="536"/>
      <c r="M56" s="537"/>
      <c r="N56" s="1148"/>
      <c r="O56" s="1148"/>
      <c r="P56" s="45"/>
      <c r="Q56" s="504"/>
    </row>
    <row r="57" spans="1:17" s="471" customFormat="1" ht="14.4" thickTop="1">
      <c r="A57" s="553"/>
      <c r="B57" s="538">
        <f>B12</f>
        <v>111</v>
      </c>
      <c r="C57" s="549"/>
      <c r="D57" s="549"/>
      <c r="E57" s="549"/>
      <c r="F57" s="549"/>
      <c r="G57" s="554"/>
      <c r="H57" s="555"/>
      <c r="I57" s="555"/>
      <c r="J57" s="555"/>
      <c r="K57" s="555"/>
      <c r="L57" s="556"/>
      <c r="M57" s="557"/>
      <c r="N57" s="1149"/>
      <c r="O57" s="1149"/>
      <c r="P57" s="558"/>
      <c r="Q57" s="559"/>
    </row>
    <row r="58" spans="1:17" s="471" customFormat="1" ht="14.4" thickBot="1">
      <c r="A58" s="553"/>
      <c r="B58" s="543"/>
      <c r="C58" s="560"/>
      <c r="D58" s="536"/>
      <c r="E58" s="536"/>
      <c r="F58" s="536"/>
      <c r="G58" s="536"/>
      <c r="H58" s="536"/>
      <c r="I58" s="536"/>
      <c r="J58" s="536"/>
      <c r="K58" s="536"/>
      <c r="L58" s="536"/>
      <c r="M58" s="537"/>
      <c r="N58" s="1148"/>
      <c r="O58" s="1148"/>
      <c r="P58" s="558"/>
      <c r="Q58" s="559"/>
    </row>
    <row r="59" spans="1:17" s="471" customFormat="1" ht="14.4" thickTop="1">
      <c r="A59" s="553"/>
      <c r="B59" s="538">
        <f>B13</f>
        <v>111</v>
      </c>
      <c r="C59" s="549"/>
      <c r="D59" s="549"/>
      <c r="E59" s="549"/>
      <c r="F59" s="549"/>
      <c r="G59" s="554"/>
      <c r="H59" s="555"/>
      <c r="I59" s="555"/>
      <c r="J59" s="555"/>
      <c r="K59" s="555"/>
      <c r="L59" s="556"/>
      <c r="M59" s="557"/>
      <c r="N59" s="1149"/>
      <c r="O59" s="1149"/>
      <c r="P59" s="470"/>
      <c r="Q59" s="561"/>
    </row>
    <row r="60" spans="1:17" s="471" customFormat="1" ht="14.4" thickBot="1">
      <c r="A60" s="553"/>
      <c r="B60" s="543"/>
      <c r="C60" s="560"/>
      <c r="D60" s="560"/>
      <c r="E60" s="560"/>
      <c r="F60" s="560"/>
      <c r="G60" s="560"/>
      <c r="H60" s="562"/>
      <c r="I60" s="562"/>
      <c r="J60" s="562"/>
      <c r="K60" s="562"/>
      <c r="L60" s="562"/>
      <c r="M60" s="563"/>
      <c r="N60" s="1149"/>
      <c r="O60" s="1149"/>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47"/>
      <c r="O61" s="1147"/>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9.4" thickTop="1">
      <c r="A63" s="534"/>
      <c r="B63" s="538" t="s">
        <v>2730</v>
      </c>
      <c r="C63" s="578" t="s">
        <v>2587</v>
      </c>
      <c r="D63" s="578" t="s">
        <v>2588</v>
      </c>
      <c r="E63" s="578" t="s">
        <v>2589</v>
      </c>
      <c r="F63" s="578" t="s">
        <v>2590</v>
      </c>
      <c r="G63" s="578" t="s">
        <v>2591</v>
      </c>
      <c r="H63" s="539"/>
      <c r="I63" s="539"/>
      <c r="J63" s="539"/>
      <c r="K63" s="540"/>
      <c r="L63" s="541"/>
      <c r="M63" s="542"/>
      <c r="N63" s="1147"/>
      <c r="O63" s="1147"/>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 thickTop="1">
      <c r="A65" s="534"/>
      <c r="B65" s="546" t="s">
        <v>2679</v>
      </c>
      <c r="C65" s="660" t="s">
        <v>2665</v>
      </c>
      <c r="D65" s="660" t="s">
        <v>2666</v>
      </c>
      <c r="E65" s="660" t="s">
        <v>2667</v>
      </c>
      <c r="F65" s="660" t="s">
        <v>2668</v>
      </c>
      <c r="G65" s="660" t="s">
        <v>2669</v>
      </c>
      <c r="H65" s="539"/>
      <c r="I65" s="539"/>
      <c r="J65" s="539"/>
      <c r="K65" s="539"/>
      <c r="L65" s="539"/>
      <c r="M65" s="1377"/>
      <c r="N65" s="1148"/>
      <c r="O65" s="1148"/>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 thickTop="1">
      <c r="A67" s="534"/>
      <c r="B67" s="538" t="s">
        <v>2599</v>
      </c>
      <c r="C67" s="578" t="s">
        <v>2587</v>
      </c>
      <c r="D67" s="578" t="s">
        <v>2588</v>
      </c>
      <c r="E67" s="578" t="s">
        <v>2589</v>
      </c>
      <c r="F67" s="578" t="s">
        <v>2590</v>
      </c>
      <c r="G67" s="578" t="s">
        <v>2591</v>
      </c>
      <c r="H67" s="539"/>
      <c r="I67" s="539"/>
      <c r="J67" s="539"/>
      <c r="K67" s="540"/>
      <c r="L67" s="541"/>
      <c r="M67" s="542"/>
      <c r="N67" s="1147"/>
      <c r="O67" s="1147"/>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 thickTop="1">
      <c r="A69" s="534"/>
      <c r="B69" s="538" t="s">
        <v>2719</v>
      </c>
      <c r="C69" s="554"/>
      <c r="D69" s="554"/>
      <c r="E69" s="554"/>
      <c r="F69" s="554"/>
      <c r="G69" s="554"/>
      <c r="H69" s="583"/>
      <c r="I69" s="583"/>
      <c r="J69" s="583"/>
      <c r="K69" s="584"/>
      <c r="L69" s="585"/>
      <c r="M69" s="586"/>
      <c r="N69" s="1147"/>
      <c r="O69" s="1147"/>
      <c r="P69" s="45"/>
      <c r="Q69" s="504"/>
    </row>
    <row r="70" spans="1:17" ht="14.4"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4.4" thickTop="1">
      <c r="A71" s="579"/>
      <c r="B71" s="538">
        <f>B23</f>
        <v>111</v>
      </c>
      <c r="C71" s="549"/>
      <c r="D71" s="549"/>
      <c r="E71" s="549"/>
      <c r="F71" s="549"/>
      <c r="G71" s="554"/>
      <c r="H71" s="554"/>
      <c r="I71" s="554"/>
      <c r="J71" s="554"/>
      <c r="K71" s="554"/>
      <c r="L71" s="580"/>
      <c r="M71" s="581"/>
      <c r="N71" s="1146"/>
      <c r="O71" s="1146"/>
      <c r="P71" s="45"/>
      <c r="Q71" s="504"/>
    </row>
    <row r="72" spans="1:17" s="117" customFormat="1" ht="14.4" thickBot="1">
      <c r="A72" s="579"/>
      <c r="B72" s="543"/>
      <c r="C72" s="560"/>
      <c r="D72" s="536"/>
      <c r="E72" s="536"/>
      <c r="F72" s="536"/>
      <c r="G72" s="536"/>
      <c r="H72" s="536"/>
      <c r="I72" s="536"/>
      <c r="J72" s="536"/>
      <c r="K72" s="536"/>
      <c r="L72" s="536"/>
      <c r="M72" s="537"/>
      <c r="N72" s="1148"/>
      <c r="O72" s="1148"/>
      <c r="P72" s="45"/>
      <c r="Q72" s="504"/>
    </row>
    <row r="73" spans="1:17" s="117" customFormat="1" ht="14.4" thickTop="1">
      <c r="A73" s="579"/>
      <c r="B73" s="538">
        <f>B24</f>
        <v>111</v>
      </c>
      <c r="C73" s="549"/>
      <c r="D73" s="549"/>
      <c r="E73" s="549"/>
      <c r="F73" s="549"/>
      <c r="G73" s="554"/>
      <c r="H73" s="554"/>
      <c r="I73" s="554"/>
      <c r="J73" s="554"/>
      <c r="K73" s="554"/>
      <c r="L73" s="554"/>
      <c r="M73" s="581"/>
      <c r="N73" s="1146"/>
      <c r="O73" s="1146"/>
      <c r="P73" s="45"/>
      <c r="Q73" s="504"/>
    </row>
    <row r="74" spans="1:17" s="117" customFormat="1" ht="14.4" thickBot="1">
      <c r="A74" s="579"/>
      <c r="B74" s="543"/>
      <c r="C74" s="560"/>
      <c r="D74" s="536"/>
      <c r="E74" s="536"/>
      <c r="F74" s="536"/>
      <c r="G74" s="536"/>
      <c r="H74" s="536"/>
      <c r="I74" s="536"/>
      <c r="J74" s="536"/>
      <c r="K74" s="536"/>
      <c r="L74" s="536"/>
      <c r="M74" s="537"/>
      <c r="N74" s="1148"/>
      <c r="O74" s="1148"/>
      <c r="P74" s="45"/>
      <c r="Q74" s="504"/>
    </row>
    <row r="75" spans="1:17" s="471" customFormat="1" ht="14.4" thickTop="1">
      <c r="A75" s="553"/>
      <c r="B75" s="538">
        <f>B25</f>
        <v>111</v>
      </c>
      <c r="C75" s="549"/>
      <c r="D75" s="549"/>
      <c r="E75" s="549"/>
      <c r="F75" s="549"/>
      <c r="G75" s="554"/>
      <c r="H75" s="555"/>
      <c r="I75" s="555"/>
      <c r="J75" s="555"/>
      <c r="K75" s="555"/>
      <c r="L75" s="556"/>
      <c r="M75" s="557"/>
      <c r="N75" s="1149"/>
      <c r="O75" s="1149"/>
      <c r="P75" s="558"/>
      <c r="Q75" s="559"/>
    </row>
    <row r="76" spans="1:17" s="471" customFormat="1" ht="14.4" thickBot="1">
      <c r="A76" s="553"/>
      <c r="B76" s="543"/>
      <c r="C76" s="560"/>
      <c r="D76" s="560"/>
      <c r="E76" s="560"/>
      <c r="F76" s="560"/>
      <c r="G76" s="536"/>
      <c r="H76" s="536"/>
      <c r="I76" s="536"/>
      <c r="J76" s="536"/>
      <c r="K76" s="536"/>
      <c r="L76" s="536"/>
      <c r="M76" s="537"/>
      <c r="N76" s="1149"/>
      <c r="O76" s="1149"/>
      <c r="P76" s="558"/>
      <c r="Q76" s="559"/>
    </row>
    <row r="77" spans="1:17" ht="15" thickTop="1">
      <c r="A77" s="527" t="s">
        <v>2553</v>
      </c>
      <c r="B77" s="528" t="s">
        <v>2606</v>
      </c>
      <c r="C77" s="554"/>
      <c r="D77" s="554"/>
      <c r="E77" s="530"/>
      <c r="F77" s="530"/>
      <c r="G77" s="530"/>
      <c r="H77" s="530"/>
      <c r="I77" s="530"/>
      <c r="J77" s="530"/>
      <c r="K77" s="531"/>
      <c r="L77" s="532"/>
      <c r="M77" s="533"/>
      <c r="N77" s="1147"/>
      <c r="O77" s="1147"/>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2723</v>
      </c>
      <c r="C82" s="554"/>
      <c r="D82" s="554"/>
      <c r="E82" s="583"/>
      <c r="F82" s="583"/>
      <c r="G82" s="583"/>
      <c r="H82" s="583"/>
      <c r="I82" s="583"/>
      <c r="J82" s="583"/>
      <c r="K82" s="584"/>
      <c r="L82" s="585"/>
      <c r="M82" s="586"/>
      <c r="N82" s="1147"/>
      <c r="O82" s="1147"/>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2731</v>
      </c>
      <c r="C84" s="554"/>
      <c r="D84" s="554"/>
      <c r="E84" s="554"/>
      <c r="F84" s="554"/>
      <c r="G84" s="554"/>
      <c r="H84" s="554"/>
      <c r="I84" s="583"/>
      <c r="J84" s="583"/>
      <c r="K84" s="584"/>
      <c r="L84" s="585"/>
      <c r="M84" s="586"/>
      <c r="N84" s="1147"/>
      <c r="O84" s="1147"/>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4.4"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2733</v>
      </c>
      <c r="C89" s="554"/>
      <c r="D89" s="554"/>
      <c r="E89" s="554"/>
      <c r="F89" s="554"/>
      <c r="G89" s="554"/>
      <c r="H89" s="554"/>
      <c r="I89" s="554"/>
      <c r="J89" s="554"/>
      <c r="K89" s="554"/>
      <c r="L89" s="554"/>
      <c r="M89" s="581"/>
      <c r="N89" s="1149"/>
      <c r="O89" s="1149"/>
      <c r="P89" s="558"/>
      <c r="Q89" s="559"/>
    </row>
    <row r="90" spans="1:17" s="471" customFormat="1" ht="14.4" thickBot="1">
      <c r="A90" s="553"/>
      <c r="B90" s="543"/>
      <c r="C90" s="560"/>
      <c r="D90" s="536"/>
      <c r="E90" s="536"/>
      <c r="F90" s="536"/>
      <c r="G90" s="536"/>
      <c r="H90" s="536"/>
      <c r="I90" s="536"/>
      <c r="J90" s="536"/>
      <c r="K90" s="536"/>
      <c r="L90" s="536"/>
      <c r="M90" s="537"/>
      <c r="N90" s="1149"/>
      <c r="O90" s="1149"/>
      <c r="P90" s="558"/>
      <c r="Q90" s="559"/>
    </row>
    <row r="91" spans="1:17" ht="14.4" thickTop="1">
      <c r="A91" s="599"/>
      <c r="B91" s="538">
        <f>B32</f>
        <v>111</v>
      </c>
      <c r="C91" s="549"/>
      <c r="D91" s="549"/>
      <c r="E91" s="549"/>
      <c r="F91" s="549"/>
      <c r="G91" s="554"/>
      <c r="H91" s="555"/>
      <c r="I91" s="555"/>
      <c r="J91" s="555"/>
      <c r="K91" s="555"/>
      <c r="L91" s="556"/>
      <c r="M91" s="557"/>
      <c r="N91" s="1147"/>
      <c r="O91" s="1147"/>
      <c r="P91" s="45"/>
      <c r="Q91" s="504"/>
    </row>
    <row r="92" spans="1:17" ht="14.4" thickBot="1">
      <c r="A92" s="534"/>
      <c r="B92" s="543"/>
      <c r="C92" s="560"/>
      <c r="D92" s="536"/>
      <c r="E92" s="536"/>
      <c r="F92" s="536"/>
      <c r="G92" s="560"/>
      <c r="H92" s="562"/>
      <c r="I92" s="562"/>
      <c r="J92" s="562"/>
      <c r="K92" s="562"/>
      <c r="L92" s="562"/>
      <c r="M92" s="563"/>
      <c r="N92" s="1148"/>
      <c r="O92" s="1148"/>
      <c r="P92" s="45"/>
      <c r="Q92" s="504"/>
    </row>
    <row r="93" spans="1:17" ht="14.4" thickTop="1">
      <c r="A93" s="599"/>
      <c r="B93" s="538">
        <f>B33</f>
        <v>111</v>
      </c>
      <c r="C93" s="549"/>
      <c r="D93" s="549"/>
      <c r="E93" s="549"/>
      <c r="F93" s="549"/>
      <c r="G93" s="554"/>
      <c r="H93" s="555"/>
      <c r="I93" s="555"/>
      <c r="J93" s="555"/>
      <c r="K93" s="555"/>
      <c r="L93" s="556"/>
      <c r="M93" s="557"/>
      <c r="N93" s="1147"/>
      <c r="O93" s="1147"/>
      <c r="P93" s="45"/>
      <c r="Q93" s="504"/>
    </row>
    <row r="94" spans="1:17" ht="14.4" thickBot="1">
      <c r="A94" s="534"/>
      <c r="B94" s="543"/>
      <c r="C94" s="560"/>
      <c r="D94" s="536"/>
      <c r="E94" s="536"/>
      <c r="F94" s="536"/>
      <c r="G94" s="560"/>
      <c r="H94" s="562"/>
      <c r="I94" s="562"/>
      <c r="J94" s="562"/>
      <c r="K94" s="562"/>
      <c r="L94" s="562"/>
      <c r="M94" s="563"/>
      <c r="N94" s="1148"/>
      <c r="O94" s="1148"/>
      <c r="P94" s="45"/>
      <c r="Q94" s="504"/>
    </row>
    <row r="95" spans="1:17" ht="14.4" thickTop="1">
      <c r="A95" s="599"/>
      <c r="B95" s="636">
        <f>B34</f>
        <v>111</v>
      </c>
      <c r="C95" s="549"/>
      <c r="D95" s="549"/>
      <c r="E95" s="549"/>
      <c r="F95" s="549"/>
      <c r="G95" s="554"/>
      <c r="H95" s="555"/>
      <c r="I95" s="555"/>
      <c r="J95" s="555"/>
      <c r="K95" s="555"/>
      <c r="L95" s="556"/>
      <c r="M95" s="557"/>
      <c r="N95" s="1148"/>
      <c r="O95" s="1148"/>
      <c r="P95" s="637"/>
      <c r="Q95" s="638"/>
    </row>
    <row r="96" spans="1:17" ht="14.4" thickBot="1">
      <c r="A96" s="534"/>
      <c r="B96" s="543"/>
      <c r="C96" s="560"/>
      <c r="D96" s="560"/>
      <c r="E96" s="560"/>
      <c r="F96" s="560"/>
      <c r="G96" s="560"/>
      <c r="H96" s="562"/>
      <c r="I96" s="562"/>
      <c r="J96" s="562"/>
      <c r="K96" s="562"/>
      <c r="L96" s="562"/>
      <c r="M96" s="563"/>
      <c r="N96" s="1148"/>
      <c r="O96" s="1148"/>
      <c r="P96" s="45"/>
      <c r="Q96" s="504"/>
    </row>
    <row r="97" spans="1:20" ht="14.4"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77"/>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4.4">
      <c r="A4" s="401" t="s">
        <v>2635</v>
      </c>
      <c r="B4" s="402"/>
      <c r="C4" s="3196" t="s">
        <v>2636</v>
      </c>
      <c r="D4" s="3197"/>
      <c r="E4" s="3198" t="s">
        <v>2637</v>
      </c>
      <c r="F4" s="3199"/>
      <c r="G4" s="3196" t="s">
        <v>2638</v>
      </c>
      <c r="H4" s="3197"/>
      <c r="I4" s="3196" t="s">
        <v>2639</v>
      </c>
      <c r="J4" s="3197"/>
      <c r="K4" s="610" t="s">
        <v>2640</v>
      </c>
      <c r="L4" s="1125"/>
      <c r="M4" s="1126"/>
      <c r="N4" s="1126"/>
      <c r="O4" s="1126"/>
      <c r="P4" s="3200" t="s">
        <v>2641</v>
      </c>
      <c r="Q4" s="3201"/>
      <c r="R4" s="3183" t="s">
        <v>2637</v>
      </c>
      <c r="S4" s="3184"/>
      <c r="T4" s="3183" t="s">
        <v>2638</v>
      </c>
      <c r="U4" s="3184"/>
      <c r="V4" s="3208" t="s">
        <v>2639</v>
      </c>
      <c r="W4" s="3208"/>
      <c r="X4" s="1799"/>
      <c r="Y4" s="3183" t="s">
        <v>2641</v>
      </c>
      <c r="Z4" s="3184"/>
      <c r="AA4" s="3178" t="s">
        <v>2637</v>
      </c>
      <c r="AB4" s="3179" t="s">
        <v>2638</v>
      </c>
      <c r="AC4" s="3178" t="s">
        <v>2639</v>
      </c>
    </row>
    <row r="5" spans="1:29">
      <c r="A5" s="404"/>
      <c r="B5" s="405"/>
      <c r="C5" s="3189" t="s">
        <v>2532</v>
      </c>
      <c r="D5" s="3190"/>
      <c r="E5" s="3187" t="s">
        <v>2533</v>
      </c>
      <c r="F5" s="3188"/>
      <c r="G5" s="3189" t="s">
        <v>2534</v>
      </c>
      <c r="H5" s="3190"/>
      <c r="I5" s="3189" t="s">
        <v>2535</v>
      </c>
      <c r="J5" s="3190"/>
      <c r="K5" s="610"/>
      <c r="L5" s="1125"/>
      <c r="M5" s="1126"/>
      <c r="N5" s="1126"/>
      <c r="O5" s="1126"/>
      <c r="P5" s="3202"/>
      <c r="Q5" s="3203"/>
      <c r="R5" s="3185"/>
      <c r="S5" s="3186"/>
      <c r="T5" s="3185"/>
      <c r="U5" s="3186"/>
      <c r="V5" s="3208"/>
      <c r="W5" s="3208"/>
      <c r="X5" s="1799"/>
      <c r="Y5" s="3185"/>
      <c r="Z5" s="3186"/>
      <c r="AA5" s="3179"/>
      <c r="AB5" s="3179"/>
      <c r="AC5" s="3179"/>
    </row>
    <row r="6" spans="1:29" ht="15" thickBot="1">
      <c r="A6" s="406"/>
      <c r="B6" s="407"/>
      <c r="C6" s="3271" t="s">
        <v>2787</v>
      </c>
      <c r="D6" s="3272"/>
      <c r="E6" s="3273" t="s">
        <v>2787</v>
      </c>
      <c r="F6" s="3274"/>
      <c r="G6" s="3271" t="s">
        <v>2787</v>
      </c>
      <c r="H6" s="3272"/>
      <c r="I6" s="3271" t="s">
        <v>2787</v>
      </c>
      <c r="J6" s="3272"/>
      <c r="K6" s="610" t="s">
        <v>2537</v>
      </c>
      <c r="L6" s="1125"/>
      <c r="M6" s="1126"/>
      <c r="N6" s="1126"/>
      <c r="O6" s="1126"/>
      <c r="P6" s="3204"/>
      <c r="Q6" s="3205"/>
      <c r="R6" s="3185"/>
      <c r="S6" s="3186"/>
      <c r="T6" s="3206"/>
      <c r="U6" s="3207"/>
      <c r="V6" s="3208"/>
      <c r="W6" s="3208"/>
      <c r="X6" s="1799"/>
      <c r="Y6" s="3206"/>
      <c r="Z6" s="3207"/>
      <c r="AA6" s="3180"/>
      <c r="AB6" s="3180"/>
      <c r="AC6" s="3180"/>
    </row>
    <row r="7" spans="1:29" s="117" customFormat="1" ht="15" thickBot="1">
      <c r="A7" s="408" t="s">
        <v>2538</v>
      </c>
      <c r="B7" s="409"/>
      <c r="C7" s="410">
        <f>'数据-取费表'!B2</f>
        <v>44020</v>
      </c>
      <c r="D7" s="411">
        <v>100</v>
      </c>
      <c r="E7" s="412"/>
      <c r="F7" s="413">
        <f>SUMIF(65:65,YEAR(E7)&amp;"-"&amp;INT((MONTH(E7)+2)/3),66:66)</f>
        <v>0</v>
      </c>
      <c r="G7" s="2684"/>
      <c r="H7" s="411">
        <f>SUMIF(65:65,YEAR(G7)&amp;"-"&amp;INT((MONTH(G7)+2)/3),66:66)</f>
        <v>0</v>
      </c>
      <c r="I7" s="2684"/>
      <c r="J7" s="411">
        <f>SUMIF(65:65,YEAR(I7)&amp;"-"&amp;INT((MONTH(I7)+2)/3),66:66)</f>
        <v>0</v>
      </c>
      <c r="K7" s="611"/>
      <c r="L7" s="1127"/>
      <c r="M7" s="1128"/>
      <c r="N7" s="1128"/>
      <c r="O7" s="1128"/>
      <c r="P7" s="3181" t="s">
        <v>2539</v>
      </c>
      <c r="Q7" s="3209"/>
      <c r="R7" s="770" t="s">
        <v>17</v>
      </c>
      <c r="S7" s="771">
        <f t="shared" ref="S7:S15" si="0">F7</f>
        <v>0</v>
      </c>
      <c r="T7" s="770" t="s">
        <v>17</v>
      </c>
      <c r="U7" s="771">
        <f t="shared" ref="U7:U15" si="1">H7</f>
        <v>0</v>
      </c>
      <c r="V7" s="770" t="s">
        <v>17</v>
      </c>
      <c r="W7" s="771">
        <f t="shared" ref="W7:W15" si="2">J7</f>
        <v>0</v>
      </c>
      <c r="X7" s="772"/>
      <c r="Y7" s="3181" t="s">
        <v>2539</v>
      </c>
      <c r="Z7" s="3182"/>
      <c r="AA7" s="773" t="e">
        <f>D7/F7</f>
        <v>#DIV/0!</v>
      </c>
      <c r="AB7" s="773" t="e">
        <f>D7/H7</f>
        <v>#DIV/0!</v>
      </c>
      <c r="AC7" s="773" t="e">
        <f>D7/J7</f>
        <v>#DIV/0!</v>
      </c>
    </row>
    <row r="8" spans="1:29" s="117" customFormat="1" ht="1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81" t="s">
        <v>2542</v>
      </c>
      <c r="Q8" s="3182"/>
      <c r="R8" s="770" t="s">
        <v>17</v>
      </c>
      <c r="S8" s="771">
        <f t="shared" si="0"/>
        <v>0</v>
      </c>
      <c r="T8" s="770" t="s">
        <v>17</v>
      </c>
      <c r="U8" s="771">
        <f t="shared" si="1"/>
        <v>0</v>
      </c>
      <c r="V8" s="770" t="s">
        <v>17</v>
      </c>
      <c r="W8" s="771">
        <f t="shared" si="2"/>
        <v>0</v>
      </c>
      <c r="X8" s="772"/>
      <c r="Y8" s="3181" t="s">
        <v>2542</v>
      </c>
      <c r="Z8" s="3182"/>
      <c r="AA8" s="773" t="e">
        <f t="shared" ref="AA8:AA40" si="3">D8/F8</f>
        <v>#DIV/0!</v>
      </c>
      <c r="AB8" s="773" t="e">
        <f t="shared" ref="AB8:AB40" si="4">D8/H8</f>
        <v>#DIV/0!</v>
      </c>
      <c r="AC8" s="773" t="e">
        <f t="shared" ref="AC8:AC40" si="5">D8/J8</f>
        <v>#DIV/0!</v>
      </c>
    </row>
    <row r="9" spans="1:29" s="117" customFormat="1" ht="14.4">
      <c r="A9" s="415" t="s">
        <v>2543</v>
      </c>
      <c r="B9" s="71" t="s">
        <v>2544</v>
      </c>
      <c r="C9" s="2687"/>
      <c r="D9" s="135">
        <v>100</v>
      </c>
      <c r="E9" s="2687"/>
      <c r="F9" s="135">
        <f>SUMIF(70:70,E9,71:71)-SUMIF(70:70,C9,71:71)+100</f>
        <v>100</v>
      </c>
      <c r="G9" s="2687"/>
      <c r="H9" s="135">
        <f>SUMIF(70:70,G9,71:71)-SUMIF(70:70,C9,71:71)+100</f>
        <v>100</v>
      </c>
      <c r="I9" s="2687"/>
      <c r="J9" s="135">
        <f>SUMIF(70:70,I9,71:71)-SUMIF(70:70,C9,71:71)+100</f>
        <v>100</v>
      </c>
      <c r="K9" s="611"/>
      <c r="L9" s="1127"/>
      <c r="M9" s="1128"/>
      <c r="N9" s="1128"/>
      <c r="O9" s="1129"/>
      <c r="P9" s="3195" t="s">
        <v>2545</v>
      </c>
      <c r="Q9" s="1781" t="str">
        <f t="shared" ref="Q9:Q15" si="6">B9</f>
        <v>用途</v>
      </c>
      <c r="R9" s="770" t="s">
        <v>17</v>
      </c>
      <c r="S9" s="771">
        <f t="shared" si="0"/>
        <v>100</v>
      </c>
      <c r="T9" s="770" t="s">
        <v>17</v>
      </c>
      <c r="U9" s="771">
        <f t="shared" si="1"/>
        <v>100</v>
      </c>
      <c r="V9" s="770" t="s">
        <v>17</v>
      </c>
      <c r="W9" s="771">
        <f t="shared" si="2"/>
        <v>100</v>
      </c>
      <c r="X9" s="772"/>
      <c r="Y9" s="3053" t="s">
        <v>2546</v>
      </c>
      <c r="Z9" s="55" t="str">
        <f t="shared" ref="Z9:Z15" si="7">Q9</f>
        <v>用途</v>
      </c>
      <c r="AA9" s="773">
        <f t="shared" si="3"/>
        <v>1</v>
      </c>
      <c r="AB9" s="773">
        <f t="shared" si="4"/>
        <v>1</v>
      </c>
      <c r="AC9" s="773">
        <f t="shared" si="5"/>
        <v>1</v>
      </c>
    </row>
    <row r="10" spans="1:29" s="427" customFormat="1" ht="28.8">
      <c r="A10" s="421"/>
      <c r="B10" s="422" t="s">
        <v>2547</v>
      </c>
      <c r="C10" s="432"/>
      <c r="D10" s="136">
        <v>100</v>
      </c>
      <c r="E10" s="432"/>
      <c r="F10" s="136">
        <f>ROUND(100/'数据-取费表'!G16,0)</f>
        <v>130</v>
      </c>
      <c r="G10" s="432"/>
      <c r="H10" s="136">
        <f>ROUND(100/'数据-取费表'!G16,0)</f>
        <v>130</v>
      </c>
      <c r="I10" s="432"/>
      <c r="J10" s="136">
        <f>ROUND(100/'数据-取费表'!G16,0)</f>
        <v>130</v>
      </c>
      <c r="K10" s="672"/>
      <c r="L10" s="1130"/>
      <c r="M10" s="1131"/>
      <c r="N10" s="1131"/>
      <c r="O10" s="1132"/>
      <c r="P10" s="3195"/>
      <c r="Q10" s="1781" t="str">
        <f t="shared" si="6"/>
        <v>土地使用年限（年）</v>
      </c>
      <c r="R10" s="770" t="s">
        <v>17</v>
      </c>
      <c r="S10" s="771">
        <f t="shared" si="0"/>
        <v>130</v>
      </c>
      <c r="T10" s="770" t="s">
        <v>17</v>
      </c>
      <c r="U10" s="771">
        <f t="shared" si="1"/>
        <v>130</v>
      </c>
      <c r="V10" s="770" t="s">
        <v>17</v>
      </c>
      <c r="W10" s="771">
        <f t="shared" si="2"/>
        <v>130</v>
      </c>
      <c r="X10" s="772"/>
      <c r="Y10" s="3053"/>
      <c r="Z10" s="55" t="str">
        <f t="shared" si="7"/>
        <v>土地使用年限（年）</v>
      </c>
      <c r="AA10" s="773">
        <f t="shared" si="3"/>
        <v>0.76923076923076927</v>
      </c>
      <c r="AB10" s="773">
        <f t="shared" si="4"/>
        <v>0.76923076923076927</v>
      </c>
      <c r="AC10" s="773">
        <f t="shared" si="5"/>
        <v>0.76923076923076927</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95"/>
      <c r="Q11" s="1781"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95"/>
      <c r="Q12" s="1781">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95"/>
      <c r="Q13" s="1781">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6"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95"/>
      <c r="Q14" s="1781">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2549</v>
      </c>
      <c r="B15" s="629" t="s">
        <v>2788</v>
      </c>
      <c r="C15" s="268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10" t="s">
        <v>2550</v>
      </c>
      <c r="Q15" s="1796" t="str">
        <f t="shared" si="6"/>
        <v>产业集聚程度</v>
      </c>
      <c r="R15" s="774" t="s">
        <v>17</v>
      </c>
      <c r="S15" s="775">
        <f t="shared" si="0"/>
        <v>100</v>
      </c>
      <c r="T15" s="774" t="s">
        <v>17</v>
      </c>
      <c r="U15" s="775">
        <f t="shared" si="1"/>
        <v>100</v>
      </c>
      <c r="V15" s="774" t="s">
        <v>17</v>
      </c>
      <c r="W15" s="775">
        <f t="shared" si="2"/>
        <v>100</v>
      </c>
      <c r="X15" s="1799"/>
      <c r="Y15" s="3210" t="s">
        <v>2550</v>
      </c>
      <c r="Z15" s="1800" t="str">
        <f t="shared" si="7"/>
        <v>产业集聚程度</v>
      </c>
      <c r="AA15" s="1797">
        <f t="shared" si="3"/>
        <v>1</v>
      </c>
      <c r="AB15" s="1797">
        <f t="shared" si="4"/>
        <v>1</v>
      </c>
      <c r="AC15" s="1797">
        <f t="shared" si="5"/>
        <v>1</v>
      </c>
    </row>
    <row r="16" spans="1:29" ht="15">
      <c r="A16" s="428"/>
      <c r="B16" s="630"/>
      <c r="C16" s="447"/>
      <c r="D16" s="448"/>
      <c r="E16" s="2599"/>
      <c r="F16" s="448"/>
      <c r="G16" s="2599"/>
      <c r="H16" s="450"/>
      <c r="I16" s="2599"/>
      <c r="J16" s="448"/>
      <c r="K16" s="672"/>
      <c r="L16" s="1135"/>
      <c r="M16" s="1126"/>
      <c r="N16" s="1126"/>
      <c r="O16" s="1134"/>
      <c r="P16" s="3211"/>
      <c r="Q16" s="1796"/>
      <c r="R16" s="774"/>
      <c r="S16" s="775"/>
      <c r="T16" s="774"/>
      <c r="U16" s="775"/>
      <c r="V16" s="774"/>
      <c r="W16" s="775"/>
      <c r="X16" s="1799"/>
      <c r="Y16" s="3211"/>
      <c r="Z16" s="1800"/>
      <c r="AA16" s="1797">
        <v>1</v>
      </c>
      <c r="AB16" s="1797">
        <v>1</v>
      </c>
      <c r="AC16" s="1797">
        <v>1</v>
      </c>
    </row>
    <row r="17" spans="1:29" ht="15">
      <c r="A17" s="428"/>
      <c r="B17" s="631" t="s">
        <v>2699</v>
      </c>
      <c r="C17" s="259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11"/>
      <c r="Q17" s="1796" t="str">
        <f>B17</f>
        <v>交通便捷度</v>
      </c>
      <c r="R17" s="774" t="s">
        <v>17</v>
      </c>
      <c r="S17" s="775">
        <f>F17</f>
        <v>100</v>
      </c>
      <c r="T17" s="774" t="s">
        <v>17</v>
      </c>
      <c r="U17" s="775">
        <f>H17</f>
        <v>100</v>
      </c>
      <c r="V17" s="774" t="s">
        <v>17</v>
      </c>
      <c r="W17" s="775">
        <f>J17</f>
        <v>100</v>
      </c>
      <c r="X17" s="1799"/>
      <c r="Y17" s="3211"/>
      <c r="Z17" s="1800" t="str">
        <f>Q17</f>
        <v>交通便捷度</v>
      </c>
      <c r="AA17" s="1797">
        <f t="shared" si="3"/>
        <v>1</v>
      </c>
      <c r="AB17" s="1797">
        <f t="shared" si="4"/>
        <v>1</v>
      </c>
      <c r="AC17" s="1797">
        <f t="shared" si="5"/>
        <v>1</v>
      </c>
    </row>
    <row r="18" spans="1:29" ht="15">
      <c r="A18" s="428"/>
      <c r="B18" s="632"/>
      <c r="C18" s="447"/>
      <c r="D18" s="448"/>
      <c r="E18" s="2593"/>
      <c r="F18" s="448"/>
      <c r="G18" s="2593"/>
      <c r="H18" s="448"/>
      <c r="I18" s="2592"/>
      <c r="J18" s="448"/>
      <c r="K18" s="672"/>
      <c r="L18" s="1135"/>
      <c r="M18" s="1126"/>
      <c r="N18" s="1126"/>
      <c r="O18" s="1134"/>
      <c r="P18" s="3211"/>
      <c r="Q18" s="1796"/>
      <c r="R18" s="774"/>
      <c r="S18" s="775"/>
      <c r="T18" s="774"/>
      <c r="U18" s="775"/>
      <c r="V18" s="774"/>
      <c r="W18" s="775"/>
      <c r="X18" s="1799"/>
      <c r="Y18" s="3211"/>
      <c r="Z18" s="1800"/>
      <c r="AA18" s="1797">
        <v>1</v>
      </c>
      <c r="AB18" s="1797">
        <v>1</v>
      </c>
      <c r="AC18" s="1797">
        <v>1</v>
      </c>
    </row>
    <row r="19" spans="1:29" ht="28.8">
      <c r="A19" s="428"/>
      <c r="B19" s="631" t="s">
        <v>2738</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11"/>
      <c r="Q19" s="1796" t="str">
        <f t="shared" ref="Q19:Q33" si="8">B19</f>
        <v>区域土地利用方向</v>
      </c>
      <c r="R19" s="774" t="s">
        <v>17</v>
      </c>
      <c r="S19" s="775">
        <f>F19</f>
        <v>100</v>
      </c>
      <c r="T19" s="774" t="s">
        <v>17</v>
      </c>
      <c r="U19" s="775">
        <f>H19</f>
        <v>100</v>
      </c>
      <c r="V19" s="774" t="s">
        <v>17</v>
      </c>
      <c r="W19" s="775">
        <f>J19</f>
        <v>100</v>
      </c>
      <c r="X19" s="1799"/>
      <c r="Y19" s="3211"/>
      <c r="Z19" s="1800" t="str">
        <f>Q19</f>
        <v>区域土地利用方向</v>
      </c>
      <c r="AA19" s="1797">
        <f t="shared" si="3"/>
        <v>1</v>
      </c>
      <c r="AB19" s="1797">
        <f t="shared" si="4"/>
        <v>1</v>
      </c>
      <c r="AC19" s="1797">
        <f t="shared" si="5"/>
        <v>1</v>
      </c>
    </row>
    <row r="20" spans="1:29" ht="15">
      <c r="A20" s="404"/>
      <c r="B20" s="632"/>
      <c r="C20" s="447"/>
      <c r="D20" s="448"/>
      <c r="E20" s="2593"/>
      <c r="F20" s="448"/>
      <c r="G20" s="2593"/>
      <c r="H20" s="448"/>
      <c r="I20" s="2593"/>
      <c r="J20" s="448"/>
      <c r="K20" s="807"/>
      <c r="L20" s="1135"/>
      <c r="M20" s="1126"/>
      <c r="N20" s="1126"/>
      <c r="O20" s="1134"/>
      <c r="P20" s="3211"/>
      <c r="Q20" s="1796"/>
      <c r="R20" s="774"/>
      <c r="S20" s="775"/>
      <c r="T20" s="774"/>
      <c r="U20" s="775"/>
      <c r="V20" s="774"/>
      <c r="W20" s="775"/>
      <c r="X20" s="1799"/>
      <c r="Y20" s="3211"/>
      <c r="Z20" s="1800"/>
      <c r="AA20" s="1797"/>
      <c r="AB20" s="1797"/>
      <c r="AC20" s="1797"/>
    </row>
    <row r="21" spans="1:29" ht="15">
      <c r="A21" s="404"/>
      <c r="B21" s="631" t="s">
        <v>2789</v>
      </c>
      <c r="C21" s="259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11"/>
      <c r="Q21" s="1796" t="str">
        <f t="shared" si="8"/>
        <v>环境状况</v>
      </c>
      <c r="R21" s="774" t="s">
        <v>17</v>
      </c>
      <c r="S21" s="775">
        <f>F21</f>
        <v>100</v>
      </c>
      <c r="T21" s="774" t="s">
        <v>17</v>
      </c>
      <c r="U21" s="775">
        <f>H21</f>
        <v>100</v>
      </c>
      <c r="V21" s="774" t="s">
        <v>17</v>
      </c>
      <c r="W21" s="775">
        <f>J21</f>
        <v>100</v>
      </c>
      <c r="X21" s="1799"/>
      <c r="Y21" s="3211"/>
      <c r="Z21" s="1800" t="str">
        <f>Q21</f>
        <v>环境状况</v>
      </c>
      <c r="AA21" s="1797">
        <f t="shared" si="3"/>
        <v>1</v>
      </c>
      <c r="AB21" s="1797">
        <f t="shared" si="4"/>
        <v>1</v>
      </c>
      <c r="AC21" s="1797">
        <f t="shared" si="5"/>
        <v>1</v>
      </c>
    </row>
    <row r="22" spans="1:29" ht="15">
      <c r="A22" s="404"/>
      <c r="B22" s="632"/>
      <c r="C22" s="447"/>
      <c r="D22" s="448"/>
      <c r="E22" s="2599"/>
      <c r="F22" s="448"/>
      <c r="G22" s="2599"/>
      <c r="H22" s="448"/>
      <c r="I22" s="447"/>
      <c r="J22" s="448"/>
      <c r="K22" s="672"/>
      <c r="L22" s="1135"/>
      <c r="M22" s="1126"/>
      <c r="N22" s="1126"/>
      <c r="O22" s="1134"/>
      <c r="P22" s="3211"/>
      <c r="Q22" s="1796"/>
      <c r="R22" s="774"/>
      <c r="S22" s="775"/>
      <c r="T22" s="774"/>
      <c r="U22" s="775"/>
      <c r="V22" s="774"/>
      <c r="W22" s="775"/>
      <c r="X22" s="1799"/>
      <c r="Y22" s="3211"/>
      <c r="Z22" s="1800"/>
      <c r="AA22" s="1797">
        <v>1</v>
      </c>
      <c r="AB22" s="1797">
        <v>1</v>
      </c>
      <c r="AC22" s="1797">
        <v>1</v>
      </c>
    </row>
    <row r="23" spans="1:29" s="117" customFormat="1" ht="15">
      <c r="A23" s="649"/>
      <c r="B23" s="633" t="s">
        <v>2644</v>
      </c>
      <c r="C23" s="259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11"/>
      <c r="Q23" s="1781" t="str">
        <f t="shared" si="8"/>
        <v>公共配套设施</v>
      </c>
      <c r="R23" s="770" t="s">
        <v>17</v>
      </c>
      <c r="S23" s="771">
        <f>F23</f>
        <v>100</v>
      </c>
      <c r="T23" s="770" t="s">
        <v>17</v>
      </c>
      <c r="U23" s="771">
        <f>H23</f>
        <v>100</v>
      </c>
      <c r="V23" s="770" t="s">
        <v>17</v>
      </c>
      <c r="W23" s="771">
        <f>J23</f>
        <v>100</v>
      </c>
      <c r="X23" s="772"/>
      <c r="Y23" s="3211"/>
      <c r="Z23" s="55" t="str">
        <f>Q23</f>
        <v>公共配套设施</v>
      </c>
      <c r="AA23" s="1797">
        <f>D23/F23</f>
        <v>1</v>
      </c>
      <c r="AB23" s="1797">
        <f>D23/H23</f>
        <v>1</v>
      </c>
      <c r="AC23" s="1797">
        <f>D23/J23</f>
        <v>1</v>
      </c>
    </row>
    <row r="24" spans="1:29" s="117" customFormat="1" ht="15">
      <c r="A24" s="649"/>
      <c r="B24" s="632"/>
      <c r="C24" s="2688"/>
      <c r="D24" s="448"/>
      <c r="E24" s="2599"/>
      <c r="F24" s="448"/>
      <c r="G24" s="2599"/>
      <c r="H24" s="448"/>
      <c r="I24" s="447"/>
      <c r="J24" s="448"/>
      <c r="K24" s="672"/>
      <c r="L24" s="1127"/>
      <c r="M24" s="1128"/>
      <c r="N24" s="1128"/>
      <c r="O24" s="1129"/>
      <c r="P24" s="3211"/>
      <c r="Q24" s="1781"/>
      <c r="R24" s="770"/>
      <c r="S24" s="771"/>
      <c r="T24" s="770"/>
      <c r="U24" s="771"/>
      <c r="V24" s="770"/>
      <c r="W24" s="771"/>
      <c r="X24" s="772"/>
      <c r="Y24" s="3211"/>
      <c r="Z24" s="55"/>
      <c r="AA24" s="773">
        <v>1</v>
      </c>
      <c r="AB24" s="773">
        <v>1</v>
      </c>
      <c r="AC24" s="773">
        <v>1</v>
      </c>
    </row>
    <row r="25" spans="1:29" s="117" customFormat="1" ht="15">
      <c r="A25" s="649"/>
      <c r="B25" s="633" t="s">
        <v>2645</v>
      </c>
      <c r="C25" s="259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11"/>
      <c r="Q25" s="1781" t="str">
        <f t="shared" ref="Q25" si="9">B25</f>
        <v>基础设施水平</v>
      </c>
      <c r="R25" s="770" t="s">
        <v>17</v>
      </c>
      <c r="S25" s="771">
        <f>F25</f>
        <v>100</v>
      </c>
      <c r="T25" s="770" t="s">
        <v>17</v>
      </c>
      <c r="U25" s="771">
        <f>H25</f>
        <v>100</v>
      </c>
      <c r="V25" s="770" t="s">
        <v>17</v>
      </c>
      <c r="W25" s="771">
        <f>J25</f>
        <v>100</v>
      </c>
      <c r="X25" s="772"/>
      <c r="Y25" s="3211"/>
      <c r="Z25" s="55" t="str">
        <f>Q25</f>
        <v>基础设施水平</v>
      </c>
      <c r="AA25" s="1797">
        <f>D25/F25</f>
        <v>1</v>
      </c>
      <c r="AB25" s="1797">
        <f>D25/H25</f>
        <v>1</v>
      </c>
      <c r="AC25" s="1797">
        <f>D25/J25</f>
        <v>1</v>
      </c>
    </row>
    <row r="26" spans="1:29" s="117" customFormat="1" ht="15">
      <c r="A26" s="649"/>
      <c r="B26" s="632"/>
      <c r="C26" s="2688"/>
      <c r="D26" s="448"/>
      <c r="E26" s="2689"/>
      <c r="F26" s="448"/>
      <c r="G26" s="2689"/>
      <c r="H26" s="448"/>
      <c r="I26" s="2689"/>
      <c r="J26" s="448"/>
      <c r="K26" s="672"/>
      <c r="L26" s="1127"/>
      <c r="M26" s="1128"/>
      <c r="N26" s="1128"/>
      <c r="O26" s="1129"/>
      <c r="P26" s="3211"/>
      <c r="Q26" s="1781"/>
      <c r="R26" s="770"/>
      <c r="S26" s="771"/>
      <c r="T26" s="770"/>
      <c r="U26" s="771"/>
      <c r="V26" s="770"/>
      <c r="W26" s="771"/>
      <c r="X26" s="772"/>
      <c r="Y26" s="3211"/>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11"/>
      <c r="Q27" s="1796" t="str">
        <f t="shared" si="8"/>
        <v>临街状况</v>
      </c>
      <c r="R27" s="774" t="s">
        <v>17</v>
      </c>
      <c r="S27" s="775">
        <f t="shared" ref="S27:S40" si="10">F27</f>
        <v>100</v>
      </c>
      <c r="T27" s="774" t="s">
        <v>17</v>
      </c>
      <c r="U27" s="775">
        <f t="shared" ref="U27:U40" si="11">H27</f>
        <v>100</v>
      </c>
      <c r="V27" s="774" t="s">
        <v>17</v>
      </c>
      <c r="W27" s="775">
        <f t="shared" ref="W27:W40" si="12">J27</f>
        <v>100</v>
      </c>
      <c r="X27" s="1799"/>
      <c r="Y27" s="3211"/>
      <c r="Z27" s="1800" t="str">
        <f t="shared" ref="Z27:Z40" si="13">Q27</f>
        <v>临街状况</v>
      </c>
      <c r="AA27" s="1797">
        <f t="shared" si="3"/>
        <v>1</v>
      </c>
      <c r="AB27" s="1797">
        <f t="shared" si="4"/>
        <v>1</v>
      </c>
      <c r="AC27" s="1797">
        <f t="shared" si="5"/>
        <v>1</v>
      </c>
    </row>
    <row r="28" spans="1:29" ht="28.8">
      <c r="A28" s="428"/>
      <c r="B28" s="633" t="s">
        <v>2681</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11"/>
      <c r="Q28" s="1796" t="str">
        <f t="shared" si="8"/>
        <v>毗邻道路的类型与等级</v>
      </c>
      <c r="R28" s="774" t="s">
        <v>17</v>
      </c>
      <c r="S28" s="775">
        <f t="shared" si="10"/>
        <v>100</v>
      </c>
      <c r="T28" s="774" t="s">
        <v>17</v>
      </c>
      <c r="U28" s="775">
        <f t="shared" si="11"/>
        <v>100</v>
      </c>
      <c r="V28" s="774" t="s">
        <v>17</v>
      </c>
      <c r="W28" s="775">
        <f t="shared" si="12"/>
        <v>100</v>
      </c>
      <c r="X28" s="1799"/>
      <c r="Y28" s="3211"/>
      <c r="Z28" s="1800" t="str">
        <f t="shared" si="13"/>
        <v>毗邻道路的类型与等级</v>
      </c>
      <c r="AA28" s="1797">
        <f t="shared" si="3"/>
        <v>1</v>
      </c>
      <c r="AB28" s="1797">
        <f t="shared" si="4"/>
        <v>1</v>
      </c>
      <c r="AC28" s="1797">
        <f t="shared" si="5"/>
        <v>1</v>
      </c>
    </row>
    <row r="29" spans="1:29" ht="15">
      <c r="A29" s="428"/>
      <c r="B29" s="632"/>
      <c r="C29" s="447"/>
      <c r="D29" s="448"/>
      <c r="E29" s="2599"/>
      <c r="F29" s="448"/>
      <c r="G29" s="2599"/>
      <c r="H29" s="448"/>
      <c r="I29" s="2599"/>
      <c r="J29" s="448"/>
      <c r="K29" s="613"/>
      <c r="L29" s="1135"/>
      <c r="M29" s="1126"/>
      <c r="N29" s="1126"/>
      <c r="O29" s="1134"/>
      <c r="P29" s="3211"/>
      <c r="Q29" s="1796"/>
      <c r="R29" s="774"/>
      <c r="S29" s="775"/>
      <c r="T29" s="774"/>
      <c r="U29" s="775"/>
      <c r="V29" s="774"/>
      <c r="W29" s="775"/>
      <c r="X29" s="1799"/>
      <c r="Y29" s="3211"/>
      <c r="Z29" s="1800"/>
      <c r="AA29" s="1797">
        <v>1</v>
      </c>
      <c r="AB29" s="1797">
        <v>1</v>
      </c>
      <c r="AC29" s="1797">
        <v>1</v>
      </c>
    </row>
    <row r="30" spans="1:29" ht="15">
      <c r="A30" s="428"/>
      <c r="B30" s="654" t="s">
        <v>2740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11"/>
      <c r="Q30" s="1796" t="str">
        <f t="shared" si="8"/>
        <v>土地级别</v>
      </c>
      <c r="R30" s="774" t="s">
        <v>17</v>
      </c>
      <c r="S30" s="775">
        <f t="shared" si="10"/>
        <v>100</v>
      </c>
      <c r="T30" s="774" t="s">
        <v>17</v>
      </c>
      <c r="U30" s="775">
        <f t="shared" si="11"/>
        <v>100</v>
      </c>
      <c r="V30" s="774" t="s">
        <v>17</v>
      </c>
      <c r="W30" s="775">
        <f t="shared" si="12"/>
        <v>100</v>
      </c>
      <c r="X30" s="1799"/>
      <c r="Y30" s="3211"/>
      <c r="Z30" s="1800" t="str">
        <f t="shared" si="13"/>
        <v>土地级别</v>
      </c>
      <c r="AA30" s="1797">
        <f t="shared" si="3"/>
        <v>1</v>
      </c>
      <c r="AB30" s="1797">
        <f t="shared" si="4"/>
        <v>1</v>
      </c>
      <c r="AC30" s="1797">
        <f t="shared" si="5"/>
        <v>1</v>
      </c>
    </row>
    <row r="31" spans="1:29" ht="15">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11"/>
      <c r="Q31" s="1796">
        <f t="shared" si="8"/>
        <v>111</v>
      </c>
      <c r="R31" s="774" t="s">
        <v>17</v>
      </c>
      <c r="S31" s="775">
        <f t="shared" si="10"/>
        <v>100</v>
      </c>
      <c r="T31" s="774" t="s">
        <v>17</v>
      </c>
      <c r="U31" s="775">
        <f t="shared" si="11"/>
        <v>100</v>
      </c>
      <c r="V31" s="774" t="s">
        <v>17</v>
      </c>
      <c r="W31" s="775">
        <f t="shared" si="12"/>
        <v>100</v>
      </c>
      <c r="X31" s="1799"/>
      <c r="Y31" s="3211"/>
      <c r="Z31" s="1800">
        <f t="shared" si="13"/>
        <v>111</v>
      </c>
      <c r="AA31" s="1797">
        <f t="shared" si="3"/>
        <v>1</v>
      </c>
      <c r="AB31" s="1797">
        <f t="shared" si="4"/>
        <v>1</v>
      </c>
      <c r="AC31" s="1797">
        <f t="shared" si="5"/>
        <v>1</v>
      </c>
    </row>
    <row r="32" spans="1:29" ht="15">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12" t="s">
        <v>2555</v>
      </c>
      <c r="Q32" s="1796">
        <f t="shared" si="8"/>
        <v>111</v>
      </c>
      <c r="R32" s="774" t="s">
        <v>17</v>
      </c>
      <c r="S32" s="775">
        <f t="shared" si="10"/>
        <v>100</v>
      </c>
      <c r="T32" s="774" t="s">
        <v>17</v>
      </c>
      <c r="U32" s="775">
        <f t="shared" si="11"/>
        <v>100</v>
      </c>
      <c r="V32" s="774" t="s">
        <v>17</v>
      </c>
      <c r="W32" s="775">
        <f t="shared" si="12"/>
        <v>100</v>
      </c>
      <c r="X32" s="1799"/>
      <c r="Y32" s="3213" t="s">
        <v>2555</v>
      </c>
      <c r="Z32" s="1800">
        <f t="shared" si="13"/>
        <v>111</v>
      </c>
      <c r="AA32" s="1797">
        <f t="shared" si="3"/>
        <v>1</v>
      </c>
      <c r="AB32" s="1797">
        <f t="shared" si="4"/>
        <v>1</v>
      </c>
      <c r="AC32" s="1797">
        <f t="shared" si="5"/>
        <v>1</v>
      </c>
    </row>
    <row r="33" spans="1:29" s="471" customFormat="1" ht="15.6"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13"/>
      <c r="Q33" s="1796">
        <f t="shared" si="8"/>
        <v>111</v>
      </c>
      <c r="R33" s="777" t="s">
        <v>17</v>
      </c>
      <c r="S33" s="778">
        <f t="shared" si="10"/>
        <v>100</v>
      </c>
      <c r="T33" s="777" t="s">
        <v>17</v>
      </c>
      <c r="U33" s="778">
        <f t="shared" si="11"/>
        <v>100</v>
      </c>
      <c r="V33" s="777" t="s">
        <v>17</v>
      </c>
      <c r="W33" s="778">
        <f t="shared" si="12"/>
        <v>100</v>
      </c>
      <c r="X33" s="779"/>
      <c r="Y33" s="3213"/>
      <c r="Z33" s="780">
        <f t="shared" si="13"/>
        <v>111</v>
      </c>
      <c r="AA33" s="1797">
        <f t="shared" si="3"/>
        <v>1</v>
      </c>
      <c r="AB33" s="1797">
        <f t="shared" si="4"/>
        <v>1</v>
      </c>
      <c r="AC33" s="1797">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13"/>
      <c r="Q34" s="1796" t="str">
        <f>B34</f>
        <v>宗地面积</v>
      </c>
      <c r="R34" s="774" t="s">
        <v>17</v>
      </c>
      <c r="S34" s="775" t="e">
        <f t="shared" si="10"/>
        <v>#N/A</v>
      </c>
      <c r="T34" s="774" t="s">
        <v>17</v>
      </c>
      <c r="U34" s="775" t="e">
        <f t="shared" si="11"/>
        <v>#N/A</v>
      </c>
      <c r="V34" s="774" t="s">
        <v>17</v>
      </c>
      <c r="W34" s="775" t="e">
        <f t="shared" si="12"/>
        <v>#N/A</v>
      </c>
      <c r="X34" s="1799"/>
      <c r="Y34" s="3213"/>
      <c r="Z34" s="1800" t="str">
        <f t="shared" si="13"/>
        <v>宗地面积</v>
      </c>
      <c r="AA34" s="1797" t="e">
        <f t="shared" si="3"/>
        <v>#N/A</v>
      </c>
      <c r="AB34" s="1797" t="e">
        <f t="shared" si="4"/>
        <v>#N/A</v>
      </c>
      <c r="AC34" s="1797" t="e">
        <f t="shared" si="5"/>
        <v>#N/A</v>
      </c>
    </row>
    <row r="35" spans="1:29" ht="15">
      <c r="A35" s="472"/>
      <c r="B35" s="422" t="s">
        <v>2742</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5"/>
      <c r="M35" s="1126"/>
      <c r="N35" s="1126"/>
      <c r="O35" s="1134"/>
      <c r="P35" s="3213"/>
      <c r="Q35" s="1796" t="str">
        <f t="shared" ref="Q35:Q40" si="14">B35</f>
        <v>宗地形状</v>
      </c>
      <c r="R35" s="774" t="s">
        <v>17</v>
      </c>
      <c r="S35" s="775">
        <f t="shared" si="10"/>
        <v>100</v>
      </c>
      <c r="T35" s="774" t="s">
        <v>17</v>
      </c>
      <c r="U35" s="775">
        <f t="shared" si="11"/>
        <v>100</v>
      </c>
      <c r="V35" s="774" t="s">
        <v>17</v>
      </c>
      <c r="W35" s="775">
        <f t="shared" si="12"/>
        <v>100</v>
      </c>
      <c r="X35" s="1799"/>
      <c r="Y35" s="3213"/>
      <c r="Z35" s="1800" t="str">
        <f t="shared" si="13"/>
        <v>宗地形状</v>
      </c>
      <c r="AA35" s="1797">
        <f t="shared" si="3"/>
        <v>1</v>
      </c>
      <c r="AB35" s="1797">
        <f t="shared" si="4"/>
        <v>1</v>
      </c>
      <c r="AC35" s="1797">
        <f t="shared" si="5"/>
        <v>1</v>
      </c>
    </row>
    <row r="36" spans="1:29" s="117" customFormat="1" ht="15">
      <c r="A36" s="473"/>
      <c r="B36" s="422" t="s">
        <v>2744</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7"/>
      <c r="M36" s="1128"/>
      <c r="N36" s="1128"/>
      <c r="O36" s="1129"/>
      <c r="P36" s="3213"/>
      <c r="Q36" s="1796"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2745</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5"/>
      <c r="M37" s="1126"/>
      <c r="N37" s="1126"/>
      <c r="O37" s="1134"/>
      <c r="P37" s="3213" t="s">
        <v>2555</v>
      </c>
      <c r="Q37" s="1796" t="str">
        <f t="shared" si="14"/>
        <v>工程地质条件</v>
      </c>
      <c r="R37" s="774" t="s">
        <v>17</v>
      </c>
      <c r="S37" s="775">
        <f t="shared" si="10"/>
        <v>100</v>
      </c>
      <c r="T37" s="774" t="s">
        <v>17</v>
      </c>
      <c r="U37" s="775">
        <f t="shared" si="11"/>
        <v>100</v>
      </c>
      <c r="V37" s="774" t="s">
        <v>17</v>
      </c>
      <c r="W37" s="775">
        <f t="shared" si="12"/>
        <v>100</v>
      </c>
      <c r="X37" s="1799"/>
      <c r="Y37" s="3213" t="s">
        <v>2555</v>
      </c>
      <c r="Z37" s="1800" t="str">
        <f t="shared" si="13"/>
        <v>工程地质条件</v>
      </c>
      <c r="AA37" s="1797">
        <f t="shared" si="3"/>
        <v>1</v>
      </c>
      <c r="AB37" s="1797">
        <f t="shared" si="4"/>
        <v>1</v>
      </c>
      <c r="AC37" s="1797">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13"/>
      <c r="Q38" s="1796">
        <f t="shared" si="14"/>
        <v>111</v>
      </c>
      <c r="R38" s="774" t="s">
        <v>17</v>
      </c>
      <c r="S38" s="775">
        <f t="shared" si="10"/>
        <v>100</v>
      </c>
      <c r="T38" s="774" t="s">
        <v>17</v>
      </c>
      <c r="U38" s="775">
        <f t="shared" si="11"/>
        <v>100</v>
      </c>
      <c r="V38" s="774" t="s">
        <v>17</v>
      </c>
      <c r="W38" s="775">
        <f t="shared" si="12"/>
        <v>100</v>
      </c>
      <c r="X38" s="1799"/>
      <c r="Y38" s="3213"/>
      <c r="Z38" s="1800">
        <f t="shared" si="13"/>
        <v>111</v>
      </c>
      <c r="AA38" s="1797">
        <f t="shared" si="3"/>
        <v>1</v>
      </c>
      <c r="AB38" s="1797">
        <f t="shared" si="4"/>
        <v>1</v>
      </c>
      <c r="AC38" s="1797">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13"/>
      <c r="Q39" s="1796">
        <f t="shared" si="14"/>
        <v>111</v>
      </c>
      <c r="R39" s="774" t="s">
        <v>17</v>
      </c>
      <c r="S39" s="775">
        <f t="shared" si="10"/>
        <v>100</v>
      </c>
      <c r="T39" s="774" t="s">
        <v>17</v>
      </c>
      <c r="U39" s="775">
        <f t="shared" si="11"/>
        <v>100</v>
      </c>
      <c r="V39" s="774" t="s">
        <v>17</v>
      </c>
      <c r="W39" s="775">
        <f t="shared" si="12"/>
        <v>100</v>
      </c>
      <c r="X39" s="1799"/>
      <c r="Y39" s="3213"/>
      <c r="Z39" s="1800">
        <f t="shared" si="13"/>
        <v>111</v>
      </c>
      <c r="AA39" s="1797">
        <f t="shared" si="3"/>
        <v>1</v>
      </c>
      <c r="AB39" s="1797">
        <f t="shared" si="4"/>
        <v>1</v>
      </c>
      <c r="AC39" s="1797">
        <f t="shared" si="5"/>
        <v>1</v>
      </c>
    </row>
    <row r="40" spans="1:29" s="471" customFormat="1" ht="15.6" thickBot="1">
      <c r="A40" s="468"/>
      <c r="B40" s="1382">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13"/>
      <c r="Q40" s="1796">
        <f t="shared" si="14"/>
        <v>111</v>
      </c>
      <c r="R40" s="777" t="s">
        <v>17</v>
      </c>
      <c r="S40" s="778">
        <f t="shared" si="10"/>
        <v>100</v>
      </c>
      <c r="T40" s="777" t="s">
        <v>17</v>
      </c>
      <c r="U40" s="778">
        <f t="shared" si="11"/>
        <v>100</v>
      </c>
      <c r="V40" s="777" t="s">
        <v>17</v>
      </c>
      <c r="W40" s="778">
        <f t="shared" si="12"/>
        <v>100</v>
      </c>
      <c r="X40" s="779"/>
      <c r="Y40" s="3213"/>
      <c r="Z40" s="780">
        <f t="shared" si="13"/>
        <v>111</v>
      </c>
      <c r="AA40" s="1797">
        <f t="shared" si="3"/>
        <v>1</v>
      </c>
      <c r="AB40" s="1797">
        <f t="shared" si="4"/>
        <v>1</v>
      </c>
      <c r="AC40" s="1797">
        <f t="shared" si="5"/>
        <v>1</v>
      </c>
    </row>
    <row r="41" spans="1:29" ht="14.4">
      <c r="A41" s="479" t="s">
        <v>2710</v>
      </c>
      <c r="B41" s="2692" t="s">
        <v>2790</v>
      </c>
      <c r="C41" s="682" t="s">
        <v>1</v>
      </c>
      <c r="D41" s="481"/>
      <c r="E41" s="482"/>
      <c r="F41" s="483"/>
      <c r="G41" s="484"/>
      <c r="H41" s="485"/>
      <c r="I41" s="482"/>
      <c r="J41" s="485"/>
      <c r="K41" s="783"/>
      <c r="L41" s="1138"/>
      <c r="M41" s="1126"/>
      <c r="N41" s="1126"/>
      <c r="O41" s="1139"/>
      <c r="P41" s="3195" t="str">
        <f>A41</f>
        <v>成交单价</v>
      </c>
      <c r="Q41" s="3195"/>
      <c r="R41" s="3208">
        <f>E41</f>
        <v>0</v>
      </c>
      <c r="S41" s="3208"/>
      <c r="T41" s="3208">
        <f>G41</f>
        <v>0</v>
      </c>
      <c r="U41" s="3208"/>
      <c r="V41" s="3208">
        <f>I41</f>
        <v>0</v>
      </c>
      <c r="W41" s="3208"/>
      <c r="X41" s="759"/>
      <c r="Y41" s="781"/>
      <c r="Z41" s="759"/>
      <c r="AA41" s="759"/>
      <c r="AB41" s="759"/>
      <c r="AC41" s="759"/>
    </row>
    <row r="42" spans="1:29" ht="15" thickBot="1">
      <c r="A42" s="486" t="s">
        <v>2659</v>
      </c>
      <c r="B42" s="683"/>
      <c r="C42" s="490" t="e">
        <f>R43</f>
        <v>#DIV/0!</v>
      </c>
      <c r="D42" s="489"/>
      <c r="E42" s="490" t="e">
        <f>R42</f>
        <v>#DIV/0!</v>
      </c>
      <c r="F42" s="491"/>
      <c r="G42" s="488" t="e">
        <f>T42</f>
        <v>#DIV/0!</v>
      </c>
      <c r="H42" s="489"/>
      <c r="I42" s="490" t="e">
        <f>V42</f>
        <v>#DIV/0!</v>
      </c>
      <c r="J42" s="489"/>
      <c r="K42" s="784"/>
      <c r="L42" s="1138"/>
      <c r="M42" s="1126"/>
      <c r="N42" s="1126"/>
      <c r="O42" s="1139"/>
      <c r="P42" s="3195" t="str">
        <f>A42</f>
        <v>比较价值（元/平方米）</v>
      </c>
      <c r="Q42" s="3195"/>
      <c r="R42" s="3214" t="e">
        <f>ROUND(PRODUCT(R41,AA7:AA40),0)</f>
        <v>#DIV/0!</v>
      </c>
      <c r="S42" s="3214"/>
      <c r="T42" s="3214" t="e">
        <f>ROUND(PRODUCT(T41,AB7:AB40),0)</f>
        <v>#DIV/0!</v>
      </c>
      <c r="U42" s="3214"/>
      <c r="V42" s="3214" t="e">
        <f>ROUND(PRODUCT(V41,AC7:AC40),0)</f>
        <v>#DIV/0!</v>
      </c>
      <c r="W42" s="3214"/>
      <c r="X42" s="759"/>
      <c r="Y42" s="759"/>
      <c r="Z42" s="759"/>
      <c r="AA42" s="759"/>
      <c r="AB42" s="759"/>
      <c r="AC42" s="759"/>
    </row>
    <row r="43" spans="1:29" ht="15" thickBot="1">
      <c r="A43" s="492" t="s">
        <v>2660</v>
      </c>
      <c r="B43" s="493"/>
      <c r="C43" s="494" t="e">
        <f>R43</f>
        <v>#DIV/0!</v>
      </c>
      <c r="D43" s="494"/>
      <c r="E43" s="494"/>
      <c r="F43" s="494"/>
      <c r="G43" s="494"/>
      <c r="H43" s="494"/>
      <c r="I43" s="494"/>
      <c r="J43" s="494"/>
      <c r="K43" s="785"/>
      <c r="L43" s="1138"/>
      <c r="M43" s="1126"/>
      <c r="N43" s="1126"/>
      <c r="O43" s="1139"/>
      <c r="P43" s="3215" t="str">
        <f>A43</f>
        <v>估价对象XX用房的比较价值（楼面单价，元/平方米）</v>
      </c>
      <c r="Q43" s="3216"/>
      <c r="R43" s="3217" t="e">
        <f>ROUND(AVERAGE(R42:V42),0)</f>
        <v>#DIV/0!</v>
      </c>
      <c r="S43" s="3217"/>
      <c r="T43" s="3217"/>
      <c r="U43" s="3217"/>
      <c r="V43" s="3217"/>
      <c r="W43" s="3217"/>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4.4" thickBot="1">
      <c r="A49" s="1140"/>
      <c r="B49" s="1141"/>
      <c r="C49" s="762"/>
      <c r="D49" s="760"/>
      <c r="E49" s="760"/>
      <c r="F49" s="760"/>
      <c r="G49" s="760"/>
      <c r="H49" s="760"/>
      <c r="I49" s="760"/>
      <c r="J49" s="760"/>
      <c r="K49" s="1143"/>
      <c r="L49" s="1144"/>
      <c r="M49" s="1140"/>
      <c r="N49" s="1140"/>
      <c r="O49" s="1140"/>
    </row>
    <row r="50" spans="1:17" ht="28.8">
      <c r="A50" s="684" t="s">
        <v>2748</v>
      </c>
      <c r="B50" s="685" t="s">
        <v>2749</v>
      </c>
      <c r="C50" s="2693" t="s">
        <v>2750</v>
      </c>
      <c r="D50" s="2694" t="s">
        <v>2751</v>
      </c>
      <c r="E50" s="686" t="s">
        <v>2752</v>
      </c>
      <c r="F50" s="687" t="s">
        <v>2753</v>
      </c>
      <c r="G50" s="3196" t="s">
        <v>2754</v>
      </c>
      <c r="H50" s="3218"/>
      <c r="I50" s="1800" t="s">
        <v>2791</v>
      </c>
      <c r="J50" s="1800">
        <f>项目基本情况!F35</f>
        <v>0</v>
      </c>
      <c r="K50" s="2696" t="s">
        <v>2756</v>
      </c>
      <c r="L50" s="1101"/>
      <c r="M50" s="1139"/>
      <c r="N50" s="1139"/>
      <c r="O50" s="1139"/>
    </row>
    <row r="51" spans="1:17" s="692" customFormat="1">
      <c r="A51" s="688" t="s">
        <v>2757</v>
      </c>
      <c r="B51" s="689" t="e">
        <f>C43</f>
        <v>#DIV/0!</v>
      </c>
      <c r="C51" s="690">
        <v>1</v>
      </c>
      <c r="D51" s="1158">
        <v>1</v>
      </c>
      <c r="E51" s="690">
        <f>'数据-汇总表'!E8+'数据-汇总表'!E9</f>
        <v>4323.09</v>
      </c>
      <c r="F51" s="691" t="e">
        <f t="shared" ref="F51:F60" si="15">ROUND(B51*E51/10000,0)</f>
        <v>#DIV/0!</v>
      </c>
      <c r="G51" s="3219"/>
      <c r="H51" s="3195"/>
      <c r="I51" s="937">
        <v>1</v>
      </c>
      <c r="J51" s="937">
        <v>1</v>
      </c>
      <c r="K51" s="1140"/>
      <c r="L51" s="936"/>
      <c r="M51" s="936"/>
      <c r="N51" s="936"/>
      <c r="O51" s="936"/>
    </row>
    <row r="52" spans="1:17" s="692" customFormat="1">
      <c r="A52" s="693" t="s">
        <v>2758</v>
      </c>
      <c r="B52" s="262" t="e">
        <f>ROUND($C$43*C52*D52,0)</f>
        <v>#DIV/0!</v>
      </c>
      <c r="C52" s="200">
        <f t="shared" ref="C52:C60" si="16">IF($C$50="北京市系数",I52,J52)</f>
        <v>0.7</v>
      </c>
      <c r="D52" s="1159">
        <v>0.25</v>
      </c>
      <c r="E52" s="694"/>
      <c r="F52" s="691" t="e">
        <f t="shared" si="15"/>
        <v>#DIV/0!</v>
      </c>
      <c r="G52" s="3220" t="s">
        <v>2759</v>
      </c>
      <c r="H52" s="1099" t="str">
        <f>项目基本情况!B37</f>
        <v>五级</v>
      </c>
      <c r="I52" s="937">
        <f>SUMIF(修正!A45:A56,H52,修正!B45:B56)</f>
        <v>0.7</v>
      </c>
      <c r="J52" s="938"/>
      <c r="K52" s="1139"/>
      <c r="L52" s="936"/>
      <c r="M52" s="936"/>
      <c r="N52" s="936"/>
      <c r="O52" s="936"/>
    </row>
    <row r="53" spans="1:17" s="692" customFormat="1">
      <c r="A53" s="693" t="s">
        <v>2760</v>
      </c>
      <c r="B53" s="262" t="e">
        <f t="shared" ref="B53:B60" si="17">ROUND($C$43*C53*D53,0)</f>
        <v>#DIV/0!</v>
      </c>
      <c r="C53" s="200">
        <f t="shared" si="16"/>
        <v>0.4</v>
      </c>
      <c r="D53" s="1159">
        <v>0.25</v>
      </c>
      <c r="E53" s="694"/>
      <c r="F53" s="691" t="e">
        <f t="shared" si="15"/>
        <v>#DIV/0!</v>
      </c>
      <c r="G53" s="3220"/>
      <c r="H53" s="1099" t="str">
        <f>项目基本情况!B37</f>
        <v>五级</v>
      </c>
      <c r="I53" s="937">
        <f>SUMIF(修正!A45:A56,H53,修正!C45:C56)</f>
        <v>0.4</v>
      </c>
      <c r="J53" s="938"/>
      <c r="K53" s="1140"/>
      <c r="L53" s="936"/>
      <c r="M53" s="936"/>
      <c r="N53" s="936"/>
      <c r="O53" s="936"/>
    </row>
    <row r="54" spans="1:17" s="692" customFormat="1">
      <c r="A54" s="693" t="s">
        <v>2761</v>
      </c>
      <c r="B54" s="262" t="e">
        <f t="shared" si="17"/>
        <v>#DIV/0!</v>
      </c>
      <c r="C54" s="200">
        <f t="shared" si="16"/>
        <v>0.28000000000000003</v>
      </c>
      <c r="D54" s="1159">
        <v>0.25</v>
      </c>
      <c r="E54" s="694"/>
      <c r="F54" s="691" t="e">
        <f t="shared" si="15"/>
        <v>#DIV/0!</v>
      </c>
      <c r="G54" s="3220"/>
      <c r="H54" s="1099" t="str">
        <f>项目基本情况!B37</f>
        <v>五级</v>
      </c>
      <c r="I54" s="937">
        <f>SUMIF(修正!A45:A56,H54,修正!D45:D56)</f>
        <v>0.28000000000000003</v>
      </c>
      <c r="J54" s="938"/>
      <c r="K54" s="1139"/>
      <c r="L54" s="936"/>
      <c r="M54" s="936"/>
      <c r="N54" s="936"/>
      <c r="O54" s="936"/>
    </row>
    <row r="55" spans="1:17" s="692" customFormat="1">
      <c r="A55" s="693" t="s">
        <v>2762</v>
      </c>
      <c r="B55" s="262" t="e">
        <f t="shared" si="17"/>
        <v>#DIV/0!</v>
      </c>
      <c r="C55" s="200">
        <f t="shared" si="16"/>
        <v>0.25</v>
      </c>
      <c r="D55" s="1159">
        <v>0.25</v>
      </c>
      <c r="E55" s="694"/>
      <c r="F55" s="691" t="e">
        <f t="shared" si="15"/>
        <v>#DIV/0!</v>
      </c>
      <c r="G55" s="3220"/>
      <c r="H55" s="1099" t="str">
        <f>项目基本情况!B37</f>
        <v>五级</v>
      </c>
      <c r="I55" s="937">
        <f>SUMIF(修正!A45:A56,H55,修正!E45:E56)</f>
        <v>0.25</v>
      </c>
      <c r="J55" s="938"/>
      <c r="K55" s="1140"/>
      <c r="L55" s="936"/>
      <c r="M55" s="936"/>
      <c r="N55" s="936"/>
      <c r="O55" s="936"/>
    </row>
    <row r="56" spans="1:17" s="692" customFormat="1">
      <c r="A56" s="693" t="s">
        <v>2763</v>
      </c>
      <c r="B56" s="262" t="e">
        <f t="shared" si="17"/>
        <v>#DIV/0!</v>
      </c>
      <c r="C56" s="200">
        <f t="shared" si="16"/>
        <v>0</v>
      </c>
      <c r="D56" s="1159">
        <v>0.25</v>
      </c>
      <c r="E56" s="261">
        <f>'数据-汇总表'!E11</f>
        <v>0</v>
      </c>
      <c r="F56" s="691" t="e">
        <f t="shared" si="15"/>
        <v>#DIV/0!</v>
      </c>
      <c r="G56" s="2697" t="s">
        <v>2764</v>
      </c>
      <c r="H56" s="1099">
        <f>项目基本情况!C37</f>
        <v>0</v>
      </c>
      <c r="I56" s="937">
        <f>SUMIF(修正!A45:A56,H56,修正!F45:F56)</f>
        <v>0</v>
      </c>
      <c r="J56" s="938"/>
      <c r="K56" s="1139"/>
      <c r="L56" s="936"/>
      <c r="M56" s="936"/>
      <c r="N56" s="936"/>
      <c r="O56" s="936"/>
    </row>
    <row r="57" spans="1:17" s="692" customFormat="1">
      <c r="A57" s="693" t="s">
        <v>2765</v>
      </c>
      <c r="B57" s="262" t="e">
        <f t="shared" si="17"/>
        <v>#DIV/0!</v>
      </c>
      <c r="C57" s="200">
        <f t="shared" si="16"/>
        <v>0</v>
      </c>
      <c r="D57" s="1159">
        <v>0.25</v>
      </c>
      <c r="E57" s="261">
        <f>'数据-汇总表'!E12</f>
        <v>0</v>
      </c>
      <c r="F57" s="691" t="e">
        <f t="shared" si="15"/>
        <v>#DIV/0!</v>
      </c>
      <c r="G57" s="1104" t="s">
        <v>2766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c r="A58" s="693" t="s">
        <v>2767</v>
      </c>
      <c r="B58" s="262" t="e">
        <f t="shared" si="17"/>
        <v>#DIV/0!</v>
      </c>
      <c r="C58" s="200">
        <f t="shared" si="16"/>
        <v>0</v>
      </c>
      <c r="D58" s="1159">
        <v>0.25</v>
      </c>
      <c r="E58" s="261">
        <f>'数据-汇总表'!E13</f>
        <v>0</v>
      </c>
      <c r="F58" s="691" t="e">
        <f t="shared" si="15"/>
        <v>#DIV/0!</v>
      </c>
      <c r="G58" s="1104" t="s">
        <v>2768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2769</v>
      </c>
      <c r="B59" s="262" t="e">
        <f t="shared" si="17"/>
        <v>#DIV/0!</v>
      </c>
      <c r="C59" s="200">
        <f t="shared" si="16"/>
        <v>0.2</v>
      </c>
      <c r="D59" s="1159">
        <v>0.25</v>
      </c>
      <c r="E59" s="261">
        <f>'数据-汇总表'!E14</f>
        <v>7954.3</v>
      </c>
      <c r="F59" s="691" t="e">
        <f t="shared" si="15"/>
        <v>#DIV/0!</v>
      </c>
      <c r="G59" s="2697" t="s">
        <v>2759</v>
      </c>
      <c r="H59" s="1099" t="str">
        <f>项目基本情况!B37</f>
        <v>五级</v>
      </c>
      <c r="I59" s="937">
        <f>SUMIF(修正!A45:A56,H59,修正!H45:H56)</f>
        <v>0.2</v>
      </c>
      <c r="J59" s="938"/>
      <c r="K59" s="1140"/>
      <c r="L59" s="936"/>
      <c r="M59" s="936"/>
      <c r="N59" s="936"/>
      <c r="O59" s="936"/>
    </row>
    <row r="60" spans="1:17" s="692" customFormat="1" ht="14.4" thickBot="1">
      <c r="A60" s="693" t="s">
        <v>2770</v>
      </c>
      <c r="B60" s="262" t="e">
        <f t="shared" si="17"/>
        <v>#DIV/0!</v>
      </c>
      <c r="C60" s="200">
        <f t="shared" si="16"/>
        <v>0</v>
      </c>
      <c r="D60" s="1159">
        <v>0.25</v>
      </c>
      <c r="E60" s="261">
        <f>'数据-汇总表'!E15</f>
        <v>0</v>
      </c>
      <c r="F60" s="691" t="e">
        <f t="shared" si="15"/>
        <v>#DIV/0!</v>
      </c>
      <c r="G60" s="2698" t="s">
        <v>2764</v>
      </c>
      <c r="H60" s="1109">
        <f>项目基本情况!C37</f>
        <v>0</v>
      </c>
      <c r="I60" s="937">
        <f>SUMIF(修正!A45:A56,H60,修正!H45:H56)</f>
        <v>0</v>
      </c>
      <c r="J60" s="938"/>
      <c r="K60" s="1139"/>
      <c r="L60" s="936"/>
      <c r="M60" s="936"/>
      <c r="N60" s="936"/>
      <c r="O60" s="936"/>
    </row>
    <row r="61" spans="1:17" s="692" customFormat="1" ht="14.4" thickBot="1">
      <c r="A61" s="695" t="s">
        <v>2771</v>
      </c>
      <c r="B61" s="696" t="s">
        <v>28</v>
      </c>
      <c r="C61" s="696" t="s">
        <v>29</v>
      </c>
      <c r="D61" s="696" t="s">
        <v>1025</v>
      </c>
      <c r="E61" s="696">
        <f>IF(B41="楼面地价",SUM(E51:E60),'数据-汇总表'!D3)</f>
        <v>8010.13</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2.2" thickBot="1">
      <c r="A64" s="763" t="s">
        <v>2664</v>
      </c>
      <c r="B64" s="759"/>
      <c r="C64" s="764"/>
      <c r="D64" s="764"/>
      <c r="E64" s="764"/>
      <c r="F64" s="765"/>
      <c r="G64" s="765"/>
      <c r="H64" s="764"/>
      <c r="I64" s="764"/>
      <c r="J64" s="764"/>
      <c r="K64" s="766"/>
      <c r="L64" s="767"/>
      <c r="M64" s="764"/>
      <c r="N64" s="764"/>
      <c r="O64" s="1154"/>
      <c r="P64" s="503"/>
      <c r="Q64" s="504"/>
    </row>
    <row r="65" spans="1:17" s="508" customFormat="1" ht="14.4">
      <c r="A65" s="2699" t="s">
        <v>2772</v>
      </c>
      <c r="B65" s="1354"/>
      <c r="C65" s="1566" t="str">
        <f>YEAR(C63)&amp;"-"&amp;ROUNDUP(MONTH(C63)/3,0)</f>
        <v>2020-3</v>
      </c>
      <c r="D65" s="1566" t="str">
        <f t="shared" ref="D65:O65" si="19">YEAR(D63)&amp;"-"&amp;ROUNDUP(MONTH(D63)/3,0)</f>
        <v>2020-2</v>
      </c>
      <c r="E65" s="1566" t="str">
        <f t="shared" si="19"/>
        <v>2020-1</v>
      </c>
      <c r="F65" s="1566" t="str">
        <f t="shared" si="19"/>
        <v>2019-4</v>
      </c>
      <c r="G65" s="1566" t="str">
        <f t="shared" si="19"/>
        <v>2019-3</v>
      </c>
      <c r="H65" s="1566" t="str">
        <f t="shared" si="19"/>
        <v>2019-2</v>
      </c>
      <c r="I65" s="1566" t="str">
        <f t="shared" si="19"/>
        <v>2019-1</v>
      </c>
      <c r="J65" s="1566" t="str">
        <f t="shared" si="19"/>
        <v>2018-4</v>
      </c>
      <c r="K65" s="1566" t="str">
        <f t="shared" si="19"/>
        <v>2018-3</v>
      </c>
      <c r="L65" s="1566" t="str">
        <f t="shared" si="19"/>
        <v>2018-2</v>
      </c>
      <c r="M65" s="1566" t="str">
        <f t="shared" si="19"/>
        <v>2018-1</v>
      </c>
      <c r="N65" s="1566" t="str">
        <f t="shared" si="19"/>
        <v>2017-4</v>
      </c>
      <c r="O65" s="1566" t="str">
        <f t="shared" si="19"/>
        <v>2017-3</v>
      </c>
      <c r="P65" s="507"/>
    </row>
    <row r="66" spans="1:17" s="117" customFormat="1" ht="30.75" customHeight="1">
      <c r="A66" s="2704" t="s">
        <v>2792</v>
      </c>
      <c r="B66" s="332" t="str">
        <f>"北京市平均增长率"&amp;TEXT(基准地价修正!P24,"0.00%")</f>
        <v>北京市平均增长率1.26%</v>
      </c>
      <c r="C66" s="603">
        <v>100</v>
      </c>
      <c r="D66" s="595"/>
      <c r="E66" s="595"/>
      <c r="F66" s="595"/>
      <c r="G66" s="595"/>
      <c r="H66" s="595"/>
      <c r="I66" s="595"/>
      <c r="J66" s="595"/>
      <c r="K66" s="595"/>
      <c r="L66" s="595"/>
      <c r="M66" s="1562"/>
      <c r="N66" s="1562"/>
      <c r="O66" s="1563"/>
      <c r="P66" s="504"/>
    </row>
    <row r="67" spans="1:17" s="117" customFormat="1" ht="15" thickBot="1">
      <c r="A67" s="515" t="s">
        <v>2575</v>
      </c>
      <c r="B67" s="516"/>
      <c r="C67" s="517"/>
      <c r="D67" s="518"/>
      <c r="E67" s="518"/>
      <c r="F67" s="518"/>
      <c r="G67" s="518"/>
      <c r="H67" s="518"/>
      <c r="I67" s="518"/>
      <c r="J67" s="518"/>
      <c r="K67" s="518"/>
      <c r="L67" s="518"/>
      <c r="M67" s="519"/>
      <c r="N67" s="519"/>
      <c r="O67" s="520"/>
      <c r="P67" s="504"/>
      <c r="Q67" s="504"/>
    </row>
    <row r="68" spans="1:17" s="117" customFormat="1" ht="14.4">
      <c r="A68" s="521" t="s">
        <v>2540</v>
      </c>
      <c r="B68" s="510"/>
      <c r="C68" s="522" t="s">
        <v>2642</v>
      </c>
      <c r="D68" s="523"/>
      <c r="E68" s="523"/>
      <c r="F68" s="523"/>
      <c r="G68" s="523"/>
      <c r="H68" s="523"/>
      <c r="I68" s="523"/>
      <c r="J68" s="523"/>
      <c r="K68" s="523"/>
      <c r="L68" s="524"/>
      <c r="M68" s="525"/>
      <c r="N68" s="1146"/>
      <c r="O68" s="1146"/>
      <c r="P68" s="526"/>
      <c r="Q68" s="504"/>
    </row>
    <row r="69" spans="1:17" s="117" customFormat="1" ht="14.4" thickBot="1">
      <c r="A69" s="521"/>
      <c r="B69" s="510"/>
      <c r="C69" s="639">
        <v>100</v>
      </c>
      <c r="D69" s="512"/>
      <c r="E69" s="512"/>
      <c r="F69" s="512"/>
      <c r="G69" s="512"/>
      <c r="H69" s="512"/>
      <c r="I69" s="512"/>
      <c r="J69" s="512"/>
      <c r="K69" s="512"/>
      <c r="L69" s="512"/>
      <c r="M69" s="514"/>
      <c r="N69" s="1146"/>
      <c r="O69" s="1146"/>
      <c r="P69" s="504"/>
      <c r="Q69" s="504"/>
    </row>
    <row r="70" spans="1:17" ht="14.4">
      <c r="A70" s="527" t="s">
        <v>2578</v>
      </c>
      <c r="B70" s="528" t="s">
        <v>2544</v>
      </c>
      <c r="C70" s="530"/>
      <c r="D70" s="530"/>
      <c r="E70" s="530"/>
      <c r="F70" s="530"/>
      <c r="G70" s="530"/>
      <c r="H70" s="530"/>
      <c r="I70" s="530"/>
      <c r="J70" s="530"/>
      <c r="K70" s="531"/>
      <c r="L70" s="532"/>
      <c r="M70" s="533"/>
      <c r="N70" s="1147"/>
      <c r="O70" s="1147"/>
      <c r="P70" s="45"/>
      <c r="Q70" s="504"/>
    </row>
    <row r="71" spans="1:17" ht="14.4" thickBot="1">
      <c r="A71" s="534"/>
      <c r="B71" s="535"/>
      <c r="C71" s="536"/>
      <c r="D71" s="536"/>
      <c r="E71" s="536"/>
      <c r="F71" s="536"/>
      <c r="G71" s="536"/>
      <c r="H71" s="536"/>
      <c r="I71" s="536"/>
      <c r="J71" s="536"/>
      <c r="K71" s="536"/>
      <c r="L71" s="536"/>
      <c r="M71" s="537"/>
      <c r="N71" s="1148"/>
      <c r="O71" s="1148"/>
      <c r="P71" s="45"/>
      <c r="Q71" s="504"/>
    </row>
    <row r="72" spans="1:17" ht="29.4" thickTop="1">
      <c r="A72" s="534"/>
      <c r="B72" s="538" t="s">
        <v>2547</v>
      </c>
      <c r="C72" s="539"/>
      <c r="D72" s="539"/>
      <c r="E72" s="539"/>
      <c r="F72" s="539"/>
      <c r="G72" s="539"/>
      <c r="H72" s="539"/>
      <c r="I72" s="539"/>
      <c r="J72" s="539"/>
      <c r="K72" s="540"/>
      <c r="L72" s="541"/>
      <c r="M72" s="542"/>
      <c r="N72" s="1147"/>
      <c r="O72" s="1147"/>
      <c r="P72" s="45"/>
      <c r="Q72" s="504"/>
    </row>
    <row r="73" spans="1:17" ht="14.4" thickBot="1">
      <c r="A73" s="534"/>
      <c r="B73" s="543"/>
      <c r="C73" s="544"/>
      <c r="D73" s="544"/>
      <c r="E73" s="544"/>
      <c r="F73" s="544"/>
      <c r="G73" s="544"/>
      <c r="H73" s="544"/>
      <c r="I73" s="544"/>
      <c r="J73" s="544"/>
      <c r="K73" s="544"/>
      <c r="L73" s="544"/>
      <c r="M73" s="545"/>
      <c r="N73" s="1148"/>
      <c r="O73" s="1148"/>
      <c r="P73" s="45"/>
      <c r="Q73" s="504"/>
    </row>
    <row r="74" spans="1:17" ht="1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c r="A75" s="534"/>
      <c r="B75" s="548"/>
      <c r="C75" s="549"/>
      <c r="D75" s="549"/>
      <c r="E75" s="549"/>
      <c r="F75" s="549"/>
      <c r="G75" s="549"/>
      <c r="H75" s="549"/>
      <c r="I75" s="549"/>
      <c r="J75" s="549"/>
      <c r="K75" s="550"/>
      <c r="L75" s="551"/>
      <c r="M75" s="552"/>
      <c r="N75" s="1147"/>
      <c r="O75" s="1147"/>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4.4" thickTop="1">
      <c r="A77" s="553"/>
      <c r="B77" s="538">
        <f>B12</f>
        <v>111</v>
      </c>
      <c r="C77" s="554"/>
      <c r="D77" s="554"/>
      <c r="E77" s="554"/>
      <c r="F77" s="554"/>
      <c r="G77" s="554"/>
      <c r="H77" s="555"/>
      <c r="I77" s="555"/>
      <c r="J77" s="555"/>
      <c r="K77" s="555"/>
      <c r="L77" s="556"/>
      <c r="M77" s="557"/>
      <c r="N77" s="1149"/>
      <c r="O77" s="1149"/>
      <c r="P77" s="558"/>
      <c r="Q77" s="559"/>
    </row>
    <row r="78" spans="1:17" s="471" customFormat="1" ht="14.4" thickBot="1">
      <c r="A78" s="553"/>
      <c r="B78" s="543"/>
      <c r="C78" s="560"/>
      <c r="D78" s="536"/>
      <c r="E78" s="536"/>
      <c r="F78" s="536"/>
      <c r="G78" s="536"/>
      <c r="H78" s="536"/>
      <c r="I78" s="536"/>
      <c r="J78" s="536"/>
      <c r="K78" s="536"/>
      <c r="L78" s="536"/>
      <c r="M78" s="537"/>
      <c r="N78" s="1148"/>
      <c r="O78" s="1148"/>
      <c r="P78" s="558"/>
      <c r="Q78" s="559"/>
    </row>
    <row r="79" spans="1:17" s="471" customFormat="1" ht="14.4" thickTop="1">
      <c r="A79" s="553"/>
      <c r="B79" s="538">
        <f>B13</f>
        <v>111</v>
      </c>
      <c r="C79" s="554"/>
      <c r="D79" s="554"/>
      <c r="E79" s="554"/>
      <c r="F79" s="554"/>
      <c r="G79" s="554"/>
      <c r="H79" s="555"/>
      <c r="I79" s="555"/>
      <c r="J79" s="555"/>
      <c r="K79" s="555"/>
      <c r="L79" s="556"/>
      <c r="M79" s="557"/>
      <c r="N79" s="1149"/>
      <c r="O79" s="1149"/>
      <c r="P79" s="470"/>
      <c r="Q79" s="561"/>
    </row>
    <row r="80" spans="1:17" s="471" customFormat="1" ht="14.4" thickBot="1">
      <c r="A80" s="553"/>
      <c r="B80" s="543"/>
      <c r="C80" s="560"/>
      <c r="D80" s="560"/>
      <c r="E80" s="560"/>
      <c r="F80" s="560"/>
      <c r="G80" s="560"/>
      <c r="H80" s="562"/>
      <c r="I80" s="562"/>
      <c r="J80" s="562"/>
      <c r="K80" s="562"/>
      <c r="L80" s="562"/>
      <c r="M80" s="563"/>
      <c r="N80" s="1149"/>
      <c r="O80" s="1149"/>
      <c r="P80" s="558"/>
      <c r="Q80" s="559"/>
    </row>
    <row r="81" spans="1:17" s="471" customFormat="1" ht="14.4" thickTop="1">
      <c r="A81" s="553"/>
      <c r="B81" s="546">
        <f>B14</f>
        <v>111</v>
      </c>
      <c r="C81" s="523"/>
      <c r="D81" s="523"/>
      <c r="E81" s="523"/>
      <c r="F81" s="523"/>
      <c r="G81" s="523"/>
      <c r="H81" s="564"/>
      <c r="I81" s="564"/>
      <c r="J81" s="564"/>
      <c r="K81" s="564"/>
      <c r="L81" s="565"/>
      <c r="M81" s="566"/>
      <c r="N81" s="1149"/>
      <c r="O81" s="1149"/>
      <c r="P81" s="567"/>
      <c r="Q81" s="559"/>
    </row>
    <row r="82" spans="1:17" s="471" customFormat="1" ht="14.4" thickBot="1">
      <c r="A82" s="568"/>
      <c r="B82" s="569"/>
      <c r="C82" s="570"/>
      <c r="D82" s="570"/>
      <c r="E82" s="570"/>
      <c r="F82" s="570"/>
      <c r="G82" s="570"/>
      <c r="H82" s="571"/>
      <c r="I82" s="571"/>
      <c r="J82" s="571"/>
      <c r="K82" s="571"/>
      <c r="L82" s="571"/>
      <c r="M82" s="572"/>
      <c r="N82" s="1149"/>
      <c r="O82" s="1149"/>
      <c r="P82" s="558"/>
      <c r="Q82" s="559"/>
    </row>
    <row r="83" spans="1:17" ht="14.4">
      <c r="A83" s="527" t="s">
        <v>2549</v>
      </c>
      <c r="B83" s="528" t="s">
        <v>2695</v>
      </c>
      <c r="C83" s="573" t="s">
        <v>2587</v>
      </c>
      <c r="D83" s="573" t="s">
        <v>2588</v>
      </c>
      <c r="E83" s="573" t="s">
        <v>2589</v>
      </c>
      <c r="F83" s="573" t="s">
        <v>2590</v>
      </c>
      <c r="G83" s="573" t="s">
        <v>2591</v>
      </c>
      <c r="H83" s="529"/>
      <c r="I83" s="529"/>
      <c r="J83" s="529"/>
      <c r="K83" s="574"/>
      <c r="L83" s="575"/>
      <c r="M83" s="576"/>
      <c r="N83" s="1147"/>
      <c r="O83" s="1147"/>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 thickTop="1">
      <c r="A85" s="534"/>
      <c r="B85" s="538" t="s">
        <v>2592</v>
      </c>
      <c r="C85" s="578" t="s">
        <v>2587</v>
      </c>
      <c r="D85" s="578" t="s">
        <v>2588</v>
      </c>
      <c r="E85" s="578" t="s">
        <v>2589</v>
      </c>
      <c r="F85" s="578" t="s">
        <v>2590</v>
      </c>
      <c r="G85" s="578" t="s">
        <v>2591</v>
      </c>
      <c r="H85" s="539"/>
      <c r="I85" s="539"/>
      <c r="J85" s="539"/>
      <c r="K85" s="540"/>
      <c r="L85" s="541"/>
      <c r="M85" s="542"/>
      <c r="N85" s="1147"/>
      <c r="O85" s="1147"/>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29.4" thickTop="1">
      <c r="A87" s="579"/>
      <c r="B87" s="538" t="s">
        <v>2775</v>
      </c>
      <c r="C87" s="573" t="s">
        <v>2587</v>
      </c>
      <c r="D87" s="573" t="s">
        <v>2588</v>
      </c>
      <c r="E87" s="573" t="s">
        <v>2589</v>
      </c>
      <c r="F87" s="573" t="s">
        <v>2590</v>
      </c>
      <c r="G87" s="573" t="s">
        <v>2591</v>
      </c>
      <c r="H87" s="578"/>
      <c r="I87" s="578"/>
      <c r="J87" s="578"/>
      <c r="K87" s="578"/>
      <c r="L87" s="698"/>
      <c r="M87" s="622"/>
      <c r="N87" s="1146"/>
      <c r="O87" s="1146"/>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9.4" thickTop="1">
      <c r="A89" s="579"/>
      <c r="B89" s="538" t="s">
        <v>2776</v>
      </c>
      <c r="C89" s="573" t="s">
        <v>2587</v>
      </c>
      <c r="D89" s="573" t="s">
        <v>2588</v>
      </c>
      <c r="E89" s="573" t="s">
        <v>2589</v>
      </c>
      <c r="F89" s="573" t="s">
        <v>2590</v>
      </c>
      <c r="G89" s="573" t="s">
        <v>2591</v>
      </c>
      <c r="H89" s="578"/>
      <c r="I89" s="578"/>
      <c r="J89" s="578"/>
      <c r="K89" s="578"/>
      <c r="L89" s="578"/>
      <c r="M89" s="622"/>
      <c r="N89" s="1146"/>
      <c r="O89" s="1146"/>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 thickTop="1">
      <c r="A91" s="553"/>
      <c r="B91" s="538" t="s">
        <v>2644</v>
      </c>
      <c r="C91" s="573" t="s">
        <v>2587</v>
      </c>
      <c r="D91" s="573" t="s">
        <v>2588</v>
      </c>
      <c r="E91" s="573" t="s">
        <v>2589</v>
      </c>
      <c r="F91" s="573" t="s">
        <v>2590</v>
      </c>
      <c r="G91" s="573" t="s">
        <v>2591</v>
      </c>
      <c r="H91" s="600"/>
      <c r="I91" s="600"/>
      <c r="J91" s="600"/>
      <c r="K91" s="600"/>
      <c r="L91" s="601"/>
      <c r="M91" s="602"/>
      <c r="N91" s="1149"/>
      <c r="O91" s="1149"/>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 thickTop="1">
      <c r="A93" s="553"/>
      <c r="B93" s="546" t="s">
        <v>2793</v>
      </c>
      <c r="C93" s="660" t="s">
        <v>2665</v>
      </c>
      <c r="D93" s="660" t="s">
        <v>2666</v>
      </c>
      <c r="E93" s="660" t="s">
        <v>2667</v>
      </c>
      <c r="F93" s="660" t="s">
        <v>2668</v>
      </c>
      <c r="G93" s="660" t="s">
        <v>2669</v>
      </c>
      <c r="H93" s="600"/>
      <c r="I93" s="600"/>
      <c r="J93" s="600"/>
      <c r="K93" s="600"/>
      <c r="L93" s="600"/>
      <c r="M93" s="602"/>
      <c r="N93" s="1149"/>
      <c r="O93" s="1149"/>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 thickTop="1">
      <c r="A95" s="534"/>
      <c r="B95" s="538" t="str">
        <f>B27</f>
        <v>临街状况</v>
      </c>
      <c r="C95" s="539" t="s">
        <v>2777</v>
      </c>
      <c r="D95" s="539" t="s">
        <v>2778</v>
      </c>
      <c r="E95" s="539" t="s">
        <v>2779</v>
      </c>
      <c r="F95" s="539" t="s">
        <v>2780</v>
      </c>
      <c r="G95" s="539"/>
      <c r="H95" s="539"/>
      <c r="I95" s="539"/>
      <c r="J95" s="539"/>
      <c r="K95" s="540"/>
      <c r="L95" s="541"/>
      <c r="M95" s="542"/>
      <c r="N95" s="1147"/>
      <c r="O95" s="1147"/>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9.4" thickTop="1">
      <c r="A97" s="534"/>
      <c r="B97" s="538" t="s">
        <v>2681</v>
      </c>
      <c r="C97" s="554"/>
      <c r="D97" s="554"/>
      <c r="E97" s="554"/>
      <c r="F97" s="554"/>
      <c r="G97" s="554"/>
      <c r="H97" s="583"/>
      <c r="I97" s="583"/>
      <c r="J97" s="583"/>
      <c r="K97" s="584"/>
      <c r="L97" s="585"/>
      <c r="M97" s="586"/>
      <c r="N97" s="1147"/>
      <c r="O97" s="1147"/>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 thickTop="1">
      <c r="A99" s="534"/>
      <c r="B99" s="538" t="s">
        <v>2740</v>
      </c>
      <c r="C99" s="583"/>
      <c r="D99" s="583"/>
      <c r="E99" s="583"/>
      <c r="F99" s="583"/>
      <c r="G99" s="583"/>
      <c r="H99" s="583"/>
      <c r="I99" s="583"/>
      <c r="J99" s="583"/>
      <c r="K99" s="584"/>
      <c r="L99" s="585"/>
      <c r="M99" s="586"/>
      <c r="N99" s="1147"/>
      <c r="O99" s="1147"/>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4.4" thickTop="1">
      <c r="A101" s="534"/>
      <c r="B101" s="546">
        <f>B31</f>
        <v>111</v>
      </c>
      <c r="C101" s="554"/>
      <c r="D101" s="554"/>
      <c r="E101" s="554"/>
      <c r="F101" s="554"/>
      <c r="G101" s="587"/>
      <c r="H101" s="587"/>
      <c r="I101" s="587"/>
      <c r="J101" s="587"/>
      <c r="K101" s="588"/>
      <c r="L101" s="589"/>
      <c r="M101" s="590"/>
      <c r="N101" s="1147"/>
      <c r="O101" s="1147"/>
      <c r="P101" s="45"/>
      <c r="Q101" s="504"/>
    </row>
    <row r="102" spans="1:17" ht="14.4" thickBot="1">
      <c r="A102" s="534"/>
      <c r="B102" s="569"/>
      <c r="C102" s="560"/>
      <c r="D102" s="536"/>
      <c r="E102" s="536"/>
      <c r="F102" s="536"/>
      <c r="G102" s="591"/>
      <c r="H102" s="591"/>
      <c r="I102" s="591"/>
      <c r="J102" s="591"/>
      <c r="K102" s="591"/>
      <c r="L102" s="591"/>
      <c r="M102" s="592"/>
      <c r="N102" s="1148"/>
      <c r="O102" s="1148"/>
      <c r="P102" s="45"/>
      <c r="Q102" s="504"/>
    </row>
    <row r="103" spans="1:17" ht="14.4" thickTop="1">
      <c r="A103" s="675"/>
      <c r="B103" s="538">
        <f>B32</f>
        <v>111</v>
      </c>
      <c r="C103" s="554"/>
      <c r="D103" s="554"/>
      <c r="E103" s="554"/>
      <c r="F103" s="554"/>
      <c r="G103" s="583"/>
      <c r="H103" s="583"/>
      <c r="I103" s="583"/>
      <c r="J103" s="583"/>
      <c r="K103" s="584"/>
      <c r="L103" s="585"/>
      <c r="M103" s="586"/>
      <c r="N103" s="1147"/>
      <c r="O103" s="1147"/>
      <c r="P103" s="45"/>
      <c r="Q103" s="504"/>
    </row>
    <row r="104" spans="1:17" ht="14.4" thickBot="1">
      <c r="A104" s="534"/>
      <c r="B104" s="543"/>
      <c r="C104" s="560"/>
      <c r="D104" s="560"/>
      <c r="E104" s="560"/>
      <c r="F104" s="560"/>
      <c r="G104" s="536"/>
      <c r="H104" s="536"/>
      <c r="I104" s="536"/>
      <c r="J104" s="536"/>
      <c r="K104" s="536"/>
      <c r="L104" s="536"/>
      <c r="M104" s="537"/>
      <c r="N104" s="1148"/>
      <c r="O104" s="1148"/>
      <c r="P104" s="45"/>
      <c r="Q104" s="504"/>
    </row>
    <row r="105" spans="1:17" s="471" customFormat="1" ht="14.4"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4.4" thickBot="1">
      <c r="A106" s="553"/>
      <c r="B106" s="546"/>
      <c r="C106" s="570"/>
      <c r="D106" s="570"/>
      <c r="E106" s="570"/>
      <c r="F106" s="570"/>
      <c r="G106" s="677"/>
      <c r="H106" s="677"/>
      <c r="I106" s="677"/>
      <c r="J106" s="677"/>
      <c r="K106" s="677"/>
      <c r="L106" s="677"/>
      <c r="M106" s="699"/>
      <c r="N106" s="1148"/>
      <c r="O106" s="1148"/>
      <c r="P106" s="558"/>
      <c r="Q106" s="559"/>
    </row>
    <row r="107" spans="1:17" ht="14.4">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2" t="str">
        <f t="shared" si="25"/>
        <v>(含)-</v>
      </c>
      <c r="L107" s="1752" t="str">
        <f t="shared" si="25"/>
        <v>(含)-</v>
      </c>
      <c r="M107" s="1753" t="str">
        <f>M108&amp;"(含)"&amp;"-"&amp;P108</f>
        <v>(含)-</v>
      </c>
      <c r="N107" s="1147"/>
      <c r="O107" s="1147"/>
      <c r="P107" s="45"/>
      <c r="Q107" s="504"/>
    </row>
    <row r="108" spans="1:17">
      <c r="A108" s="534"/>
      <c r="B108" s="546"/>
      <c r="C108" s="595"/>
      <c r="D108" s="595"/>
      <c r="E108" s="595"/>
      <c r="F108" s="595"/>
      <c r="G108" s="595"/>
      <c r="H108" s="595"/>
      <c r="I108" s="595"/>
      <c r="J108" s="596"/>
      <c r="K108" s="596"/>
      <c r="L108" s="597"/>
      <c r="M108" s="598"/>
      <c r="N108" s="1147"/>
      <c r="O108" s="1147"/>
      <c r="P108" s="45"/>
      <c r="Q108" s="504"/>
    </row>
    <row r="109" spans="1:17" ht="14.4"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2782</v>
      </c>
      <c r="C110" s="583"/>
      <c r="D110" s="583"/>
      <c r="E110" s="583"/>
      <c r="F110" s="583"/>
      <c r="G110" s="583"/>
      <c r="H110" s="583"/>
      <c r="I110" s="583"/>
      <c r="J110" s="583"/>
      <c r="K110" s="584"/>
      <c r="L110" s="585"/>
      <c r="M110" s="586"/>
      <c r="N110" s="1147"/>
      <c r="O110" s="1147"/>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2784</v>
      </c>
      <c r="C112" s="554"/>
      <c r="D112" s="554"/>
      <c r="E112" s="554"/>
      <c r="F112" s="554"/>
      <c r="G112" s="554"/>
      <c r="H112" s="583"/>
      <c r="I112" s="583"/>
      <c r="J112" s="583"/>
      <c r="K112" s="584"/>
      <c r="L112" s="585"/>
      <c r="M112" s="586"/>
      <c r="N112" s="1149"/>
      <c r="O112" s="1149"/>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2785</v>
      </c>
      <c r="C114" s="554"/>
      <c r="D114" s="554"/>
      <c r="E114" s="583"/>
      <c r="F114" s="583"/>
      <c r="G114" s="583"/>
      <c r="H114" s="583"/>
      <c r="I114" s="583"/>
      <c r="J114" s="583"/>
      <c r="K114" s="584"/>
      <c r="L114" s="585"/>
      <c r="M114" s="586"/>
      <c r="N114" s="1147"/>
      <c r="O114" s="1147"/>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4.4" thickTop="1">
      <c r="A116" s="599"/>
      <c r="B116" s="538">
        <f>B38</f>
        <v>111</v>
      </c>
      <c r="C116" s="554"/>
      <c r="D116" s="554"/>
      <c r="E116" s="554"/>
      <c r="F116" s="554"/>
      <c r="G116" s="554"/>
      <c r="H116" s="583"/>
      <c r="I116" s="583"/>
      <c r="J116" s="583"/>
      <c r="K116" s="584"/>
      <c r="L116" s="585"/>
      <c r="M116" s="586"/>
      <c r="N116" s="1147"/>
      <c r="O116" s="1147"/>
      <c r="P116" s="45"/>
      <c r="Q116" s="504"/>
    </row>
    <row r="117" spans="1:17" ht="14.4" thickBot="1">
      <c r="A117" s="534"/>
      <c r="B117" s="543"/>
      <c r="C117" s="560"/>
      <c r="D117" s="536"/>
      <c r="E117" s="536"/>
      <c r="F117" s="536"/>
      <c r="G117" s="536"/>
      <c r="H117" s="536"/>
      <c r="I117" s="536"/>
      <c r="J117" s="536"/>
      <c r="K117" s="536"/>
      <c r="L117" s="536"/>
      <c r="M117" s="537"/>
      <c r="N117" s="1148"/>
      <c r="O117" s="1148"/>
      <c r="P117" s="45"/>
      <c r="Q117" s="504"/>
    </row>
    <row r="118" spans="1:17" ht="14.4" thickTop="1">
      <c r="A118" s="599"/>
      <c r="B118" s="538">
        <f>B39</f>
        <v>111</v>
      </c>
      <c r="C118" s="554"/>
      <c r="D118" s="554"/>
      <c r="E118" s="554"/>
      <c r="F118" s="554"/>
      <c r="G118" s="583"/>
      <c r="H118" s="583"/>
      <c r="I118" s="583"/>
      <c r="J118" s="583"/>
      <c r="K118" s="584"/>
      <c r="L118" s="585"/>
      <c r="M118" s="586"/>
      <c r="N118" s="1147"/>
      <c r="O118" s="1147"/>
      <c r="P118" s="45"/>
      <c r="Q118" s="504"/>
    </row>
    <row r="119" spans="1:17" ht="14.4" thickBot="1">
      <c r="A119" s="534"/>
      <c r="B119" s="543"/>
      <c r="C119" s="560"/>
      <c r="D119" s="560"/>
      <c r="E119" s="560"/>
      <c r="F119" s="560"/>
      <c r="G119" s="536"/>
      <c r="H119" s="536"/>
      <c r="I119" s="536"/>
      <c r="J119" s="536"/>
      <c r="K119" s="536"/>
      <c r="L119" s="536"/>
      <c r="M119" s="537"/>
      <c r="N119" s="1148"/>
      <c r="O119" s="1148"/>
      <c r="P119" s="45"/>
      <c r="Q119" s="504"/>
    </row>
    <row r="120" spans="1:17" s="471" customFormat="1" ht="14.4"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4.4"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7" customWidth="1"/>
    <col min="33" max="36" width="9.33203125" style="2776" customWidth="1"/>
    <col min="37" max="38" width="9.33203125" style="2708" customWidth="1"/>
    <col min="39" max="16384" width="12" style="2708"/>
  </cols>
  <sheetData>
    <row r="1" spans="1:36" ht="31.2">
      <c r="A1" s="240" t="s">
        <v>2794</v>
      </c>
      <c r="B1" s="241"/>
      <c r="C1" s="245" t="s">
        <v>2795</v>
      </c>
      <c r="D1" s="388">
        <f>SUM(D29:D30,D33:D39)</f>
        <v>26881.280000000002</v>
      </c>
      <c r="E1" s="2705"/>
      <c r="F1" s="2705"/>
      <c r="G1" s="2705"/>
      <c r="H1" s="2705"/>
      <c r="I1" s="2705"/>
      <c r="J1" s="2705"/>
      <c r="K1" s="1365"/>
      <c r="L1" s="2706" t="s">
        <v>2796</v>
      </c>
      <c r="M1" s="1075">
        <f>SUMPRODUCT((区片价!B5:B9=I2)*(区片价!C3:F3=E2)*(区片价!C5:F9))</f>
        <v>0</v>
      </c>
      <c r="N1" s="1078">
        <f>SUMPRODUCT((因素修正幅度!B5:B9=I2)*(因素修正幅度!C3:F3=E2)*(因素修正幅度!C5:F9))</f>
        <v>0</v>
      </c>
      <c r="O1" s="2707"/>
      <c r="P1" s="2707"/>
      <c r="Q1" s="1365"/>
      <c r="R1" s="1596" t="s">
        <v>2797</v>
      </c>
      <c r="S1" s="1596" t="s">
        <v>2798</v>
      </c>
      <c r="T1" s="1596" t="s">
        <v>2799</v>
      </c>
      <c r="U1" s="1596" t="s">
        <v>2800</v>
      </c>
      <c r="V1" s="1596" t="s">
        <v>2801</v>
      </c>
      <c r="W1" s="1600"/>
      <c r="X1" s="1600"/>
      <c r="Y1" s="1600"/>
      <c r="Z1" s="1600"/>
      <c r="AA1" s="1600"/>
      <c r="AB1" s="1600"/>
      <c r="AC1" s="1601"/>
      <c r="AD1" s="1602"/>
      <c r="AE1" s="1602"/>
      <c r="AF1" s="1602"/>
      <c r="AG1" s="1602"/>
      <c r="AH1" s="1602"/>
      <c r="AI1" s="1602"/>
      <c r="AJ1" s="1603"/>
    </row>
    <row r="2" spans="1:36" ht="15.6">
      <c r="A2" s="245" t="s">
        <v>2802</v>
      </c>
      <c r="B2" s="248">
        <f ca="1">C26</f>
        <v>27959</v>
      </c>
      <c r="C2" s="2709" t="s">
        <v>2803</v>
      </c>
      <c r="D2" s="2710" t="s">
        <v>2804</v>
      </c>
      <c r="E2" s="2711" t="s">
        <v>1372</v>
      </c>
      <c r="F2" s="2710" t="s">
        <v>2805</v>
      </c>
      <c r="G2" s="2712" t="str">
        <f>IF(E2="商业",项目基本情况!B37,IF(E2="办公",项目基本情况!C37,IF(E2="住宅",项目基本情况!D37,项目基本情况!E37)))</f>
        <v>五级</v>
      </c>
      <c r="H2" s="2710" t="s">
        <v>2806</v>
      </c>
      <c r="I2" s="2712" t="str">
        <f>IF(E2="商业",项目基本情况!B38,IF(E2="办公",项目基本情况!C38,IF(E2="住宅",项目基本情况!D38,项目基本情况!E38)))</f>
        <v>Ⅴ-01</v>
      </c>
      <c r="J2" s="2713"/>
      <c r="K2" s="1365"/>
      <c r="L2" s="2714" t="s">
        <v>2807</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1.8629</v>
      </c>
      <c r="T2" s="1596">
        <f ca="1">ROUND($C$5*$C$18*$C$19*$C$20*S2*$C$24,0)</f>
        <v>29449</v>
      </c>
      <c r="U2" s="1597"/>
      <c r="V2" s="1596">
        <f ca="1">ROUND(T2*U2/10000,0)</f>
        <v>0</v>
      </c>
      <c r="W2" s="1600"/>
      <c r="X2" s="1600"/>
      <c r="Y2" s="1600"/>
      <c r="Z2" s="1600"/>
      <c r="AA2" s="1600"/>
      <c r="AB2" s="1600"/>
      <c r="AC2" s="1601"/>
      <c r="AD2" s="1602"/>
      <c r="AE2" s="1602"/>
      <c r="AF2" s="1602"/>
      <c r="AG2" s="1602"/>
      <c r="AH2" s="1602"/>
      <c r="AI2" s="1602"/>
      <c r="AJ2" s="1603"/>
    </row>
    <row r="3" spans="1:36" ht="15.6">
      <c r="A3" s="247" t="s">
        <v>2808</v>
      </c>
      <c r="B3" s="248">
        <f ca="1">ROUND(B2*10000/D1,0)</f>
        <v>10401</v>
      </c>
      <c r="C3" s="2709" t="s">
        <v>2809</v>
      </c>
      <c r="D3" s="2710" t="s">
        <v>2810</v>
      </c>
      <c r="E3" s="2715" t="s">
        <v>4217</v>
      </c>
      <c r="F3" s="2716" t="s">
        <v>2811</v>
      </c>
      <c r="G3" s="911">
        <f>IF(F3="宗地容积率",'数据-汇总表'!I4,IF(F3="估价对象容积率",'数据-汇总表'!I6,'数据-汇总表'!I7))</f>
        <v>1.35</v>
      </c>
      <c r="H3" s="198" t="s">
        <v>2812</v>
      </c>
      <c r="I3" s="939">
        <v>1</v>
      </c>
      <c r="J3" s="2713" t="s">
        <v>2813</v>
      </c>
      <c r="K3" s="1365"/>
      <c r="L3" s="2714" t="s">
        <v>2814</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1.3371999999999999</v>
      </c>
      <c r="T3" s="1596">
        <f t="shared" ref="T3:T16" ca="1" si="0">ROUND($C$5*$C$18*$C$19*$C$20*S3*$C$24,0)</f>
        <v>21138</v>
      </c>
      <c r="U3" s="1597"/>
      <c r="V3" s="1596">
        <f t="shared" ref="V3:V16" ca="1" si="1">ROUND(T3*U3/10000,0)</f>
        <v>0</v>
      </c>
      <c r="W3" s="1600"/>
      <c r="X3" s="1600"/>
      <c r="Y3" s="1600"/>
      <c r="Z3" s="1600"/>
      <c r="AA3" s="1600"/>
      <c r="AB3" s="1600"/>
      <c r="AC3" s="1601"/>
      <c r="AD3" s="1602"/>
      <c r="AE3" s="1602"/>
      <c r="AF3" s="1602"/>
      <c r="AG3" s="1602"/>
      <c r="AH3" s="1602"/>
      <c r="AI3" s="1602"/>
      <c r="AJ3" s="1603"/>
    </row>
    <row r="4" spans="1:36" ht="15.6">
      <c r="A4" s="3291"/>
      <c r="B4" s="3292"/>
      <c r="C4" s="3292"/>
      <c r="D4" s="3293"/>
      <c r="E4" s="3293"/>
      <c r="F4" s="3293"/>
      <c r="G4" s="3293"/>
      <c r="H4" s="3293"/>
      <c r="I4" s="3293"/>
      <c r="J4" s="3294"/>
      <c r="K4" s="1365"/>
      <c r="L4" s="2714" t="s">
        <v>2815</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1.0788</v>
      </c>
      <c r="T4" s="1596">
        <f t="shared" ca="1" si="0"/>
        <v>17054</v>
      </c>
      <c r="U4" s="1597"/>
      <c r="V4" s="1596">
        <f t="shared" ca="1" si="1"/>
        <v>0</v>
      </c>
      <c r="W4" s="1600"/>
      <c r="X4" s="1600"/>
      <c r="Y4" s="1600"/>
      <c r="Z4" s="1600"/>
      <c r="AA4" s="1600"/>
      <c r="AB4" s="1600"/>
      <c r="AC4" s="1601"/>
      <c r="AD4" s="1602"/>
      <c r="AE4" s="1602"/>
      <c r="AF4" s="1602"/>
      <c r="AG4" s="1602"/>
      <c r="AH4" s="1602"/>
      <c r="AI4" s="1602"/>
      <c r="AJ4" s="1603"/>
    </row>
    <row r="5" spans="1:36" s="2726" customFormat="1" ht="15.6" thickBot="1">
      <c r="A5" s="2717" t="s">
        <v>807</v>
      </c>
      <c r="B5" s="2718" t="s">
        <v>2816</v>
      </c>
      <c r="C5" s="912">
        <f>ROUND(IF(E2="商业",C6*C7+C16,(IF(E2="住宅",C6*C12+C16,C6+C16))),0)</f>
        <v>14674</v>
      </c>
      <c r="D5" s="1773">
        <f>ROUND(C6+C16,0)</f>
        <v>14674</v>
      </c>
      <c r="E5" s="1773"/>
      <c r="F5" s="2719"/>
      <c r="G5" s="2720"/>
      <c r="H5" s="2720"/>
      <c r="I5" s="2720"/>
      <c r="J5" s="2721"/>
      <c r="K5" s="2722"/>
      <c r="L5" s="2714" t="s">
        <v>2817</v>
      </c>
      <c r="M5" s="1076">
        <f>SUMPRODUCT((区片价!B76:B109=I2)*(区片价!C3:F3=E2)*(区片价!C76:F109))</f>
        <v>14690</v>
      </c>
      <c r="N5" s="1078">
        <f>SUMPRODUCT((因素修正幅度!B76:B109=I2)*(因素修正幅度!C3:F3=E2)*(因素修正幅度!C76:F109))</f>
        <v>0.1</v>
      </c>
      <c r="O5" s="1365"/>
      <c r="P5" s="1365"/>
      <c r="Q5" s="1365"/>
      <c r="R5" s="1596">
        <v>4</v>
      </c>
      <c r="S5" s="1596">
        <f>ROUND(IF(G3&gt;1,IF(R5&lt;7,SUMPRODUCT((B93:B98=R5)*(C92:N92=G2)*(C93:N98)),SUMIF(C92:N92,G2,C100:N100)),IF(R5&lt;7,SUMPRODUCT((B102:B107=R5)*(C92:N92=G2)*(C102:N107)),SUMIF(C92:N92,G2,C109:N109))),4)</f>
        <v>0.86560000000000004</v>
      </c>
      <c r="T5" s="1596">
        <f t="shared" ca="1" si="0"/>
        <v>13683</v>
      </c>
      <c r="U5" s="1597"/>
      <c r="V5" s="1596">
        <f t="shared" ca="1" si="1"/>
        <v>0</v>
      </c>
      <c r="W5" s="1600"/>
      <c r="X5" s="1600"/>
      <c r="Y5" s="1600"/>
      <c r="Z5" s="1600"/>
      <c r="AA5" s="1600"/>
      <c r="AB5" s="1600"/>
      <c r="AC5" s="2723"/>
      <c r="AD5" s="2724"/>
      <c r="AE5" s="2724"/>
      <c r="AF5" s="2724"/>
      <c r="AG5" s="2724"/>
      <c r="AH5" s="2724"/>
      <c r="AI5" s="2724"/>
      <c r="AJ5" s="2725"/>
    </row>
    <row r="6" spans="1:36" ht="15.6" thickBot="1">
      <c r="A6" s="2727" t="s">
        <v>2818</v>
      </c>
      <c r="B6" s="2728" t="s">
        <v>2819</v>
      </c>
      <c r="C6" s="913">
        <f>SUMIF(L1:L12,G2,M1:M12)</f>
        <v>14690</v>
      </c>
      <c r="D6" s="2729" t="s">
        <v>2820</v>
      </c>
      <c r="E6" s="2730"/>
      <c r="F6" s="2730"/>
      <c r="G6" s="2731"/>
      <c r="H6" s="2731"/>
      <c r="I6" s="2731"/>
      <c r="J6" s="2732"/>
      <c r="K6" s="1828"/>
      <c r="L6" s="2714" t="s">
        <v>2821</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0.73709999999999998</v>
      </c>
      <c r="T6" s="1596">
        <f t="shared" ca="1" si="0"/>
        <v>11652</v>
      </c>
      <c r="U6" s="1597"/>
      <c r="V6" s="1596">
        <f t="shared" ca="1" si="1"/>
        <v>0</v>
      </c>
      <c r="W6" s="1600"/>
      <c r="X6" s="1600"/>
      <c r="Y6" s="1600"/>
      <c r="Z6" s="1600"/>
      <c r="AA6" s="1600"/>
      <c r="AB6" s="1600"/>
      <c r="AC6" s="2723"/>
      <c r="AD6" s="2724"/>
      <c r="AE6" s="2724"/>
      <c r="AF6" s="2724"/>
      <c r="AG6" s="2724"/>
      <c r="AH6" s="2724"/>
      <c r="AI6" s="2724"/>
      <c r="AJ6" s="2725"/>
    </row>
    <row r="7" spans="1:36" ht="24">
      <c r="A7" s="3275" t="str">
        <f>IF(E2="商业",IF(C8="不临58条商业街","",2),"")</f>
        <v/>
      </c>
      <c r="B7" s="2733" t="s">
        <v>2822</v>
      </c>
      <c r="C7" s="914">
        <f>IF(C8="不临58条商业街",1,ROUND(1+(1.6*E8+1.2*E9+0.8*E10+0.4*E11)*C9,4))</f>
        <v>1</v>
      </c>
      <c r="D7" s="2734" t="s">
        <v>2823</v>
      </c>
      <c r="E7" s="940"/>
      <c r="F7" s="2735"/>
      <c r="G7" s="2736"/>
      <c r="H7" s="2736"/>
      <c r="I7" s="2736"/>
      <c r="J7" s="2737"/>
      <c r="K7" s="1828"/>
      <c r="L7" s="2714" t="s">
        <v>2824</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0.6482</v>
      </c>
      <c r="T7" s="1596">
        <f t="shared" ca="1" si="0"/>
        <v>10247</v>
      </c>
      <c r="U7" s="1597"/>
      <c r="V7" s="1596">
        <f t="shared" ca="1" si="1"/>
        <v>0</v>
      </c>
      <c r="W7" s="1802" t="s">
        <v>2825</v>
      </c>
      <c r="X7" s="1598" t="str">
        <f>G2</f>
        <v>五级</v>
      </c>
      <c r="Y7" s="1598" t="s">
        <v>2826</v>
      </c>
      <c r="Z7" s="1599">
        <f>G3</f>
        <v>1.35</v>
      </c>
      <c r="AA7" s="1600"/>
      <c r="AB7" s="1600"/>
      <c r="AC7" s="1601"/>
      <c r="AD7" s="1602"/>
      <c r="AE7" s="1602"/>
      <c r="AF7" s="1602"/>
      <c r="AG7" s="1602"/>
      <c r="AH7" s="1602"/>
      <c r="AI7" s="1602"/>
      <c r="AJ7" s="1603"/>
    </row>
    <row r="8" spans="1:36" ht="26.4">
      <c r="A8" s="3295"/>
      <c r="B8" s="198" t="s">
        <v>2827</v>
      </c>
      <c r="C8" s="2738" t="s">
        <v>4218</v>
      </c>
      <c r="D8" s="915" t="s">
        <v>139</v>
      </c>
      <c r="E8" s="916" t="e">
        <f>ROUND(C11/E7,4)</f>
        <v>#DIV/0!</v>
      </c>
      <c r="F8" s="2739" t="s">
        <v>2828</v>
      </c>
      <c r="G8" s="2740"/>
      <c r="H8" s="2740"/>
      <c r="I8" s="2740"/>
      <c r="J8" s="2741"/>
      <c r="K8" s="1365"/>
      <c r="L8" s="2714" t="s">
        <v>2829</v>
      </c>
      <c r="M8" s="1076">
        <f>SUMPRODUCT((区片价!B206:B244=I2)*(区片价!C3:F3=E2)*(区片价!C206:F244))</f>
        <v>0</v>
      </c>
      <c r="N8" s="1078">
        <f>SUMPRODUCT((因素修正幅度!B206:B244=I2)*(因素修正幅度!C3:F3=E2)*(因素修正幅度!C206:F244))</f>
        <v>0</v>
      </c>
      <c r="O8" s="1365"/>
      <c r="P8" s="1365"/>
      <c r="Q8" s="1365"/>
      <c r="R8" s="1596">
        <v>7</v>
      </c>
      <c r="S8" s="1597"/>
      <c r="T8" s="1596">
        <f t="shared" ca="1" si="0"/>
        <v>0</v>
      </c>
      <c r="U8" s="1597"/>
      <c r="V8" s="1596">
        <f t="shared" ca="1" si="1"/>
        <v>0</v>
      </c>
      <c r="W8" s="3288" t="s">
        <v>2830</v>
      </c>
      <c r="X8" s="3289"/>
      <c r="Y8" s="1604" t="s">
        <v>2831</v>
      </c>
      <c r="Z8" s="1604" t="s">
        <v>2832</v>
      </c>
      <c r="AA8" s="1604" t="s">
        <v>2833</v>
      </c>
      <c r="AB8" s="1604" t="s">
        <v>2834</v>
      </c>
      <c r="AC8" s="1604" t="s">
        <v>2835</v>
      </c>
      <c r="AD8" s="1604" t="s">
        <v>2836</v>
      </c>
      <c r="AE8" s="1604" t="s">
        <v>2837</v>
      </c>
      <c r="AF8" s="1604" t="s">
        <v>2838</v>
      </c>
      <c r="AG8" s="1604" t="s">
        <v>2839</v>
      </c>
      <c r="AH8" s="1604" t="s">
        <v>2840</v>
      </c>
      <c r="AI8" s="1604" t="s">
        <v>2841</v>
      </c>
      <c r="AJ8" s="1604" t="s">
        <v>2842</v>
      </c>
    </row>
    <row r="9" spans="1:36" ht="15">
      <c r="A9" s="3295"/>
      <c r="B9" s="198" t="s">
        <v>2843</v>
      </c>
      <c r="C9" s="917">
        <f>SUMIF(修正!C59:C119,C8,修正!E59:E119)</f>
        <v>0</v>
      </c>
      <c r="D9" s="200" t="s">
        <v>140</v>
      </c>
      <c r="E9" s="200" t="e">
        <f>ROUND(C11/E7,4)</f>
        <v>#DIV/0!</v>
      </c>
      <c r="F9" s="2739" t="s">
        <v>2844</v>
      </c>
      <c r="G9" s="2740"/>
      <c r="H9" s="2740"/>
      <c r="I9" s="2740"/>
      <c r="J9" s="2741"/>
      <c r="K9" s="1365"/>
      <c r="L9" s="2714" t="s">
        <v>2845</v>
      </c>
      <c r="M9" s="1076">
        <f>SUMPRODUCT((区片价!B245:B289=I2)*(区片价!C3:F3=E2)*(区片价!C245:F289))</f>
        <v>0</v>
      </c>
      <c r="N9" s="1078">
        <f>SUMPRODUCT((因素修正幅度!B245:B289=I2)*(因素修正幅度!C3:F3=E2)*(因素修正幅度!C245:F289))</f>
        <v>0</v>
      </c>
      <c r="O9" s="1365"/>
      <c r="P9" s="1365"/>
      <c r="Q9" s="1365"/>
      <c r="R9" s="1596">
        <v>8</v>
      </c>
      <c r="S9" s="1597"/>
      <c r="T9" s="1596">
        <f t="shared" ca="1" si="0"/>
        <v>0</v>
      </c>
      <c r="U9" s="1597"/>
      <c r="V9" s="1596">
        <f t="shared" ca="1" si="1"/>
        <v>0</v>
      </c>
      <c r="W9" s="3290" t="s">
        <v>2846</v>
      </c>
      <c r="X9" s="1605" t="s">
        <v>2847</v>
      </c>
      <c r="Y9" s="1758"/>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5"/>
      <c r="B10" s="198" t="s">
        <v>2848</v>
      </c>
      <c r="C10" s="200">
        <f>SUMIF(修正!C59:C119,C8,修正!F59:F119)</f>
        <v>0</v>
      </c>
      <c r="D10" s="200" t="s">
        <v>141</v>
      </c>
      <c r="E10" s="200" t="e">
        <f>ROUND(C11/E7,4)</f>
        <v>#DIV/0!</v>
      </c>
      <c r="F10" s="2739" t="s">
        <v>2849</v>
      </c>
      <c r="G10" s="2740"/>
      <c r="H10" s="2740"/>
      <c r="I10" s="2740"/>
      <c r="J10" s="2741"/>
      <c r="K10" s="1365"/>
      <c r="L10" s="2714" t="s">
        <v>2850</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f t="shared" ca="1" si="0"/>
        <v>0</v>
      </c>
      <c r="U10" s="1597"/>
      <c r="V10" s="1596">
        <f t="shared" ca="1" si="1"/>
        <v>0</v>
      </c>
      <c r="W10" s="3290"/>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295"/>
      <c r="B11" s="2742" t="s">
        <v>2851</v>
      </c>
      <c r="C11" s="918">
        <f>C10/4</f>
        <v>0</v>
      </c>
      <c r="D11" s="918" t="s">
        <v>142</v>
      </c>
      <c r="E11" s="918" t="e">
        <f>ROUND(C11/E7,4)</f>
        <v>#DIV/0!</v>
      </c>
      <c r="F11" s="2743" t="s">
        <v>2852</v>
      </c>
      <c r="G11" s="2744"/>
      <c r="H11" s="2744"/>
      <c r="I11" s="2744"/>
      <c r="J11" s="2745"/>
      <c r="K11" s="1365"/>
      <c r="L11" s="2714" t="s">
        <v>2853</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f t="shared" ca="1" si="0"/>
        <v>0</v>
      </c>
      <c r="U11" s="1597"/>
      <c r="V11" s="1596">
        <f t="shared" ca="1" si="1"/>
        <v>0</v>
      </c>
      <c r="W11" s="3290" t="s">
        <v>2854</v>
      </c>
      <c r="X11" s="1608" t="s">
        <v>2855</v>
      </c>
      <c r="Y11" s="1609">
        <f>$G$3</f>
        <v>1.35</v>
      </c>
      <c r="Z11" s="1609">
        <f t="shared" ref="Z11:AJ11" si="3">$G$3</f>
        <v>1.35</v>
      </c>
      <c r="AA11" s="1609">
        <f t="shared" si="3"/>
        <v>1.35</v>
      </c>
      <c r="AB11" s="1609">
        <f t="shared" si="3"/>
        <v>1.35</v>
      </c>
      <c r="AC11" s="1609">
        <f t="shared" si="3"/>
        <v>1.35</v>
      </c>
      <c r="AD11" s="1609">
        <f t="shared" si="3"/>
        <v>1.35</v>
      </c>
      <c r="AE11" s="1609">
        <f t="shared" si="3"/>
        <v>1.35</v>
      </c>
      <c r="AF11" s="1609">
        <f t="shared" si="3"/>
        <v>1.35</v>
      </c>
      <c r="AG11" s="1609">
        <f t="shared" si="3"/>
        <v>1.35</v>
      </c>
      <c r="AH11" s="1609">
        <f t="shared" si="3"/>
        <v>1.35</v>
      </c>
      <c r="AI11" s="1609">
        <f t="shared" si="3"/>
        <v>1.35</v>
      </c>
      <c r="AJ11" s="1609">
        <f t="shared" si="3"/>
        <v>1.35</v>
      </c>
    </row>
    <row r="12" spans="1:36" ht="25.8" thickBot="1">
      <c r="A12" s="3275" t="s">
        <v>2856</v>
      </c>
      <c r="B12" s="2746" t="s">
        <v>2857</v>
      </c>
      <c r="C12" s="914">
        <f>ROUND(C15*D15*E15*F15*G15*H15*I15*J15,4)</f>
        <v>1</v>
      </c>
      <c r="D12" s="2747" t="s">
        <v>2858</v>
      </c>
      <c r="E12" s="2748"/>
      <c r="F12" s="2748"/>
      <c r="G12" s="2749"/>
      <c r="H12" s="2749"/>
      <c r="I12" s="2749"/>
      <c r="J12" s="2750"/>
      <c r="K12" s="1365"/>
      <c r="L12" s="2751" t="s">
        <v>2859</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f t="shared" ca="1" si="0"/>
        <v>0</v>
      </c>
      <c r="U12" s="1597"/>
      <c r="V12" s="1596">
        <f t="shared" ca="1" si="1"/>
        <v>0</v>
      </c>
      <c r="W12" s="3290"/>
      <c r="X12" s="1610" t="s">
        <v>2860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6"/>
      <c r="B13" s="2752" t="s">
        <v>2861</v>
      </c>
      <c r="C13" s="2753" t="s">
        <v>2862</v>
      </c>
      <c r="D13" s="1794" t="s">
        <v>2863</v>
      </c>
      <c r="E13" s="1794" t="s">
        <v>2864</v>
      </c>
      <c r="F13" s="30" t="s">
        <v>2865</v>
      </c>
      <c r="G13" s="2754" t="s">
        <v>2866</v>
      </c>
      <c r="H13" s="2754" t="s">
        <v>2866</v>
      </c>
      <c r="I13" s="2754" t="s">
        <v>2866</v>
      </c>
      <c r="J13" s="2755" t="s">
        <v>2866</v>
      </c>
      <c r="K13" s="1365"/>
      <c r="L13" s="1365"/>
      <c r="M13" s="1365"/>
      <c r="N13" s="1365"/>
      <c r="O13" s="1365"/>
      <c r="P13" s="1365"/>
      <c r="Q13" s="1365"/>
      <c r="R13" s="1596">
        <v>12</v>
      </c>
      <c r="S13" s="1597"/>
      <c r="T13" s="1596">
        <f t="shared" ca="1" si="0"/>
        <v>0</v>
      </c>
      <c r="U13" s="1597"/>
      <c r="V13" s="1596">
        <f t="shared" ca="1" si="1"/>
        <v>0</v>
      </c>
      <c r="W13" s="3290"/>
      <c r="X13" s="1610"/>
      <c r="Y13" s="1607">
        <f>(-0.163*(Y12^2)-0.59*Y12+7617)*(10^(-4))/Y11</f>
        <v>0.56422222222222218</v>
      </c>
      <c r="Z13" s="1607">
        <f t="shared" ref="Z13:AJ13" si="5">(-0.163*(Z12^2)-0.59*Z12+7617)*(10^(-4))/Z11</f>
        <v>0.56422222222222218</v>
      </c>
      <c r="AA13" s="1607">
        <f t="shared" si="5"/>
        <v>0.56422222222222218</v>
      </c>
      <c r="AB13" s="1607">
        <f t="shared" si="5"/>
        <v>0.56422222222222218</v>
      </c>
      <c r="AC13" s="1607">
        <f t="shared" si="5"/>
        <v>0.56422222222222218</v>
      </c>
      <c r="AD13" s="1607">
        <f t="shared" si="5"/>
        <v>0.56422222222222218</v>
      </c>
      <c r="AE13" s="1607">
        <f t="shared" si="5"/>
        <v>0.56422222222222218</v>
      </c>
      <c r="AF13" s="1607">
        <f t="shared" si="5"/>
        <v>0.56422222222222218</v>
      </c>
      <c r="AG13" s="1607">
        <f t="shared" si="5"/>
        <v>0.56422222222222218</v>
      </c>
      <c r="AH13" s="1607">
        <f t="shared" si="5"/>
        <v>0.56422222222222218</v>
      </c>
      <c r="AI13" s="1607">
        <f t="shared" si="5"/>
        <v>0.56422222222222218</v>
      </c>
      <c r="AJ13" s="1607">
        <f t="shared" si="5"/>
        <v>0.56422222222222218</v>
      </c>
    </row>
    <row r="14" spans="1:36" ht="15">
      <c r="A14" s="3296"/>
      <c r="B14" s="2756"/>
      <c r="C14" s="2757"/>
      <c r="D14" s="2758"/>
      <c r="E14" s="2758"/>
      <c r="F14" s="2759"/>
      <c r="G14" s="2760" t="s">
        <v>2867</v>
      </c>
      <c r="H14" s="2761"/>
      <c r="I14" s="2762"/>
      <c r="J14" s="2763"/>
      <c r="K14" s="1365"/>
      <c r="L14" s="1365"/>
      <c r="M14" s="1365"/>
      <c r="N14" s="1365"/>
      <c r="O14" s="1365"/>
      <c r="P14" s="1365"/>
      <c r="Q14" s="1365"/>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6" thickBot="1">
      <c r="A15" s="3297"/>
      <c r="B15" s="2764" t="s">
        <v>2868</v>
      </c>
      <c r="C15" s="229">
        <f>IF(C14="有",1.1,1)</f>
        <v>1</v>
      </c>
      <c r="D15" s="229">
        <f>IF(D14="有",1.1,1)</f>
        <v>1</v>
      </c>
      <c r="E15" s="229">
        <f>IF(E14="有",1.1,1)</f>
        <v>1</v>
      </c>
      <c r="F15" s="229">
        <f>IF(F14="500米范围内",1.2,IF(F14="500-1000米",1.1,1))</f>
        <v>1</v>
      </c>
      <c r="G15" s="941">
        <v>1</v>
      </c>
      <c r="H15" s="941">
        <v>1</v>
      </c>
      <c r="I15" s="941">
        <v>1</v>
      </c>
      <c r="J15" s="942">
        <v>1</v>
      </c>
      <c r="K15" s="1365"/>
      <c r="Q15" s="1365"/>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75" t="s">
        <v>2873</v>
      </c>
      <c r="B16" s="2733" t="s">
        <v>2874</v>
      </c>
      <c r="C16" s="2920">
        <f>ROUND(IF(F17="与级别开发程度一致",0,(G17-E17)/C17),0)</f>
        <v>-16</v>
      </c>
      <c r="D16" s="3286" t="s">
        <v>2878</v>
      </c>
      <c r="E16" s="3287"/>
      <c r="F16" s="3286" t="s">
        <v>2875</v>
      </c>
      <c r="G16" s="3287"/>
      <c r="H16" s="2767" t="s">
        <v>4223</v>
      </c>
      <c r="I16" s="2767" t="s">
        <v>4224</v>
      </c>
      <c r="J16" s="2924" t="s">
        <v>4225</v>
      </c>
      <c r="K16" s="2767" t="s">
        <v>4226</v>
      </c>
      <c r="L16" s="2767" t="s">
        <v>4227</v>
      </c>
      <c r="M16" s="2767" t="s">
        <v>4228</v>
      </c>
      <c r="N16" s="2767"/>
      <c r="O16" s="2768" t="s">
        <v>4229</v>
      </c>
      <c r="Q16" s="1365"/>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7" thickBot="1">
      <c r="A17" s="3276"/>
      <c r="B17" s="2931" t="s">
        <v>2877</v>
      </c>
      <c r="C17" s="2932">
        <f>SUMPRODUCT((修正!A2:A5=E2)*(修正!B1:M1=G2)*(修正!B2:M5))</f>
        <v>2.5</v>
      </c>
      <c r="D17" s="229" t="str">
        <f>IF(OR(G2="八级",G2="九级",G2="十级",G2="十一级",G2="十二级"),"五通一平","七通一平")</f>
        <v>七通一平</v>
      </c>
      <c r="E17" s="2921">
        <f>SUMPRODUCT((修正!B1:M1=G2)*(修正!B15:M15))</f>
        <v>300</v>
      </c>
      <c r="F17" s="2922" t="s">
        <v>4222</v>
      </c>
      <c r="G17" s="2923">
        <f>SUM(H17:O17)</f>
        <v>260</v>
      </c>
      <c r="H17" s="2932">
        <f>SUMPRODUCT((七通一平=H16)*(修正!B1:M1=G2)*(修正!B6:M14))</f>
        <v>65</v>
      </c>
      <c r="I17" s="2932">
        <f>SUMPRODUCT((七通一平=I16)*(修正!B1:M1=G2)*(修正!B6:M14))</f>
        <v>55</v>
      </c>
      <c r="J17" s="2933">
        <f>SUMPRODUCT((七通一平=J16)*(修正!B1:M1=G2)*(修正!B6:M14))</f>
        <v>15</v>
      </c>
      <c r="K17" s="2932">
        <f>SUMPRODUCT((七通一平=K16)*(修正!B1:M1=G2)*(修正!B6:M14))</f>
        <v>25</v>
      </c>
      <c r="L17" s="2932">
        <f>SUMPRODUCT((七通一平=L16)*(修正!B1:M1=G2)*(修正!B6:M14))</f>
        <v>35</v>
      </c>
      <c r="M17" s="2932">
        <f>SUMPRODUCT((七通一平=M16)*(修正!B1:M1=G2)*(修正!B6:M14))</f>
        <v>50</v>
      </c>
      <c r="N17" s="2932">
        <f>SUMPRODUCT((七通一平=N16)*(修正!B1:M1=G2)*(修正!B6:M14))</f>
        <v>0</v>
      </c>
      <c r="O17" s="2934">
        <f>SUMPRODUCT((七通一平=O16)*(修正!B1:M1=G2)*(修正!B6:M14))</f>
        <v>15</v>
      </c>
      <c r="Q17" s="1365"/>
      <c r="R17" s="1365"/>
      <c r="S17" s="1365"/>
      <c r="T17" s="1365"/>
      <c r="U17" s="1365"/>
      <c r="V17" s="1365"/>
      <c r="W17" s="1365"/>
      <c r="X17" s="1365"/>
      <c r="Y17" s="1365"/>
      <c r="Z17" s="1366"/>
      <c r="AE17" s="2771"/>
      <c r="AF17" s="2771"/>
      <c r="AG17" s="2708"/>
      <c r="AH17" s="2708"/>
      <c r="AI17" s="2708"/>
      <c r="AJ17" s="2708"/>
    </row>
    <row r="18" spans="1:37" s="2726" customFormat="1" ht="15" thickBot="1">
      <c r="A18" s="2925" t="s">
        <v>808</v>
      </c>
      <c r="B18" s="2926" t="s">
        <v>2880</v>
      </c>
      <c r="C18" s="2927">
        <f>SUMIF(修正!C18:C39,E3,修正!E18:E39)</f>
        <v>1</v>
      </c>
      <c r="D18" s="2928"/>
      <c r="E18" s="2929"/>
      <c r="F18" s="2929"/>
      <c r="G18" s="2929"/>
      <c r="H18" s="2929"/>
      <c r="I18" s="2929"/>
      <c r="J18" s="2930"/>
      <c r="K18" s="1372"/>
      <c r="O18" s="1370"/>
      <c r="P18" s="1370"/>
      <c r="Q18" s="1371"/>
      <c r="R18" s="1371"/>
      <c r="S18" s="1371"/>
      <c r="T18" s="1366"/>
      <c r="U18" s="1366"/>
      <c r="V18" s="1366"/>
      <c r="W18" s="1365"/>
      <c r="X18" s="1365"/>
      <c r="Y18" s="1365"/>
      <c r="Z18" s="1372"/>
      <c r="AA18" s="1373"/>
      <c r="AB18" s="1373"/>
      <c r="AC18" s="1373"/>
      <c r="AD18" s="1373"/>
      <c r="AE18" s="1367"/>
      <c r="AF18" s="1367"/>
      <c r="AG18" s="2776"/>
      <c r="AH18" s="2776"/>
      <c r="AI18" s="2776"/>
    </row>
    <row r="19" spans="1:37" s="2726" customFormat="1" ht="29.4" thickBot="1">
      <c r="A19" s="2772" t="s">
        <v>809</v>
      </c>
      <c r="B19" s="2773" t="s">
        <v>2881</v>
      </c>
      <c r="C19" s="919">
        <f>ROUND(IF(H19="按公示增长率计算",SUMPRODUCT((地价!A3:A31=YEAR(G19)&amp;"-"&amp;ROUNDUP(MONTH(G19)/3,0))*(地价!X2:AB2=E2)*(地价!X3:AB31)),IF(H19="地价指数",M20/M19,(1+I19)^O19)),4)</f>
        <v>1.3577999999999999</v>
      </c>
      <c r="D19" s="2777" t="s">
        <v>2882</v>
      </c>
      <c r="E19" s="920">
        <v>41640</v>
      </c>
      <c r="F19" s="2777" t="s">
        <v>2883</v>
      </c>
      <c r="G19" s="921">
        <f>'数据-取费表'!B2</f>
        <v>44020</v>
      </c>
      <c r="H19" s="2778" t="s">
        <v>4219</v>
      </c>
      <c r="I19" s="922" t="str">
        <f>IF(H19="季度增幅（自定义）",SUMIF(N21:N24,E2,O21:O24),"")</f>
        <v/>
      </c>
      <c r="J19" s="2775"/>
      <c r="K19" s="1372"/>
      <c r="L19" s="2779" t="s">
        <v>2884</v>
      </c>
      <c r="M19" s="1728">
        <f>ROUND(SUMIF(地价!B2:F2,E2,地价!B31:F31),0)</f>
        <v>258</v>
      </c>
      <c r="N19" s="2780" t="s">
        <v>2885</v>
      </c>
      <c r="O19" s="923">
        <f>ROUNDDOWN(DATEDIF(E19,G19,"M")/3,0)</f>
        <v>26</v>
      </c>
      <c r="P19" s="1369"/>
      <c r="Q19" s="1371"/>
      <c r="R19" s="1371"/>
      <c r="S19" s="1371"/>
      <c r="T19" s="1366"/>
      <c r="U19" s="1366"/>
      <c r="V19" s="1366"/>
      <c r="W19" s="1365"/>
      <c r="X19" s="1365"/>
      <c r="Y19" s="1365"/>
      <c r="Z19" s="1372"/>
      <c r="AA19" s="1373"/>
      <c r="AB19" s="1373"/>
      <c r="AC19" s="1373"/>
      <c r="AD19" s="1373"/>
      <c r="AE19" s="1373"/>
      <c r="AF19" s="2781"/>
      <c r="AG19" s="2782"/>
      <c r="AH19" s="2776"/>
      <c r="AI19" s="2783"/>
      <c r="AJ19" s="2783"/>
      <c r="AK19" s="2783"/>
    </row>
    <row r="20" spans="1:37" s="2726" customFormat="1" ht="29.4" thickBot="1">
      <c r="A20" s="2784" t="s">
        <v>810</v>
      </c>
      <c r="B20" s="2785" t="s">
        <v>2886</v>
      </c>
      <c r="C20" s="924">
        <f ca="1">ROUND(POWER(1+G20,J20-I20)*(POWER(1+G20,I20)-1)/(POWER(1+G20,J20)-1),4)</f>
        <v>0.79339999999999999</v>
      </c>
      <c r="D20" s="2786" t="s">
        <v>2887</v>
      </c>
      <c r="E20" s="1754">
        <f ca="1">存贷款利率!D4/100</f>
        <v>4.3499999999999997E-2</v>
      </c>
      <c r="F20" s="2786" t="s">
        <v>2879</v>
      </c>
      <c r="G20" s="929">
        <f ca="1">SUMIF(M26:P26,E2,M28:P28)</f>
        <v>5.3999999999999999E-2</v>
      </c>
      <c r="H20" s="2786" t="s">
        <v>2888</v>
      </c>
      <c r="I20" s="930">
        <f>SUMIF('数据-取费表'!C6:C15,E2,'数据-取费表'!F6:F15)/COUNTIF('数据-取费表'!C6:C15,E2)</f>
        <v>22.679999999999996</v>
      </c>
      <c r="J20" s="931">
        <f>IF(E2="住宅",70,IF(E2="商业",40,50))</f>
        <v>40</v>
      </c>
      <c r="K20" s="1372"/>
      <c r="L20" s="2787" t="s">
        <v>2889</v>
      </c>
      <c r="M20" s="1729">
        <f>ROUND(SUMPRODUCT((地价!A4:A31=YEAR(G19)&amp;"-"&amp;ROUNDUP(MONTH(G19)/3,0))*(地价!B2:F2=E2)*(地价!B4:F31)),0)</f>
        <v>350</v>
      </c>
      <c r="N20" s="2788" t="s">
        <v>2890</v>
      </c>
      <c r="O20" s="2789" t="s">
        <v>2891</v>
      </c>
      <c r="P20" s="2790" t="s">
        <v>2892</v>
      </c>
      <c r="R20" s="1371"/>
      <c r="S20" s="1371"/>
      <c r="T20" s="1366"/>
      <c r="U20" s="1366"/>
      <c r="V20" s="1366"/>
      <c r="W20" s="1365"/>
      <c r="X20" s="1365"/>
      <c r="Y20" s="1365"/>
      <c r="Z20" s="1372"/>
      <c r="AA20" s="1373"/>
      <c r="AB20" s="1373"/>
      <c r="AC20" s="1373"/>
      <c r="AD20" s="1373"/>
      <c r="AE20" s="1373"/>
      <c r="AF20" s="1373"/>
    </row>
    <row r="21" spans="1:37" s="2726" customFormat="1" ht="14.4">
      <c r="A21" s="2791" t="s">
        <v>811</v>
      </c>
      <c r="B21" s="2792" t="s">
        <v>2893</v>
      </c>
      <c r="C21" s="932">
        <f>IF(B21="容积率修正",IF(G3&lt;=10,D22,J22),C23)</f>
        <v>1.8629</v>
      </c>
      <c r="D21" s="2793"/>
      <c r="E21" s="2793"/>
      <c r="F21" s="2793"/>
      <c r="G21" s="2793"/>
      <c r="H21" s="2793"/>
      <c r="I21" s="2793"/>
      <c r="J21" s="2794"/>
      <c r="K21" s="1372"/>
      <c r="N21" s="2795" t="s">
        <v>2894</v>
      </c>
      <c r="O21" s="1556"/>
      <c r="P21" s="1557">
        <f>SUMPRODUCT((地价!A3:A31=YEAR(G19)&amp;"-"&amp;ROUNDUP(MONTH(G19)/3,0))*(地价!AD2:AH2=N21)*(地价!AD3:AH31))</f>
        <v>1.23E-2</v>
      </c>
      <c r="R21" s="1371"/>
      <c r="S21" s="1371"/>
      <c r="T21" s="1366"/>
      <c r="U21" s="1366"/>
      <c r="V21" s="1366"/>
      <c r="W21" s="1365"/>
      <c r="X21" s="1365"/>
      <c r="Y21" s="1365"/>
      <c r="Z21" s="1372"/>
      <c r="AA21" s="1373"/>
      <c r="AB21" s="1373"/>
      <c r="AC21" s="1373"/>
      <c r="AD21" s="1373"/>
      <c r="AE21" s="1373"/>
      <c r="AF21" s="1373"/>
    </row>
    <row r="22" spans="1:37" s="2726" customFormat="1" ht="14.4">
      <c r="A22" s="2652" t="s">
        <v>2895</v>
      </c>
      <c r="B22" s="2796" t="s">
        <v>2896</v>
      </c>
      <c r="C22" s="1796" t="s">
        <v>2897</v>
      </c>
      <c r="D22" s="1796">
        <f>IF(E22=G22,F22,IF(G3&lt;=10,ROUND(F22+(H22-F22)*(G3-E22)/(G22-E22),4),"——"))</f>
        <v>1.2588999999999999</v>
      </c>
      <c r="E22" s="911">
        <f>ROUNDDOWN(G3,1)</f>
        <v>1.3</v>
      </c>
      <c r="F22" s="17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1.2775000000000001</v>
      </c>
      <c r="G22" s="911">
        <f>ROUNDUP(G3,1)</f>
        <v>1.4000000000000001</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1.2402</v>
      </c>
      <c r="I22" s="1796" t="s">
        <v>155</v>
      </c>
      <c r="J22" s="933" t="str">
        <f>IF(G3&gt;10,D113,"——")</f>
        <v>——</v>
      </c>
      <c r="K22" s="1372"/>
      <c r="N22" s="2795" t="s">
        <v>2898</v>
      </c>
      <c r="O22" s="1556"/>
      <c r="P22" s="1557">
        <f>SUMPRODUCT((地价!A3:A31=YEAR(G19)&amp;"-"&amp;ROUNDUP(MONTH(G19)/3,0))*(地价!AD2:AH2=N22)*(地价!AD3:AH31))</f>
        <v>1.23E-2</v>
      </c>
      <c r="R22" s="1371"/>
      <c r="S22" s="1371"/>
      <c r="T22" s="1366"/>
      <c r="U22" s="1366"/>
      <c r="V22" s="1366"/>
      <c r="W22" s="1365"/>
      <c r="X22" s="1365"/>
      <c r="Y22" s="1365"/>
      <c r="Z22" s="1372"/>
      <c r="AA22" s="1373"/>
      <c r="AB22" s="1373"/>
      <c r="AC22" s="1373"/>
      <c r="AD22" s="1373"/>
      <c r="AE22" s="1373"/>
      <c r="AF22" s="1373"/>
    </row>
    <row r="23" spans="1:37" ht="29.4" thickBot="1">
      <c r="A23" s="2652" t="s">
        <v>2899</v>
      </c>
      <c r="B23" s="2797" t="s">
        <v>2900</v>
      </c>
      <c r="C23" s="1008">
        <f>ROUND(IF(G3&gt;1,IF(I3&lt;7,SUMPRODUCT((B93:B98=I3)*(C92:N92=G2)*(C93:N98)),SUMIF(C92:N92,G2,C100:N100)),IF(I3&lt;7,SUMPRODUCT((B102:B107=I3)*(C92:N92=G2)*(C102:N107)),SUMIF(C92:N92,G2,C109:N109))),4)</f>
        <v>1.8629</v>
      </c>
      <c r="D23" s="2761"/>
      <c r="E23" s="2761"/>
      <c r="F23" s="2798"/>
      <c r="G23" s="2799"/>
      <c r="H23" s="2800"/>
      <c r="I23" s="2801"/>
      <c r="J23" s="2802"/>
      <c r="K23" s="1365"/>
      <c r="N23" s="2795" t="s">
        <v>2901</v>
      </c>
      <c r="O23" s="1556"/>
      <c r="P23" s="1557">
        <f>SUMPRODUCT((地价!A3:A31=YEAR(G19)&amp;"-"&amp;ROUNDUP(MONTH(G19)/3,0))*(地价!AD2:AH2=N23)*(地价!AD3:AH31))</f>
        <v>1.95E-2</v>
      </c>
      <c r="R23" s="1371"/>
      <c r="S23" s="1371"/>
      <c r="T23" s="1366"/>
      <c r="U23" s="1366"/>
      <c r="V23" s="1366"/>
      <c r="W23" s="1365"/>
      <c r="X23" s="1365"/>
      <c r="Y23" s="1365"/>
      <c r="Z23" s="1372"/>
      <c r="AA23" s="1373"/>
      <c r="AB23" s="1373"/>
      <c r="AC23" s="1373"/>
      <c r="AD23" s="1373"/>
      <c r="AK23" s="2776"/>
    </row>
    <row r="24" spans="1:37" s="2726" customFormat="1" ht="15" thickBot="1">
      <c r="A24" s="2784" t="s">
        <v>812</v>
      </c>
      <c r="B24" s="2773" t="s">
        <v>2902</v>
      </c>
      <c r="C24" s="919">
        <f>SUMIF(A45:A88,E2,B45:B88)</f>
        <v>1</v>
      </c>
      <c r="D24" s="2774"/>
      <c r="E24" s="2803"/>
      <c r="F24" s="2803"/>
      <c r="G24" s="2803"/>
      <c r="H24" s="2803"/>
      <c r="I24" s="2803"/>
      <c r="J24" s="2804"/>
      <c r="K24" s="1372"/>
      <c r="N24" s="2805" t="s">
        <v>2903</v>
      </c>
      <c r="O24" s="1558"/>
      <c r="P24" s="1559">
        <f>SUMPRODUCT((地价!A3:A31=YEAR(G19)&amp;"-"&amp;ROUNDUP(MONTH(G19)/3,0))*(地价!AD2:AH2=N24)*(地价!AD3:AH31))</f>
        <v>1.26E-2</v>
      </c>
      <c r="R24" s="1371"/>
      <c r="S24" s="1371"/>
      <c r="T24" s="1366"/>
      <c r="U24" s="1366"/>
      <c r="V24" s="1366"/>
      <c r="W24" s="1365"/>
      <c r="X24" s="1365"/>
      <c r="Y24" s="1365"/>
      <c r="Z24" s="1372"/>
      <c r="AA24" s="1373"/>
      <c r="AB24" s="1373"/>
      <c r="AC24" s="1373"/>
      <c r="AD24" s="1373"/>
      <c r="AE24" s="1373"/>
      <c r="AF24" s="1373"/>
    </row>
    <row r="25" spans="1:37" ht="15" thickBot="1">
      <c r="A25" s="2784" t="s">
        <v>813</v>
      </c>
      <c r="B25" s="2806" t="s">
        <v>2904</v>
      </c>
      <c r="C25" s="925"/>
      <c r="D25" s="2736"/>
      <c r="E25" s="2736"/>
      <c r="F25" s="2807"/>
      <c r="G25" s="2736"/>
      <c r="H25" s="2736"/>
      <c r="I25" s="2736"/>
      <c r="J25" s="2737"/>
      <c r="K25" s="1365"/>
      <c r="N25" s="2808" t="s">
        <v>2905</v>
      </c>
      <c r="O25" s="1560"/>
      <c r="P25" s="1559">
        <f>SUMPRODUCT((地价!A3:A31=YEAR(G19)&amp;"-"&amp;ROUNDUP(MONTH(G19)/3,0))*(地价!AD2:AH2=N25)*(地价!AD3:AH31))</f>
        <v>1.78E-2</v>
      </c>
      <c r="R25" s="1371"/>
      <c r="S25" s="1371"/>
      <c r="T25" s="1366"/>
      <c r="U25" s="1366"/>
      <c r="V25" s="1366"/>
      <c r="W25" s="1365"/>
      <c r="X25" s="1365"/>
      <c r="Y25" s="1365"/>
      <c r="Z25" s="1372"/>
      <c r="AA25" s="1373"/>
      <c r="AB25" s="1373"/>
      <c r="AC25" s="1373"/>
      <c r="AD25" s="1373"/>
    </row>
    <row r="26" spans="1:37" ht="14.4">
      <c r="A26" s="2809"/>
      <c r="B26" s="2796" t="s">
        <v>2906</v>
      </c>
      <c r="C26" s="206">
        <f ca="1">E29+SUM(E33:E39)</f>
        <v>27959</v>
      </c>
      <c r="D26" s="2810"/>
      <c r="E26" s="2761"/>
      <c r="F26" s="2811"/>
      <c r="G26" s="2761"/>
      <c r="H26" s="2761"/>
      <c r="I26" s="2761"/>
      <c r="J26" s="2812"/>
      <c r="K26" s="1365"/>
      <c r="L26" s="2765" t="s">
        <v>2804</v>
      </c>
      <c r="M26" s="915" t="s">
        <v>2869</v>
      </c>
      <c r="N26" s="915" t="s">
        <v>2870</v>
      </c>
      <c r="O26" s="915" t="s">
        <v>2871</v>
      </c>
      <c r="P26" s="2766" t="s">
        <v>2872</v>
      </c>
      <c r="R26" s="1371"/>
      <c r="S26" s="1371"/>
      <c r="T26" s="1366"/>
      <c r="U26" s="1366"/>
      <c r="V26" s="1366"/>
      <c r="W26" s="1365"/>
      <c r="X26" s="1365"/>
      <c r="Y26" s="1365"/>
      <c r="Z26" s="1372"/>
      <c r="AA26" s="1373"/>
      <c r="AB26" s="1373"/>
      <c r="AC26" s="1373"/>
      <c r="AD26" s="1373"/>
    </row>
    <row r="27" spans="1:37" ht="15" thickBot="1">
      <c r="A27" s="2809"/>
      <c r="B27" s="2813" t="s">
        <v>2907</v>
      </c>
      <c r="C27" s="926">
        <f ca="1">E30+SUM(I33:I39)</f>
        <v>3808</v>
      </c>
      <c r="D27" s="2814"/>
      <c r="E27" s="2815"/>
      <c r="F27" s="2816"/>
      <c r="G27" s="2815"/>
      <c r="H27" s="2815"/>
      <c r="I27" s="2815"/>
      <c r="J27" s="2817"/>
      <c r="K27" s="1365"/>
      <c r="L27" s="2769" t="s">
        <v>2876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 thickBot="1">
      <c r="A28" s="2818"/>
      <c r="B28" s="2819" t="s">
        <v>2908</v>
      </c>
      <c r="C28" s="2820" t="s">
        <v>2909</v>
      </c>
      <c r="D28" s="2820" t="s">
        <v>2910</v>
      </c>
      <c r="E28" s="2821" t="s">
        <v>2911</v>
      </c>
      <c r="F28" s="2822"/>
      <c r="G28" s="2749"/>
      <c r="H28" s="2749"/>
      <c r="I28" s="2749"/>
      <c r="J28" s="2750"/>
      <c r="K28" s="1365"/>
      <c r="L28" s="2770" t="s">
        <v>2879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3"/>
      <c r="B29" s="2824" t="s">
        <v>2912</v>
      </c>
      <c r="C29" s="206">
        <f ca="1">ROUND(C5*C18*C19*C20*C21*C24,0)</f>
        <v>29449</v>
      </c>
      <c r="D29" s="2825">
        <f>'数据-取费表'!K6</f>
        <v>4323.09</v>
      </c>
      <c r="E29" s="937">
        <f ca="1">ROUND(C29*D29/10000,0)</f>
        <v>12731</v>
      </c>
      <c r="F29" s="2826" t="s">
        <v>2913</v>
      </c>
      <c r="G29" s="2827"/>
      <c r="H29" s="2827"/>
      <c r="I29" s="2827"/>
      <c r="J29" s="2828"/>
      <c r="K29" s="1365"/>
      <c r="L29" s="1365"/>
      <c r="M29" s="1365"/>
      <c r="N29" s="1365"/>
      <c r="O29" s="1370"/>
      <c r="P29" s="1370"/>
      <c r="Q29" s="1371"/>
      <c r="R29" s="1371"/>
      <c r="S29" s="1371"/>
      <c r="T29" s="1366"/>
      <c r="U29" s="1366"/>
      <c r="V29" s="1366"/>
      <c r="W29" s="1365"/>
      <c r="X29" s="1365"/>
      <c r="Y29" s="1365"/>
      <c r="Z29" s="1372"/>
      <c r="AA29" s="1373"/>
      <c r="AB29" s="1373"/>
      <c r="AC29" s="1373"/>
      <c r="AD29" s="1373"/>
      <c r="AE29" s="2771"/>
      <c r="AF29" s="2771"/>
      <c r="AG29" s="2708"/>
      <c r="AH29" s="2708"/>
      <c r="AI29" s="2708"/>
      <c r="AJ29" s="2708"/>
    </row>
    <row r="30" spans="1:37" ht="25.8" thickBot="1">
      <c r="A30" s="2829"/>
      <c r="B30" s="2830" t="s">
        <v>2914</v>
      </c>
      <c r="C30" s="229">
        <f ca="1">ROUND(IF(E2="工业",C29*M39,C29*M38),0)</f>
        <v>7362</v>
      </c>
      <c r="D30" s="2831"/>
      <c r="E30" s="937">
        <f ca="1">ROUND(C30*D30/10000,0)</f>
        <v>0</v>
      </c>
      <c r="F30" s="2832" t="s">
        <v>2915</v>
      </c>
      <c r="G30" s="2833"/>
      <c r="H30" s="2833"/>
      <c r="I30" s="2833"/>
      <c r="J30" s="2834"/>
      <c r="K30" s="1365"/>
      <c r="L30" s="1365"/>
      <c r="M30" s="1365"/>
      <c r="N30" s="1365"/>
      <c r="O30" s="1370"/>
      <c r="P30" s="1370"/>
      <c r="Q30" s="1371"/>
      <c r="R30" s="1371"/>
      <c r="S30" s="1371"/>
      <c r="T30" s="1366"/>
      <c r="U30" s="1366"/>
      <c r="V30" s="1366"/>
      <c r="W30" s="1365"/>
      <c r="X30" s="1365"/>
      <c r="Y30" s="1365"/>
      <c r="Z30" s="1372"/>
      <c r="AA30" s="1373"/>
      <c r="AB30" s="1373"/>
      <c r="AC30" s="1373"/>
      <c r="AD30" s="1373"/>
      <c r="AE30" s="2771"/>
      <c r="AF30" s="2771"/>
      <c r="AG30" s="2708"/>
      <c r="AH30" s="2708"/>
      <c r="AI30" s="2708"/>
      <c r="AJ30" s="2708"/>
    </row>
    <row r="31" spans="1:37" ht="13.8">
      <c r="A31" s="2835"/>
      <c r="B31" s="2836" t="s">
        <v>2916</v>
      </c>
      <c r="C31" s="2837" t="s">
        <v>2917</v>
      </c>
      <c r="D31" s="2749"/>
      <c r="E31" s="2837"/>
      <c r="F31" s="2837"/>
      <c r="G31" s="2747" t="s">
        <v>2918</v>
      </c>
      <c r="H31" s="2749"/>
      <c r="I31" s="2838"/>
      <c r="J31" s="2750"/>
      <c r="K31" s="1365"/>
      <c r="L31" s="1365"/>
      <c r="M31" s="1365"/>
      <c r="N31" s="1365"/>
      <c r="O31" s="1370"/>
      <c r="P31" s="1370"/>
      <c r="Q31" s="1371"/>
      <c r="R31" s="1371"/>
      <c r="S31" s="1371"/>
      <c r="T31" s="1366"/>
      <c r="U31" s="1366"/>
      <c r="V31" s="1366"/>
      <c r="W31" s="1365"/>
      <c r="X31" s="1365"/>
      <c r="Y31" s="1365"/>
      <c r="Z31" s="1372"/>
      <c r="AA31" s="1373"/>
      <c r="AB31" s="1373"/>
      <c r="AC31" s="1373"/>
      <c r="AD31" s="1373"/>
      <c r="AE31" s="2771"/>
      <c r="AF31" s="2771"/>
      <c r="AG31" s="2708"/>
      <c r="AH31" s="2708"/>
      <c r="AI31" s="2708"/>
      <c r="AJ31" s="2708"/>
    </row>
    <row r="32" spans="1:37" ht="36">
      <c r="A32" s="2823"/>
      <c r="B32" s="2839"/>
      <c r="C32" s="501" t="s">
        <v>2909</v>
      </c>
      <c r="D32" s="498" t="s">
        <v>2910</v>
      </c>
      <c r="E32" s="498" t="s">
        <v>2911</v>
      </c>
      <c r="F32" s="388" t="s">
        <v>2919</v>
      </c>
      <c r="G32" s="2840" t="s">
        <v>2909</v>
      </c>
      <c r="H32" s="2840" t="s">
        <v>2910</v>
      </c>
      <c r="I32" s="2840" t="s">
        <v>2911</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71"/>
      <c r="AF32" s="2771"/>
      <c r="AG32" s="2708"/>
      <c r="AH32" s="2708"/>
      <c r="AI32" s="2708"/>
      <c r="AJ32" s="2708"/>
    </row>
    <row r="33" spans="1:37" ht="36" customHeight="1">
      <c r="A33" s="3283" t="s">
        <v>2920</v>
      </c>
      <c r="B33" s="2841" t="s">
        <v>2921</v>
      </c>
      <c r="C33" s="206">
        <f ca="1">ROUND(D5*C19*C20*C24*F33,0)</f>
        <v>11066</v>
      </c>
      <c r="D33" s="2825">
        <f>'数据-取费表'!K7</f>
        <v>7335.29</v>
      </c>
      <c r="E33" s="200">
        <f ca="1">ROUND(C33*D33/10000,0)</f>
        <v>8117</v>
      </c>
      <c r="F33" s="200">
        <f>SUMIF(修正!A45:A56,G2,修正!B45:B56)</f>
        <v>0.7</v>
      </c>
      <c r="G33" s="200">
        <f t="shared" ref="G33" ca="1" si="6">ROUND(IF(E2="工业",C33*$M$39,C33*$M$38),0)</f>
        <v>2767</v>
      </c>
      <c r="H33" s="200">
        <f>D33</f>
        <v>7335.29</v>
      </c>
      <c r="I33" s="200">
        <f ca="1">ROUND(G33*H33/10000,0)</f>
        <v>2030</v>
      </c>
      <c r="J33" s="2842"/>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3.8">
      <c r="A34" s="3284"/>
      <c r="B34" s="2753" t="s">
        <v>2922</v>
      </c>
      <c r="C34" s="206">
        <f ca="1">ROUND(D5*C19*C20*C24*F34,0)</f>
        <v>6323</v>
      </c>
      <c r="D34" s="2825">
        <f>'数据-取费表'!K8</f>
        <v>7268.6</v>
      </c>
      <c r="E34" s="200">
        <f t="shared" ref="E34:E39" ca="1" si="7">ROUND(C34*D34/10000,0)</f>
        <v>4596</v>
      </c>
      <c r="F34" s="200">
        <f>SUMIF(修正!A45:A56,G2,修正!C45:C56)</f>
        <v>0.4</v>
      </c>
      <c r="G34" s="200">
        <f ca="1">ROUND(IF(E2="工业",C34*$M$39,C34*$M$38),0)</f>
        <v>1581</v>
      </c>
      <c r="H34" s="200">
        <f t="shared" ref="H34:H39" si="8">D34</f>
        <v>7268.6</v>
      </c>
      <c r="I34" s="200">
        <f t="shared" ref="I34:I39" ca="1" si="9">ROUND(G34*H34/10000,0)</f>
        <v>1149</v>
      </c>
      <c r="J34" s="2842"/>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4"/>
      <c r="B35" s="2753" t="s">
        <v>2923</v>
      </c>
      <c r="C35" s="206">
        <f ca="1">ROUND(D5*C19*C20*C24*F35,0)</f>
        <v>4426</v>
      </c>
      <c r="D35" s="2825"/>
      <c r="E35" s="200">
        <f t="shared" ca="1" si="7"/>
        <v>0</v>
      </c>
      <c r="F35" s="200">
        <f>SUMIF(修正!A45:A56,G2,修正!D45:D56)</f>
        <v>0.28000000000000003</v>
      </c>
      <c r="G35" s="200">
        <f ca="1">ROUND(IF(E2="工业",C35*$M$39,C35*$M$38),0)</f>
        <v>1107</v>
      </c>
      <c r="H35" s="200">
        <f t="shared" si="8"/>
        <v>0</v>
      </c>
      <c r="I35" s="200">
        <f t="shared" ca="1" si="9"/>
        <v>0</v>
      </c>
      <c r="J35" s="2842"/>
      <c r="K35" s="1365"/>
      <c r="L35" s="1365"/>
      <c r="M35" s="1365"/>
      <c r="N35" s="1365"/>
      <c r="O35" s="1365"/>
      <c r="P35" s="1365"/>
      <c r="Q35" s="1365"/>
      <c r="R35" s="1365"/>
      <c r="S35" s="1365"/>
      <c r="T35" s="1365"/>
      <c r="U35" s="1365"/>
      <c r="V35" s="1365"/>
      <c r="W35" s="1365"/>
      <c r="X35" s="1365"/>
      <c r="Y35" s="1365"/>
      <c r="Z35" s="1366"/>
    </row>
    <row r="36" spans="1:37" ht="13.8" thickBot="1">
      <c r="A36" s="3285"/>
      <c r="B36" s="2753" t="s">
        <v>2924</v>
      </c>
      <c r="C36" s="206">
        <f ca="1">ROUND(D5*C19*C20*C24*F36,0)</f>
        <v>3952</v>
      </c>
      <c r="D36" s="2825"/>
      <c r="E36" s="200">
        <f t="shared" ca="1" si="7"/>
        <v>0</v>
      </c>
      <c r="F36" s="200">
        <f>SUMIF(修正!A45:A56,G2,修正!E45:E56)</f>
        <v>0.25</v>
      </c>
      <c r="G36" s="200">
        <f ca="1">ROUND(IF(E2="工业",C36*$M$39,C36*$M$38),0)</f>
        <v>988</v>
      </c>
      <c r="H36" s="200">
        <f t="shared" si="8"/>
        <v>0</v>
      </c>
      <c r="I36" s="200">
        <f t="shared" ca="1" si="9"/>
        <v>0</v>
      </c>
      <c r="J36" s="2842"/>
      <c r="K36" s="1365"/>
      <c r="L36" s="2707"/>
      <c r="M36" s="2707"/>
      <c r="N36" s="1365"/>
      <c r="O36" s="1365"/>
      <c r="P36" s="1365"/>
      <c r="Q36" s="1365"/>
      <c r="R36" s="1365"/>
      <c r="S36" s="1365"/>
      <c r="T36" s="1365"/>
      <c r="U36" s="1365"/>
      <c r="V36" s="1365"/>
      <c r="W36" s="1365"/>
      <c r="X36" s="1365"/>
      <c r="Y36" s="1365"/>
      <c r="Z36" s="1366"/>
    </row>
    <row r="37" spans="1:37">
      <c r="A37" s="2843"/>
      <c r="B37" s="2753" t="s">
        <v>2925</v>
      </c>
      <c r="C37" s="200">
        <f ca="1">ROUND(D5*C19*C20*C24*F37,0)</f>
        <v>3952</v>
      </c>
      <c r="D37" s="2825"/>
      <c r="E37" s="200">
        <f t="shared" ca="1" si="7"/>
        <v>0</v>
      </c>
      <c r="F37" s="206">
        <f>SUMIF(修正!A45:A56,G2,修正!F45:F56)</f>
        <v>0.25</v>
      </c>
      <c r="G37" s="200">
        <f ca="1">ROUND(IF(E2="工业",C37*$M$39,C37*$M$38),0)</f>
        <v>988</v>
      </c>
      <c r="H37" s="200">
        <f t="shared" si="8"/>
        <v>0</v>
      </c>
      <c r="I37" s="200">
        <f t="shared" ca="1" si="9"/>
        <v>0</v>
      </c>
      <c r="J37" s="2842"/>
      <c r="K37" s="1365"/>
      <c r="L37" s="2844" t="s">
        <v>2926</v>
      </c>
      <c r="M37" s="2845"/>
      <c r="N37" s="1365"/>
      <c r="O37" s="1365"/>
      <c r="P37" s="1365"/>
      <c r="Q37" s="1365"/>
      <c r="R37" s="1365"/>
      <c r="S37" s="1365"/>
      <c r="T37" s="1365"/>
      <c r="U37" s="1365"/>
      <c r="V37" s="1365"/>
      <c r="W37" s="1365"/>
      <c r="X37" s="1365"/>
      <c r="Y37" s="1365"/>
      <c r="Z37" s="1366"/>
    </row>
    <row r="38" spans="1:37">
      <c r="A38" s="2843"/>
      <c r="B38" s="2753" t="s">
        <v>2927</v>
      </c>
      <c r="C38" s="200">
        <f ca="1">ROUND(D5*C19*C41*C24*F38,0)</f>
        <v>3952</v>
      </c>
      <c r="D38" s="2825"/>
      <c r="E38" s="200">
        <f t="shared" ca="1" si="7"/>
        <v>0</v>
      </c>
      <c r="F38" s="206">
        <f>SUMIF(修正!A45:A56,G2,修正!G45:G56)</f>
        <v>0.25</v>
      </c>
      <c r="G38" s="200">
        <f ca="1">ROUND(IF(E2="工业",C38*$M$39,C38*$M$38),0)</f>
        <v>988</v>
      </c>
      <c r="H38" s="200">
        <f t="shared" si="8"/>
        <v>0</v>
      </c>
      <c r="I38" s="200">
        <f t="shared" ca="1" si="9"/>
        <v>0</v>
      </c>
      <c r="J38" s="2842"/>
      <c r="K38" s="1365"/>
      <c r="L38" s="1873" t="s">
        <v>2928</v>
      </c>
      <c r="M38" s="2846">
        <v>0.25</v>
      </c>
      <c r="N38" s="1365"/>
      <c r="O38" s="1365"/>
      <c r="P38" s="1365"/>
      <c r="Q38" s="1365"/>
      <c r="R38" s="1365"/>
      <c r="S38" s="1365"/>
      <c r="T38" s="1365"/>
      <c r="U38" s="1365"/>
      <c r="V38" s="1365"/>
      <c r="W38" s="1365"/>
      <c r="X38" s="1365"/>
      <c r="Y38" s="1365"/>
      <c r="Z38" s="1366"/>
    </row>
    <row r="39" spans="1:37" ht="13.8" thickBot="1">
      <c r="A39" s="2829"/>
      <c r="B39" s="2847" t="s">
        <v>2929</v>
      </c>
      <c r="C39" s="229">
        <f ca="1">ROUND(D5*C19*C41*C24*F39,0)</f>
        <v>3162</v>
      </c>
      <c r="D39" s="2831">
        <f>'数据-取费表'!K9</f>
        <v>7954.3</v>
      </c>
      <c r="E39" s="229">
        <f t="shared" ca="1" si="7"/>
        <v>2515</v>
      </c>
      <c r="F39" s="927">
        <f>SUMIF(修正!A45:A56,G2,修正!H45:H56)</f>
        <v>0.2</v>
      </c>
      <c r="G39" s="229">
        <f ca="1">ROUND(IF(E2="工业",C39*$M$39,C39*$M$38),0)</f>
        <v>791</v>
      </c>
      <c r="H39" s="229">
        <f t="shared" si="8"/>
        <v>7954.3</v>
      </c>
      <c r="I39" s="229">
        <f t="shared" ca="1" si="9"/>
        <v>629</v>
      </c>
      <c r="J39" s="2848"/>
      <c r="K39" s="1365"/>
      <c r="L39" s="2849" t="s">
        <v>2872</v>
      </c>
      <c r="M39" s="2850">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ht="24">
      <c r="A41" s="1366"/>
      <c r="B41" s="2918" t="s">
        <v>3037</v>
      </c>
      <c r="C41" s="388">
        <f ca="1">ROUND(POWER(1+E41,H41-G41)*(POWER(1+E41,G41)-1)/(POWER(1+E41,H41)-1),4)</f>
        <v>0.79339999999999999</v>
      </c>
      <c r="D41" s="200" t="s">
        <v>2879</v>
      </c>
      <c r="E41" s="2917">
        <f ca="1">G20</f>
        <v>5.3999999999999999E-2</v>
      </c>
      <c r="F41" s="200" t="s">
        <v>2888</v>
      </c>
      <c r="G41" s="218">
        <f>'数据-取费表'!F9</f>
        <v>22.68</v>
      </c>
      <c r="H41" s="218">
        <v>40</v>
      </c>
      <c r="Z41" s="1366"/>
      <c r="AA41" s="1366"/>
      <c r="AB41" s="1366"/>
      <c r="AC41" s="1366"/>
      <c r="AD41" s="1366"/>
      <c r="AE41" s="1366"/>
      <c r="AF41" s="1366"/>
      <c r="AG41" s="1366"/>
      <c r="AH41" s="1366"/>
      <c r="AI41" s="1366"/>
      <c r="AJ41" s="1366"/>
    </row>
    <row r="42" spans="1:37" s="1365" customFormat="1">
      <c r="A42" s="1366"/>
      <c r="B42" s="2851"/>
      <c r="Z42" s="1366"/>
      <c r="AA42" s="1366"/>
      <c r="AB42" s="1366"/>
      <c r="AC42" s="1366"/>
      <c r="AD42" s="1366"/>
      <c r="AE42" s="1366"/>
      <c r="AF42" s="1366"/>
      <c r="AG42" s="1366"/>
      <c r="AH42" s="1366"/>
      <c r="AI42" s="1366"/>
      <c r="AJ42" s="1366"/>
    </row>
    <row r="43" spans="1:37" s="1365" customFormat="1">
      <c r="A43" s="1366"/>
      <c r="B43" s="2851"/>
      <c r="Z43" s="1366"/>
      <c r="AA43" s="1366"/>
      <c r="AB43" s="1366"/>
      <c r="AC43" s="1366"/>
      <c r="AD43" s="1366"/>
      <c r="AE43" s="1366"/>
      <c r="AF43" s="1366"/>
      <c r="AG43" s="1366"/>
      <c r="AH43" s="1366"/>
      <c r="AI43" s="1366"/>
      <c r="AJ43" s="1366"/>
    </row>
    <row r="44" spans="1:37" s="1365" customFormat="1">
      <c r="A44" s="1366"/>
      <c r="B44" s="2851"/>
      <c r="Z44" s="1366"/>
      <c r="AA44" s="1366"/>
      <c r="AB44" s="1366"/>
      <c r="AC44" s="1366"/>
      <c r="AD44" s="1366"/>
      <c r="AE44" s="1366"/>
      <c r="AF44" s="1366"/>
      <c r="AG44" s="1366"/>
      <c r="AH44" s="1366"/>
      <c r="AI44" s="1366"/>
      <c r="AJ44" s="1366"/>
    </row>
    <row r="45" spans="1:37" s="1365" customFormat="1" ht="15" thickBot="1">
      <c r="A45" s="2852" t="s">
        <v>2930</v>
      </c>
      <c r="B45" s="2853"/>
      <c r="C45" s="7"/>
      <c r="D45" s="7"/>
      <c r="E45" s="7"/>
      <c r="F45" s="6"/>
      <c r="G45" s="6"/>
      <c r="H45" s="6"/>
      <c r="I45" s="7"/>
      <c r="J45" s="7"/>
      <c r="K45" s="7"/>
      <c r="L45" s="7"/>
      <c r="M45" s="7"/>
      <c r="N45" s="2771"/>
      <c r="Z45" s="1366"/>
      <c r="AA45" s="1366"/>
      <c r="AB45" s="1366"/>
      <c r="AC45" s="1366"/>
      <c r="AD45" s="1366"/>
      <c r="AE45" s="1366"/>
      <c r="AF45" s="1366"/>
      <c r="AG45" s="1366"/>
      <c r="AH45" s="1366"/>
      <c r="AI45" s="1366"/>
      <c r="AJ45" s="1366"/>
    </row>
    <row r="46" spans="1:37" s="1365" customFormat="1" ht="14.4">
      <c r="A46" s="2854" t="s">
        <v>2931</v>
      </c>
      <c r="B46" s="2855">
        <f>1+E48</f>
        <v>1</v>
      </c>
      <c r="C46" s="2856"/>
      <c r="D46" s="809"/>
      <c r="E46" s="810"/>
      <c r="F46" s="2857"/>
      <c r="G46" s="6"/>
      <c r="H46" s="7"/>
      <c r="I46" s="7"/>
      <c r="J46" s="7"/>
      <c r="K46" s="7"/>
      <c r="L46" s="7"/>
      <c r="M46" s="7"/>
      <c r="N46" s="2771"/>
      <c r="Z46" s="1366"/>
      <c r="AA46" s="1366"/>
      <c r="AB46" s="1366"/>
      <c r="AC46" s="1366"/>
      <c r="AD46" s="1366"/>
      <c r="AE46" s="1366"/>
      <c r="AF46" s="1366"/>
      <c r="AG46" s="1366"/>
      <c r="AH46" s="1366"/>
      <c r="AI46" s="1366"/>
      <c r="AJ46" s="1366"/>
    </row>
    <row r="47" spans="1:37" s="1365" customFormat="1" ht="25.2">
      <c r="A47" s="2858" t="s">
        <v>2932</v>
      </c>
      <c r="B47" s="1795" t="s">
        <v>2933</v>
      </c>
      <c r="C47" s="1795" t="s">
        <v>2934</v>
      </c>
      <c r="D47" s="1795" t="s">
        <v>2935</v>
      </c>
      <c r="E47" s="814" t="s">
        <v>2936</v>
      </c>
      <c r="F47" s="2859" t="s">
        <v>2937</v>
      </c>
      <c r="G47" s="1795" t="s">
        <v>754</v>
      </c>
      <c r="H47" s="2860" t="s">
        <v>2938</v>
      </c>
      <c r="I47" s="1795" t="s">
        <v>2939</v>
      </c>
      <c r="J47" s="603" t="s">
        <v>2587</v>
      </c>
      <c r="K47" s="603" t="s">
        <v>2588</v>
      </c>
      <c r="L47" s="603" t="s">
        <v>2589</v>
      </c>
      <c r="M47" s="603" t="s">
        <v>2590</v>
      </c>
      <c r="N47" s="603" t="s">
        <v>2591</v>
      </c>
      <c r="AA47" s="1366"/>
      <c r="AB47" s="1366"/>
      <c r="AC47" s="1366"/>
      <c r="AD47" s="1366"/>
      <c r="AE47" s="1366"/>
      <c r="AF47" s="1366"/>
      <c r="AG47" s="1366"/>
      <c r="AH47" s="1366"/>
      <c r="AI47" s="1366"/>
      <c r="AJ47" s="1366"/>
      <c r="AK47" s="1366"/>
    </row>
    <row r="48" spans="1:37" s="1365" customFormat="1" ht="25.2">
      <c r="A48" s="2858" t="s">
        <v>2940</v>
      </c>
      <c r="B48" s="2861">
        <f>估价对象房地状况!C4</f>
        <v>0</v>
      </c>
      <c r="C48" s="2758"/>
      <c r="D48" s="1281">
        <f t="shared" ref="D48:D56" si="10">SUMIF($J$47:$N$47,C48,J48:N48)</f>
        <v>0</v>
      </c>
      <c r="E48" s="816">
        <f>ROUND(SUM(D48:D56),4)</f>
        <v>0</v>
      </c>
      <c r="F48" s="2489">
        <f>IF(E2="商业",SUMIF(L1:L12,G2,N1:N12),"——")</f>
        <v>0.1</v>
      </c>
      <c r="G48" s="1279"/>
      <c r="H48" s="1283">
        <f t="shared" ref="H48:H56" si="11">IFERROR(ROUNDDOWN($F$48*I48/2,4),"——")</f>
        <v>1.6500000000000001E-2</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24">
      <c r="A49" s="2858" t="s">
        <v>2941</v>
      </c>
      <c r="B49" s="2862">
        <f>估价对象房地状况!C18</f>
        <v>0</v>
      </c>
      <c r="C49" s="2758"/>
      <c r="D49" s="1281">
        <f t="shared" si="10"/>
        <v>0</v>
      </c>
      <c r="E49" s="817"/>
      <c r="F49" s="2489"/>
      <c r="G49" s="1279"/>
      <c r="H49" s="1283">
        <f t="shared" si="11"/>
        <v>1.2500000000000001E-2</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58" t="s">
        <v>2942</v>
      </c>
      <c r="B50" s="2862">
        <f>估价对象房地状况!C19</f>
        <v>0</v>
      </c>
      <c r="C50" s="2758"/>
      <c r="D50" s="1281">
        <f t="shared" si="10"/>
        <v>0</v>
      </c>
      <c r="E50" s="817"/>
      <c r="F50" s="2489"/>
      <c r="G50" s="1279"/>
      <c r="H50" s="1283">
        <f t="shared" si="11"/>
        <v>2.5000000000000001E-3</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50.4">
      <c r="A51" s="2858" t="s">
        <v>2943</v>
      </c>
      <c r="B51" s="2863" t="s">
        <v>2944</v>
      </c>
      <c r="C51" s="2758"/>
      <c r="D51" s="1281">
        <f t="shared" si="10"/>
        <v>0</v>
      </c>
      <c r="E51" s="817"/>
      <c r="F51" s="2489"/>
      <c r="G51" s="1279"/>
      <c r="H51" s="1283">
        <f t="shared" si="11"/>
        <v>2.5000000000000001E-3</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58" t="s">
        <v>2945</v>
      </c>
      <c r="B52" s="2862">
        <f>估价对象房地状况!C24</f>
        <v>0</v>
      </c>
      <c r="C52" s="2758"/>
      <c r="D52" s="1281">
        <f t="shared" si="10"/>
        <v>0</v>
      </c>
      <c r="E52" s="817"/>
      <c r="F52" s="2489"/>
      <c r="G52" s="1279"/>
      <c r="H52" s="1283">
        <f t="shared" si="11"/>
        <v>4.0000000000000001E-3</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36">
      <c r="A53" s="2858" t="s">
        <v>2946</v>
      </c>
      <c r="B53" s="2864" t="s">
        <v>2947</v>
      </c>
      <c r="C53" s="2758"/>
      <c r="D53" s="1281">
        <f t="shared" si="10"/>
        <v>0</v>
      </c>
      <c r="E53" s="817"/>
      <c r="F53" s="2489"/>
      <c r="G53" s="1279"/>
      <c r="H53" s="1283">
        <f t="shared" si="11"/>
        <v>1.5E-3</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65" t="s">
        <v>2948</v>
      </c>
      <c r="B54" s="1719">
        <f>估价对象房地状况!C21</f>
        <v>0</v>
      </c>
      <c r="C54" s="2758"/>
      <c r="D54" s="1281">
        <f t="shared" si="10"/>
        <v>0</v>
      </c>
      <c r="E54" s="817"/>
      <c r="F54" s="2489"/>
      <c r="G54" s="1279"/>
      <c r="H54" s="1283">
        <f t="shared" si="11"/>
        <v>2.5000000000000001E-3</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65" t="s">
        <v>2949</v>
      </c>
      <c r="B55" s="2862">
        <f>估价对象房地状况!C22</f>
        <v>0</v>
      </c>
      <c r="C55" s="2758"/>
      <c r="D55" s="1281">
        <f t="shared" si="10"/>
        <v>0</v>
      </c>
      <c r="E55" s="817"/>
      <c r="F55" s="2489"/>
      <c r="G55" s="1279"/>
      <c r="H55" s="1283">
        <f t="shared" si="11"/>
        <v>5.0000000000000001E-3</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6.6" thickBot="1">
      <c r="A56" s="2866" t="s">
        <v>2950</v>
      </c>
      <c r="B56" s="2867">
        <f>估价对象房地状况!C20</f>
        <v>0</v>
      </c>
      <c r="C56" s="2758"/>
      <c r="D56" s="1281">
        <f t="shared" si="10"/>
        <v>0</v>
      </c>
      <c r="E56" s="820"/>
      <c r="F56" s="2489"/>
      <c r="G56" s="1279"/>
      <c r="H56" s="1283">
        <f t="shared" si="11"/>
        <v>3.0000000000000001E-3</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4.4">
      <c r="A57" s="2854" t="s">
        <v>2951</v>
      </c>
      <c r="B57" s="2855">
        <f>1+E59</f>
        <v>1</v>
      </c>
      <c r="C57" s="809"/>
      <c r="D57" s="809"/>
      <c r="E57" s="810"/>
      <c r="F57" s="2857"/>
      <c r="G57" s="6"/>
      <c r="H57" s="6"/>
      <c r="I57" s="6"/>
      <c r="J57" s="7"/>
      <c r="K57" s="7"/>
      <c r="L57" s="7"/>
      <c r="M57" s="7"/>
      <c r="N57" s="7"/>
      <c r="AA57" s="1366"/>
      <c r="AB57" s="1366"/>
      <c r="AC57" s="1366"/>
      <c r="AD57" s="1366"/>
      <c r="AE57" s="1366"/>
      <c r="AF57" s="1366"/>
      <c r="AG57" s="1366"/>
      <c r="AH57" s="1366"/>
      <c r="AI57" s="1366"/>
      <c r="AJ57" s="1366"/>
      <c r="AK57" s="1366"/>
    </row>
    <row r="58" spans="1:37" s="1365" customFormat="1" ht="25.2">
      <c r="A58" s="2858" t="s">
        <v>2932</v>
      </c>
      <c r="B58" s="1795"/>
      <c r="C58" s="1795" t="s">
        <v>2934</v>
      </c>
      <c r="D58" s="1795" t="s">
        <v>2935</v>
      </c>
      <c r="E58" s="814" t="s">
        <v>2936</v>
      </c>
      <c r="F58" s="2859" t="s">
        <v>2952</v>
      </c>
      <c r="G58" s="1795" t="s">
        <v>754</v>
      </c>
      <c r="H58" s="2860" t="s">
        <v>2938</v>
      </c>
      <c r="I58" s="1795" t="s">
        <v>2939</v>
      </c>
      <c r="J58" s="603" t="s">
        <v>2587</v>
      </c>
      <c r="K58" s="603" t="s">
        <v>2588</v>
      </c>
      <c r="L58" s="603" t="s">
        <v>2589</v>
      </c>
      <c r="M58" s="603" t="s">
        <v>2590</v>
      </c>
      <c r="N58" s="603" t="s">
        <v>2591</v>
      </c>
      <c r="AA58" s="1366"/>
      <c r="AB58" s="1366"/>
      <c r="AC58" s="1366"/>
      <c r="AD58" s="1366"/>
      <c r="AE58" s="1366"/>
      <c r="AF58" s="1366"/>
      <c r="AG58" s="1366"/>
      <c r="AH58" s="1366"/>
      <c r="AI58" s="1366"/>
      <c r="AJ58" s="1366"/>
      <c r="AK58" s="1366"/>
    </row>
    <row r="59" spans="1:37" s="1365" customFormat="1" ht="24">
      <c r="A59" s="2858" t="s">
        <v>2953</v>
      </c>
      <c r="B59" s="2861">
        <f>估价对象房地状况!C17</f>
        <v>0</v>
      </c>
      <c r="C59" s="2758"/>
      <c r="D59" s="1281">
        <f t="shared" ref="D59:D67" si="15">SUMIF($J$58:$N$58,C59,J59:N59)</f>
        <v>0</v>
      </c>
      <c r="E59" s="816">
        <f>ROUND(SUM(D59:D67),4)</f>
        <v>0</v>
      </c>
      <c r="F59" s="2489"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24">
      <c r="A60" s="2858" t="s">
        <v>2941</v>
      </c>
      <c r="B60" s="2862">
        <f>估价对象房地状况!C18</f>
        <v>0</v>
      </c>
      <c r="C60" s="2758"/>
      <c r="D60" s="1281">
        <f t="shared" si="15"/>
        <v>0</v>
      </c>
      <c r="E60" s="817"/>
      <c r="F60" s="2489"/>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58" t="s">
        <v>2942</v>
      </c>
      <c r="B61" s="2862">
        <f>估价对象房地状况!C19</f>
        <v>0</v>
      </c>
      <c r="C61" s="2758"/>
      <c r="D61" s="1281">
        <f t="shared" si="15"/>
        <v>0</v>
      </c>
      <c r="E61" s="817"/>
      <c r="F61" s="2489"/>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50.4">
      <c r="A62" s="2858" t="s">
        <v>2943</v>
      </c>
      <c r="B62" s="2863" t="s">
        <v>2944</v>
      </c>
      <c r="C62" s="2758"/>
      <c r="D62" s="1281">
        <f t="shared" si="15"/>
        <v>0</v>
      </c>
      <c r="E62" s="817"/>
      <c r="F62" s="2489"/>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58" t="s">
        <v>2945</v>
      </c>
      <c r="B63" s="2862">
        <f>估价对象房地状况!C24</f>
        <v>0</v>
      </c>
      <c r="C63" s="2758"/>
      <c r="D63" s="1281">
        <f t="shared" si="15"/>
        <v>0</v>
      </c>
      <c r="E63" s="817"/>
      <c r="F63" s="2489"/>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36">
      <c r="A64" s="2858" t="s">
        <v>2946</v>
      </c>
      <c r="B64" s="2864" t="s">
        <v>2947</v>
      </c>
      <c r="C64" s="2758"/>
      <c r="D64" s="1281">
        <f t="shared" si="15"/>
        <v>0</v>
      </c>
      <c r="E64" s="817"/>
      <c r="F64" s="2489"/>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58" t="s">
        <v>2948</v>
      </c>
      <c r="B65" s="1719">
        <f>估价对象房地状况!C21</f>
        <v>0</v>
      </c>
      <c r="C65" s="2758"/>
      <c r="D65" s="1281">
        <f t="shared" si="15"/>
        <v>0</v>
      </c>
      <c r="E65" s="817"/>
      <c r="F65" s="2489"/>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58" t="s">
        <v>2949</v>
      </c>
      <c r="B66" s="1719">
        <f>估价对象房地状况!C22</f>
        <v>0</v>
      </c>
      <c r="C66" s="2758"/>
      <c r="D66" s="1281">
        <f t="shared" si="15"/>
        <v>0</v>
      </c>
      <c r="E66" s="817"/>
      <c r="F66" s="2489"/>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6.6" thickBot="1">
      <c r="A67" s="2866" t="s">
        <v>2950</v>
      </c>
      <c r="B67" s="2868">
        <f>估价对象房地状况!C20</f>
        <v>0</v>
      </c>
      <c r="C67" s="2758"/>
      <c r="D67" s="1281">
        <f t="shared" si="15"/>
        <v>0</v>
      </c>
      <c r="E67" s="820"/>
      <c r="F67" s="2489"/>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4.4">
      <c r="A68" s="2854" t="s">
        <v>2954</v>
      </c>
      <c r="B68" s="2855">
        <f>1+E70</f>
        <v>1</v>
      </c>
      <c r="C68" s="809"/>
      <c r="D68" s="809"/>
      <c r="E68" s="810"/>
      <c r="F68" s="2857"/>
      <c r="G68" s="6"/>
      <c r="H68" s="6"/>
      <c r="I68" s="6"/>
      <c r="J68" s="7"/>
      <c r="K68" s="7"/>
      <c r="L68" s="7"/>
      <c r="M68" s="7"/>
      <c r="N68" s="7"/>
      <c r="AA68" s="1366"/>
      <c r="AB68" s="1366"/>
      <c r="AC68" s="1366"/>
      <c r="AD68" s="1366"/>
      <c r="AE68" s="1366"/>
      <c r="AF68" s="1366"/>
      <c r="AG68" s="1366"/>
      <c r="AH68" s="1366"/>
      <c r="AI68" s="1366"/>
      <c r="AJ68" s="1366"/>
      <c r="AK68" s="1366"/>
    </row>
    <row r="69" spans="1:37" s="1365" customFormat="1" ht="25.2">
      <c r="A69" s="2858" t="s">
        <v>2932</v>
      </c>
      <c r="B69" s="1795"/>
      <c r="C69" s="1795" t="s">
        <v>2934</v>
      </c>
      <c r="D69" s="1795" t="s">
        <v>2935</v>
      </c>
      <c r="E69" s="814" t="s">
        <v>2936</v>
      </c>
      <c r="F69" s="2859" t="s">
        <v>2952</v>
      </c>
      <c r="G69" s="1795" t="s">
        <v>754</v>
      </c>
      <c r="H69" s="2860" t="s">
        <v>2938</v>
      </c>
      <c r="I69" s="1795" t="s">
        <v>2939</v>
      </c>
      <c r="J69" s="603" t="s">
        <v>2587</v>
      </c>
      <c r="K69" s="603" t="s">
        <v>2588</v>
      </c>
      <c r="L69" s="603" t="s">
        <v>2589</v>
      </c>
      <c r="M69" s="603" t="s">
        <v>2590</v>
      </c>
      <c r="N69" s="603" t="s">
        <v>2591</v>
      </c>
      <c r="AA69" s="1366"/>
      <c r="AB69" s="1366"/>
      <c r="AC69" s="1366"/>
      <c r="AD69" s="1366"/>
      <c r="AE69" s="1366"/>
      <c r="AF69" s="1366"/>
      <c r="AG69" s="1366"/>
      <c r="AH69" s="1366"/>
      <c r="AI69" s="1366"/>
      <c r="AJ69" s="1366"/>
      <c r="AK69" s="1366"/>
    </row>
    <row r="70" spans="1:37" s="1365" customFormat="1" ht="24">
      <c r="A70" s="2858" t="s">
        <v>2955</v>
      </c>
      <c r="B70" s="2861">
        <f>估价对象房地状况!C15</f>
        <v>0</v>
      </c>
      <c r="C70" s="2758"/>
      <c r="D70" s="1281">
        <f t="shared" ref="D70:D78" si="20">SUMIF($J$69:$N$69,C70,J70:N70)</f>
        <v>0</v>
      </c>
      <c r="E70" s="816">
        <f>ROUND(SUM(D70:D78),4)</f>
        <v>0</v>
      </c>
      <c r="F70" s="2489"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24">
      <c r="A71" s="2858" t="s">
        <v>2941</v>
      </c>
      <c r="B71" s="2862">
        <f>估价对象房地状况!C18</f>
        <v>0</v>
      </c>
      <c r="C71" s="2758"/>
      <c r="D71" s="1281">
        <f t="shared" si="20"/>
        <v>0</v>
      </c>
      <c r="E71" s="821"/>
      <c r="F71" s="2489"/>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58" t="s">
        <v>2942</v>
      </c>
      <c r="B72" s="2862">
        <f>估价对象房地状况!C19</f>
        <v>0</v>
      </c>
      <c r="C72" s="2758"/>
      <c r="D72" s="1281">
        <f t="shared" si="20"/>
        <v>0</v>
      </c>
      <c r="E72" s="821"/>
      <c r="F72" s="2489"/>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3.8">
      <c r="A73" s="2858" t="s">
        <v>2956</v>
      </c>
      <c r="B73" s="2862">
        <f>估价对象房地状况!C24</f>
        <v>0</v>
      </c>
      <c r="C73" s="2758"/>
      <c r="D73" s="1281">
        <f t="shared" si="20"/>
        <v>0</v>
      </c>
      <c r="E73" s="821"/>
      <c r="F73" s="2489"/>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58" t="s">
        <v>2948</v>
      </c>
      <c r="B74" s="1719">
        <f>估价对象房地状况!C21</f>
        <v>0</v>
      </c>
      <c r="C74" s="2758"/>
      <c r="D74" s="1281">
        <f t="shared" si="20"/>
        <v>0</v>
      </c>
      <c r="E74" s="821"/>
      <c r="F74" s="2489"/>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58" t="s">
        <v>2949</v>
      </c>
      <c r="B75" s="1719">
        <f>估价对象房地状况!C22</f>
        <v>0</v>
      </c>
      <c r="C75" s="2758"/>
      <c r="D75" s="1281">
        <f t="shared" si="20"/>
        <v>0</v>
      </c>
      <c r="E75" s="821"/>
      <c r="F75" s="2489"/>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7" customFormat="1" ht="36">
      <c r="A76" s="2858" t="s">
        <v>2946</v>
      </c>
      <c r="B76" s="2864" t="s">
        <v>2947</v>
      </c>
      <c r="C76" s="2758"/>
      <c r="D76" s="1281">
        <f t="shared" si="20"/>
        <v>0</v>
      </c>
      <c r="E76" s="821"/>
      <c r="F76" s="2489"/>
      <c r="G76" s="1279"/>
      <c r="H76" s="1283" t="str">
        <f t="shared" si="21"/>
        <v>——</v>
      </c>
      <c r="I76" s="815">
        <v>0.05</v>
      </c>
      <c r="J76" s="1280">
        <f t="shared" si="22"/>
        <v>0</v>
      </c>
      <c r="K76" s="1280">
        <f t="shared" si="23"/>
        <v>0</v>
      </c>
      <c r="L76" s="1280">
        <v>0</v>
      </c>
      <c r="M76" s="1280">
        <f t="shared" si="24"/>
        <v>0</v>
      </c>
      <c r="N76" s="1280">
        <f t="shared" si="24"/>
        <v>0</v>
      </c>
      <c r="AA76" s="2869"/>
      <c r="AB76" s="1366"/>
      <c r="AC76" s="1366"/>
      <c r="AD76" s="1366"/>
      <c r="AE76" s="1366"/>
      <c r="AF76" s="1366"/>
      <c r="AG76" s="1366"/>
      <c r="AH76" s="2869"/>
      <c r="AI76" s="2869"/>
      <c r="AJ76" s="2869"/>
      <c r="AK76" s="2869"/>
    </row>
    <row r="77" spans="1:37" ht="36">
      <c r="A77" s="2858" t="s">
        <v>2950</v>
      </c>
      <c r="B77" s="2861">
        <f>估价对象房地状况!C20</f>
        <v>0</v>
      </c>
      <c r="C77" s="2758"/>
      <c r="D77" s="1281">
        <f t="shared" si="20"/>
        <v>0</v>
      </c>
      <c r="E77" s="821"/>
      <c r="F77" s="2489"/>
      <c r="G77" s="1279"/>
      <c r="H77" s="1283" t="str">
        <f t="shared" si="21"/>
        <v>——</v>
      </c>
      <c r="I77" s="815">
        <v>0.15</v>
      </c>
      <c r="J77" s="1280">
        <f t="shared" si="22"/>
        <v>0</v>
      </c>
      <c r="K77" s="1280">
        <f t="shared" si="23"/>
        <v>0</v>
      </c>
      <c r="L77" s="1280">
        <v>0</v>
      </c>
      <c r="M77" s="1280">
        <f t="shared" si="24"/>
        <v>0</v>
      </c>
      <c r="N77" s="1280">
        <f t="shared" si="24"/>
        <v>0</v>
      </c>
      <c r="Z77" s="2708"/>
      <c r="AA77" s="2776"/>
      <c r="AG77" s="1367"/>
      <c r="AK77" s="2776"/>
    </row>
    <row r="78" spans="1:37" ht="36.6" thickBot="1">
      <c r="A78" s="2866" t="s">
        <v>2957</v>
      </c>
      <c r="B78" s="2870"/>
      <c r="C78" s="2758"/>
      <c r="D78" s="1281">
        <f t="shared" si="20"/>
        <v>0</v>
      </c>
      <c r="E78" s="822"/>
      <c r="F78" s="2489"/>
      <c r="G78" s="1279"/>
      <c r="H78" s="1283" t="str">
        <f t="shared" si="21"/>
        <v>——</v>
      </c>
      <c r="I78" s="819">
        <v>0.04</v>
      </c>
      <c r="J78" s="1280">
        <f t="shared" si="22"/>
        <v>0</v>
      </c>
      <c r="K78" s="1280">
        <f t="shared" si="23"/>
        <v>0</v>
      </c>
      <c r="L78" s="1280">
        <v>0</v>
      </c>
      <c r="M78" s="1280">
        <f t="shared" si="24"/>
        <v>0</v>
      </c>
      <c r="N78" s="1280">
        <f t="shared" si="24"/>
        <v>0</v>
      </c>
      <c r="Z78" s="2708"/>
      <c r="AA78" s="2776"/>
      <c r="AG78" s="1367"/>
      <c r="AK78" s="2776"/>
    </row>
    <row r="79" spans="1:37" ht="14.4">
      <c r="A79" s="2854" t="s">
        <v>2958</v>
      </c>
      <c r="B79" s="2855">
        <f>1+E81</f>
        <v>1</v>
      </c>
      <c r="C79" s="809"/>
      <c r="D79" s="809"/>
      <c r="E79" s="810"/>
      <c r="F79" s="2857"/>
      <c r="G79" s="6"/>
      <c r="H79" s="6"/>
      <c r="I79" s="6"/>
      <c r="J79" s="7"/>
      <c r="K79" s="7"/>
      <c r="L79" s="7"/>
      <c r="M79" s="7"/>
      <c r="N79" s="7"/>
      <c r="Z79" s="2708"/>
      <c r="AA79" s="2776"/>
      <c r="AG79" s="1367"/>
      <c r="AK79" s="2776"/>
    </row>
    <row r="80" spans="1:37" ht="25.2">
      <c r="A80" s="2858" t="s">
        <v>2932</v>
      </c>
      <c r="B80" s="1795"/>
      <c r="C80" s="1795" t="s">
        <v>2934</v>
      </c>
      <c r="D80" s="1795" t="s">
        <v>2935</v>
      </c>
      <c r="E80" s="814" t="s">
        <v>2936</v>
      </c>
      <c r="F80" s="2859" t="s">
        <v>2952</v>
      </c>
      <c r="G80" s="1795" t="s">
        <v>754</v>
      </c>
      <c r="H80" s="2860" t="s">
        <v>2938</v>
      </c>
      <c r="I80" s="1795" t="s">
        <v>2939</v>
      </c>
      <c r="J80" s="603" t="s">
        <v>2587</v>
      </c>
      <c r="K80" s="603" t="s">
        <v>2588</v>
      </c>
      <c r="L80" s="603" t="s">
        <v>2589</v>
      </c>
      <c r="M80" s="603" t="s">
        <v>2590</v>
      </c>
      <c r="N80" s="603" t="s">
        <v>2591</v>
      </c>
      <c r="Z80" s="2708"/>
      <c r="AA80" s="2776"/>
      <c r="AG80" s="1367"/>
      <c r="AK80" s="2776"/>
    </row>
    <row r="81" spans="1:37" ht="24">
      <c r="A81" s="2858" t="s">
        <v>2959</v>
      </c>
      <c r="B81" s="2862">
        <f>估价对象房地状况!G15</f>
        <v>0</v>
      </c>
      <c r="C81" s="2758"/>
      <c r="D81" s="1281">
        <f t="shared" ref="D81:D88" si="25">SUMIF($J$80:$N$80,C81,J81:N81)</f>
        <v>0</v>
      </c>
      <c r="E81" s="816">
        <f>ROUND(SUM(D81:D88),4)</f>
        <v>0</v>
      </c>
      <c r="F81" s="2489"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8"/>
      <c r="AA81" s="2776"/>
      <c r="AG81" s="1367"/>
      <c r="AK81" s="2776"/>
    </row>
    <row r="82" spans="1:37" ht="24">
      <c r="A82" s="2858" t="s">
        <v>2941</v>
      </c>
      <c r="B82" s="2862">
        <f>估价对象房地状况!G16</f>
        <v>0</v>
      </c>
      <c r="C82" s="2758"/>
      <c r="D82" s="1281">
        <f t="shared" si="25"/>
        <v>0</v>
      </c>
      <c r="E82" s="821"/>
      <c r="F82" s="2489"/>
      <c r="G82" s="1279"/>
      <c r="H82" s="1283" t="str">
        <f t="shared" si="26"/>
        <v>——</v>
      </c>
      <c r="I82" s="815">
        <v>0.33</v>
      </c>
      <c r="J82" s="1280">
        <f t="shared" si="27"/>
        <v>0</v>
      </c>
      <c r="K82" s="1280">
        <f t="shared" si="28"/>
        <v>0</v>
      </c>
      <c r="L82" s="1280">
        <v>0</v>
      </c>
      <c r="M82" s="1280">
        <f t="shared" si="29"/>
        <v>0</v>
      </c>
      <c r="N82" s="1280">
        <f t="shared" si="29"/>
        <v>0</v>
      </c>
      <c r="Z82" s="2708"/>
      <c r="AA82" s="2776"/>
      <c r="AG82" s="1367"/>
      <c r="AK82" s="2776"/>
    </row>
    <row r="83" spans="1:37" ht="24">
      <c r="A83" s="2858" t="s">
        <v>2942</v>
      </c>
      <c r="B83" s="2862">
        <f>估价对象房地状况!G17</f>
        <v>0</v>
      </c>
      <c r="C83" s="2758"/>
      <c r="D83" s="1281">
        <f t="shared" si="25"/>
        <v>0</v>
      </c>
      <c r="E83" s="821"/>
      <c r="F83" s="2489"/>
      <c r="G83" s="1279"/>
      <c r="H83" s="1283" t="str">
        <f t="shared" si="26"/>
        <v>——</v>
      </c>
      <c r="I83" s="815">
        <v>0.05</v>
      </c>
      <c r="J83" s="1280">
        <f t="shared" si="27"/>
        <v>0</v>
      </c>
      <c r="K83" s="1280">
        <f t="shared" si="28"/>
        <v>0</v>
      </c>
      <c r="L83" s="1280">
        <v>0</v>
      </c>
      <c r="M83" s="1280">
        <f t="shared" si="29"/>
        <v>0</v>
      </c>
      <c r="N83" s="1280">
        <f t="shared" si="29"/>
        <v>0</v>
      </c>
      <c r="Z83" s="2708"/>
      <c r="AA83" s="2776"/>
      <c r="AG83" s="1367"/>
      <c r="AK83" s="2776"/>
    </row>
    <row r="84" spans="1:37" ht="13.8">
      <c r="A84" s="2858" t="s">
        <v>2956</v>
      </c>
      <c r="B84" s="2862">
        <f>估价对象房地状况!G22</f>
        <v>0</v>
      </c>
      <c r="C84" s="2758"/>
      <c r="D84" s="1281">
        <f t="shared" si="25"/>
        <v>0</v>
      </c>
      <c r="E84" s="821"/>
      <c r="F84" s="2489"/>
      <c r="G84" s="1279"/>
      <c r="H84" s="1283" t="str">
        <f t="shared" si="26"/>
        <v>——</v>
      </c>
      <c r="I84" s="815">
        <v>0.04</v>
      </c>
      <c r="J84" s="1280">
        <f t="shared" si="27"/>
        <v>0</v>
      </c>
      <c r="K84" s="1280">
        <f t="shared" si="28"/>
        <v>0</v>
      </c>
      <c r="L84" s="1280">
        <v>0</v>
      </c>
      <c r="M84" s="1280">
        <f t="shared" si="29"/>
        <v>0</v>
      </c>
      <c r="N84" s="1280">
        <f t="shared" si="29"/>
        <v>0</v>
      </c>
      <c r="Z84" s="2708"/>
      <c r="AA84" s="2776"/>
      <c r="AG84" s="1367"/>
      <c r="AK84" s="2776"/>
    </row>
    <row r="85" spans="1:37" ht="24">
      <c r="A85" s="2858" t="s">
        <v>2948</v>
      </c>
      <c r="B85" s="1719">
        <f>估价对象房地状况!G19</f>
        <v>0</v>
      </c>
      <c r="C85" s="2758"/>
      <c r="D85" s="1281">
        <f t="shared" si="25"/>
        <v>0</v>
      </c>
      <c r="E85" s="821"/>
      <c r="F85" s="2489"/>
      <c r="G85" s="1279"/>
      <c r="H85" s="1283" t="str">
        <f t="shared" si="26"/>
        <v>——</v>
      </c>
      <c r="I85" s="815">
        <v>0.06</v>
      </c>
      <c r="J85" s="1280">
        <f t="shared" si="27"/>
        <v>0</v>
      </c>
      <c r="K85" s="1280">
        <f t="shared" si="28"/>
        <v>0</v>
      </c>
      <c r="L85" s="1280">
        <v>0</v>
      </c>
      <c r="M85" s="1280">
        <f t="shared" si="29"/>
        <v>0</v>
      </c>
      <c r="N85" s="1280">
        <f t="shared" si="29"/>
        <v>0</v>
      </c>
      <c r="Z85" s="2708"/>
      <c r="AA85" s="2776"/>
      <c r="AG85" s="1367"/>
      <c r="AK85" s="2776"/>
    </row>
    <row r="86" spans="1:37" ht="24">
      <c r="A86" s="2858" t="s">
        <v>2949</v>
      </c>
      <c r="B86" s="1719">
        <f>估价对象房地状况!G20</f>
        <v>0</v>
      </c>
      <c r="C86" s="2758"/>
      <c r="D86" s="1281">
        <f t="shared" si="25"/>
        <v>0</v>
      </c>
      <c r="E86" s="821"/>
      <c r="F86" s="2489"/>
      <c r="G86" s="1279"/>
      <c r="H86" s="1283" t="str">
        <f t="shared" si="26"/>
        <v>——</v>
      </c>
      <c r="I86" s="815">
        <v>0.15</v>
      </c>
      <c r="J86" s="1280">
        <f t="shared" si="27"/>
        <v>0</v>
      </c>
      <c r="K86" s="1280">
        <f t="shared" si="28"/>
        <v>0</v>
      </c>
      <c r="L86" s="1280">
        <v>0</v>
      </c>
      <c r="M86" s="1280">
        <f t="shared" si="29"/>
        <v>0</v>
      </c>
      <c r="N86" s="1280">
        <f t="shared" si="29"/>
        <v>0</v>
      </c>
      <c r="Z86" s="2708"/>
      <c r="AA86" s="2776"/>
      <c r="AG86" s="1367"/>
      <c r="AK86" s="2776"/>
    </row>
    <row r="87" spans="1:37" ht="36">
      <c r="A87" s="2858" t="s">
        <v>2946</v>
      </c>
      <c r="B87" s="2864" t="s">
        <v>2960</v>
      </c>
      <c r="C87" s="2758"/>
      <c r="D87" s="1281">
        <f t="shared" si="25"/>
        <v>0</v>
      </c>
      <c r="E87" s="821"/>
      <c r="F87" s="2489"/>
      <c r="G87" s="1279"/>
      <c r="H87" s="1283" t="str">
        <f t="shared" si="26"/>
        <v>——</v>
      </c>
      <c r="I87" s="815">
        <v>0.05</v>
      </c>
      <c r="J87" s="1280">
        <f t="shared" si="27"/>
        <v>0</v>
      </c>
      <c r="K87" s="1280">
        <f t="shared" si="28"/>
        <v>0</v>
      </c>
      <c r="L87" s="1280">
        <v>0</v>
      </c>
      <c r="M87" s="1280">
        <f t="shared" si="29"/>
        <v>0</v>
      </c>
      <c r="N87" s="1280">
        <f t="shared" si="29"/>
        <v>0</v>
      </c>
      <c r="Z87" s="2708"/>
      <c r="AA87" s="2776"/>
      <c r="AG87" s="1367"/>
      <c r="AK87" s="2776"/>
    </row>
    <row r="88" spans="1:37" ht="14.4" thickBot="1">
      <c r="A88" s="2866" t="s">
        <v>2961</v>
      </c>
      <c r="B88" s="2871">
        <f>估价对象房地状况!G18</f>
        <v>0</v>
      </c>
      <c r="C88" s="2758"/>
      <c r="D88" s="1281">
        <f t="shared" si="25"/>
        <v>0</v>
      </c>
      <c r="E88" s="822"/>
      <c r="F88" s="2489"/>
      <c r="G88" s="1279"/>
      <c r="H88" s="1283" t="str">
        <f t="shared" si="26"/>
        <v>——</v>
      </c>
      <c r="I88" s="819">
        <v>0.06</v>
      </c>
      <c r="J88" s="1280">
        <f t="shared" si="27"/>
        <v>0</v>
      </c>
      <c r="K88" s="1280">
        <f t="shared" si="28"/>
        <v>0</v>
      </c>
      <c r="L88" s="1280">
        <v>0</v>
      </c>
      <c r="M88" s="1280">
        <f t="shared" si="29"/>
        <v>0</v>
      </c>
      <c r="N88" s="1280">
        <f t="shared" si="29"/>
        <v>0</v>
      </c>
      <c r="Z88" s="2708"/>
      <c r="AA88" s="2776"/>
      <c r="AG88" s="1367"/>
      <c r="AK88" s="2776"/>
    </row>
    <row r="90" spans="1:37">
      <c r="A90" s="3277" t="s">
        <v>2962</v>
      </c>
      <c r="B90" s="3277"/>
      <c r="C90" s="3277"/>
      <c r="D90" s="3277"/>
      <c r="E90" s="3277"/>
      <c r="F90" s="3277"/>
      <c r="G90" s="3277"/>
      <c r="H90" s="3277"/>
      <c r="I90" s="3277"/>
      <c r="J90" s="3277"/>
      <c r="K90" s="2872"/>
      <c r="L90" s="2872"/>
      <c r="M90" s="2872"/>
      <c r="N90" s="2872"/>
    </row>
    <row r="91" spans="1:37">
      <c r="A91" s="3279" t="s">
        <v>2963</v>
      </c>
      <c r="B91" s="3279" t="s">
        <v>2964</v>
      </c>
      <c r="C91" s="2826" t="s">
        <v>2965</v>
      </c>
      <c r="D91" s="2827"/>
      <c r="E91" s="2827"/>
      <c r="F91" s="2827"/>
      <c r="G91" s="2827"/>
      <c r="H91" s="2827"/>
      <c r="I91" s="2827"/>
      <c r="J91" s="2873"/>
      <c r="K91" s="2874"/>
      <c r="L91" s="2874"/>
      <c r="M91" s="2874"/>
      <c r="N91" s="2874"/>
    </row>
    <row r="92" spans="1:37">
      <c r="A92" s="3279"/>
      <c r="B92" s="3279"/>
      <c r="C92" s="937" t="s">
        <v>2831</v>
      </c>
      <c r="D92" s="937" t="s">
        <v>2832</v>
      </c>
      <c r="E92" s="937" t="s">
        <v>2833</v>
      </c>
      <c r="F92" s="937" t="s">
        <v>2834</v>
      </c>
      <c r="G92" s="937" t="s">
        <v>2835</v>
      </c>
      <c r="H92" s="937" t="s">
        <v>2836</v>
      </c>
      <c r="I92" s="937" t="s">
        <v>2837</v>
      </c>
      <c r="J92" s="937" t="s">
        <v>2838</v>
      </c>
      <c r="K92" s="937" t="s">
        <v>2839</v>
      </c>
      <c r="L92" s="937" t="s">
        <v>2840</v>
      </c>
      <c r="M92" s="937" t="s">
        <v>2841</v>
      </c>
      <c r="N92" s="937" t="s">
        <v>2842</v>
      </c>
    </row>
    <row r="93" spans="1:37">
      <c r="A93" s="3280" t="s">
        <v>2966</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81"/>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81"/>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81"/>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81"/>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81"/>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81"/>
      <c r="B99" s="2875" t="s">
        <v>2847</v>
      </c>
      <c r="C99" s="2877">
        <f>$I$3</f>
        <v>1</v>
      </c>
      <c r="D99" s="2877">
        <f t="shared" ref="D99:M99" si="30">$I$3</f>
        <v>1</v>
      </c>
      <c r="E99" s="2877">
        <f t="shared" si="30"/>
        <v>1</v>
      </c>
      <c r="F99" s="2877">
        <f t="shared" si="30"/>
        <v>1</v>
      </c>
      <c r="G99" s="2877">
        <f t="shared" si="30"/>
        <v>1</v>
      </c>
      <c r="H99" s="2877">
        <f t="shared" si="30"/>
        <v>1</v>
      </c>
      <c r="I99" s="2877">
        <f t="shared" si="30"/>
        <v>1</v>
      </c>
      <c r="J99" s="2877">
        <f t="shared" si="30"/>
        <v>1</v>
      </c>
      <c r="K99" s="2877">
        <f t="shared" si="30"/>
        <v>1</v>
      </c>
      <c r="L99" s="2877">
        <f t="shared" si="30"/>
        <v>1</v>
      </c>
      <c r="M99" s="2877">
        <f t="shared" si="30"/>
        <v>1</v>
      </c>
      <c r="N99" s="2877">
        <f>$I$3</f>
        <v>1</v>
      </c>
    </row>
    <row r="100" spans="1:14">
      <c r="A100" s="3282"/>
      <c r="B100" s="2875">
        <v>7</v>
      </c>
      <c r="C100" s="2878">
        <f>(-0.163*(C99^2)-0.59*C99+7617)*(10^(-4))</f>
        <v>0.76162470000000004</v>
      </c>
      <c r="D100" s="2878">
        <f>(-0.163*(D99^2)-0.59*D99+7617)*(10^(-4))</f>
        <v>0.76162470000000004</v>
      </c>
      <c r="E100" s="2878">
        <f>(-0.161*(E99^2)-7.509*E99+6533)*(10^(-4))</f>
        <v>0.65253300000000003</v>
      </c>
      <c r="F100" s="2878">
        <f>(-0.161*(F99^2)-7.509*F99+6533)*(10^(-4))</f>
        <v>0.65253300000000003</v>
      </c>
      <c r="G100" s="2878">
        <f>(-0.161*(G99^2)-7.509*G99+6533)*(10^(-4))</f>
        <v>0.65253300000000003</v>
      </c>
      <c r="H100" s="2878">
        <f>(-0.161*(H99^2)-7.509*H99+6533)*(10^(-4))</f>
        <v>0.65253300000000003</v>
      </c>
      <c r="I100" s="2878">
        <f>(-0.161*(I99^2)-7.509*I99+6533)*(10^(-4))</f>
        <v>0.65253300000000003</v>
      </c>
      <c r="J100" s="2878">
        <f>(-0.214*(J99^2)-21.991*J99+4665)*(10^(-4))</f>
        <v>0.46427950000000001</v>
      </c>
      <c r="K100" s="2878">
        <f>(-0.214*(K99^2)-21.991*K99+4665)*(10^(-4))</f>
        <v>0.46427950000000001</v>
      </c>
      <c r="L100" s="2878">
        <f>(-0.214*(L99^2)-21.991*L99+4665)*(10^(-4))</f>
        <v>0.46427950000000001</v>
      </c>
      <c r="M100" s="2878">
        <f>(-0.214*(M99^2)-21.991*M99+4665)*(10^(-4))</f>
        <v>0.46427950000000001</v>
      </c>
      <c r="N100" s="2878">
        <f>(-0.214*(N99^2)-21.991*N99+4665)*(10^(-4))</f>
        <v>0.46427950000000001</v>
      </c>
    </row>
    <row r="101" spans="1:14">
      <c r="A101" s="3280" t="s">
        <v>2967</v>
      </c>
      <c r="B101" s="2879" t="s">
        <v>2968</v>
      </c>
      <c r="C101" s="2880">
        <f>$G$3</f>
        <v>1.35</v>
      </c>
      <c r="D101" s="2880">
        <f t="shared" ref="D101:N101" si="31">$G$3</f>
        <v>1.35</v>
      </c>
      <c r="E101" s="2880">
        <f t="shared" si="31"/>
        <v>1.35</v>
      </c>
      <c r="F101" s="2880">
        <f t="shared" si="31"/>
        <v>1.35</v>
      </c>
      <c r="G101" s="2880">
        <f t="shared" si="31"/>
        <v>1.35</v>
      </c>
      <c r="H101" s="2880">
        <f t="shared" si="31"/>
        <v>1.35</v>
      </c>
      <c r="I101" s="2880">
        <f t="shared" si="31"/>
        <v>1.35</v>
      </c>
      <c r="J101" s="2880">
        <f t="shared" si="31"/>
        <v>1.35</v>
      </c>
      <c r="K101" s="2880">
        <f t="shared" si="31"/>
        <v>1.35</v>
      </c>
      <c r="L101" s="2880">
        <f t="shared" si="31"/>
        <v>1.35</v>
      </c>
      <c r="M101" s="2880">
        <f t="shared" si="31"/>
        <v>1.35</v>
      </c>
      <c r="N101" s="2880">
        <f t="shared" si="31"/>
        <v>1.35</v>
      </c>
    </row>
    <row r="102" spans="1:14">
      <c r="A102" s="3281"/>
      <c r="B102" s="2875">
        <v>1</v>
      </c>
      <c r="C102" s="2876">
        <f>1.9362/C101</f>
        <v>1.4342222222222221</v>
      </c>
      <c r="D102" s="2876">
        <f>1.9362/D101</f>
        <v>1.4342222222222221</v>
      </c>
      <c r="E102" s="2876">
        <f>1.8629/E101</f>
        <v>1.3799259259259258</v>
      </c>
      <c r="F102" s="2876">
        <f>1.8629/F101</f>
        <v>1.3799259259259258</v>
      </c>
      <c r="G102" s="2876">
        <f>1.8629/G101</f>
        <v>1.3799259259259258</v>
      </c>
      <c r="H102" s="2876">
        <f>1.8629/H101</f>
        <v>1.3799259259259258</v>
      </c>
      <c r="I102" s="2876">
        <f>1.8629/I101</f>
        <v>1.3799259259259258</v>
      </c>
      <c r="J102" s="2876">
        <f>1.942/J101</f>
        <v>1.4385185185185183</v>
      </c>
      <c r="K102" s="2876">
        <f>1.942/K101</f>
        <v>1.4385185185185183</v>
      </c>
      <c r="L102" s="2876">
        <f>1.942/L101</f>
        <v>1.4385185185185183</v>
      </c>
      <c r="M102" s="2876">
        <f>1.942/M101</f>
        <v>1.4385185185185183</v>
      </c>
      <c r="N102" s="2876">
        <f>1.942/N101</f>
        <v>1.4385185185185183</v>
      </c>
    </row>
    <row r="103" spans="1:14">
      <c r="A103" s="3281"/>
      <c r="B103" s="2875">
        <v>2</v>
      </c>
      <c r="C103" s="2876">
        <f>1.4198/C101</f>
        <v>1.0517037037037036</v>
      </c>
      <c r="D103" s="2876">
        <f>1.4198/D101</f>
        <v>1.0517037037037036</v>
      </c>
      <c r="E103" s="2876">
        <f>1.3372/E101</f>
        <v>0.99051851851851846</v>
      </c>
      <c r="F103" s="2876">
        <f>1.3372/F101</f>
        <v>0.99051851851851846</v>
      </c>
      <c r="G103" s="2876">
        <f>1.3372/G101</f>
        <v>0.99051851851851846</v>
      </c>
      <c r="H103" s="2876">
        <f>1.3372/H101</f>
        <v>0.99051851851851846</v>
      </c>
      <c r="I103" s="2876">
        <f>1.3372/I101</f>
        <v>0.99051851851851846</v>
      </c>
      <c r="J103" s="2876">
        <f>1.2799/J101</f>
        <v>0.94807407407407407</v>
      </c>
      <c r="K103" s="2876">
        <f>1.2799/K101</f>
        <v>0.94807407407407407</v>
      </c>
      <c r="L103" s="2876">
        <f>1.2799/L101</f>
        <v>0.94807407407407407</v>
      </c>
      <c r="M103" s="2876">
        <f>1.2799/M101</f>
        <v>0.94807407407407407</v>
      </c>
      <c r="N103" s="2876">
        <f>1.2799/N101</f>
        <v>0.94807407407407407</v>
      </c>
    </row>
    <row r="104" spans="1:14">
      <c r="A104" s="3281"/>
      <c r="B104" s="2875">
        <v>3</v>
      </c>
      <c r="C104" s="2876">
        <f>1.1594/C101</f>
        <v>0.8588148148148147</v>
      </c>
      <c r="D104" s="2876">
        <f>1.1594/D101</f>
        <v>0.8588148148148147</v>
      </c>
      <c r="E104" s="2876">
        <f>1.0788/E101</f>
        <v>0.79911111111111099</v>
      </c>
      <c r="F104" s="2876">
        <f>1.0788/F101</f>
        <v>0.79911111111111099</v>
      </c>
      <c r="G104" s="2876">
        <f>1.0788/G101</f>
        <v>0.79911111111111099</v>
      </c>
      <c r="H104" s="2876">
        <f>1.0788/H101</f>
        <v>0.79911111111111099</v>
      </c>
      <c r="I104" s="2876">
        <f>1.0788/I101</f>
        <v>0.79911111111111099</v>
      </c>
      <c r="J104" s="2876">
        <f>1.0072/J101</f>
        <v>0.74607407407407411</v>
      </c>
      <c r="K104" s="2876">
        <f>1.0072/K101</f>
        <v>0.74607407407407411</v>
      </c>
      <c r="L104" s="2876">
        <f>1.0072/L101</f>
        <v>0.74607407407407411</v>
      </c>
      <c r="M104" s="2876">
        <f>1.0072/M101</f>
        <v>0.74607407407407411</v>
      </c>
      <c r="N104" s="2876">
        <f>1.0072/N101</f>
        <v>0.74607407407407411</v>
      </c>
    </row>
    <row r="105" spans="1:14">
      <c r="A105" s="3281"/>
      <c r="B105" s="2875">
        <v>4</v>
      </c>
      <c r="C105" s="2876">
        <f>0.9622/C101</f>
        <v>0.71274074074074079</v>
      </c>
      <c r="D105" s="2876">
        <f>0.9622/D101</f>
        <v>0.71274074074074079</v>
      </c>
      <c r="E105" s="2876">
        <f>0.8656/E101</f>
        <v>0.64118518518518519</v>
      </c>
      <c r="F105" s="2876">
        <f>0.8656/F101</f>
        <v>0.64118518518518519</v>
      </c>
      <c r="G105" s="2876">
        <f>0.8656/G101</f>
        <v>0.64118518518518519</v>
      </c>
      <c r="H105" s="2876">
        <f>0.8656/H101</f>
        <v>0.64118518518518519</v>
      </c>
      <c r="I105" s="2876">
        <f>0.8656/I101</f>
        <v>0.64118518518518519</v>
      </c>
      <c r="J105" s="2876">
        <f>0.7525/J101</f>
        <v>0.55740740740740735</v>
      </c>
      <c r="K105" s="2876">
        <f>0.7525/K101</f>
        <v>0.55740740740740735</v>
      </c>
      <c r="L105" s="2876">
        <f>0.7525/L101</f>
        <v>0.55740740740740735</v>
      </c>
      <c r="M105" s="2876">
        <f>0.7525/M101</f>
        <v>0.55740740740740735</v>
      </c>
      <c r="N105" s="2876">
        <f>0.7525/N101</f>
        <v>0.55740740740740735</v>
      </c>
    </row>
    <row r="106" spans="1:14">
      <c r="A106" s="3281"/>
      <c r="B106" s="2875">
        <v>5</v>
      </c>
      <c r="C106" s="2876">
        <f>0.8417/C101</f>
        <v>0.62348148148148141</v>
      </c>
      <c r="D106" s="2876">
        <f>0.8417/D101</f>
        <v>0.62348148148148141</v>
      </c>
      <c r="E106" s="2876">
        <f>0.7371/E101</f>
        <v>0.54599999999999993</v>
      </c>
      <c r="F106" s="2876">
        <f>0.7371/F101</f>
        <v>0.54599999999999993</v>
      </c>
      <c r="G106" s="2876">
        <f>0.7371/G101</f>
        <v>0.54599999999999993</v>
      </c>
      <c r="H106" s="2876">
        <f>0.7371/H101</f>
        <v>0.54599999999999993</v>
      </c>
      <c r="I106" s="2876">
        <f>0.7371/I101</f>
        <v>0.54599999999999993</v>
      </c>
      <c r="J106" s="2876">
        <f>0.5659/J101</f>
        <v>0.41918518518518511</v>
      </c>
      <c r="K106" s="2876">
        <f>0.5659/K101</f>
        <v>0.41918518518518511</v>
      </c>
      <c r="L106" s="2876">
        <f>0.5659/L101</f>
        <v>0.41918518518518511</v>
      </c>
      <c r="M106" s="2876">
        <f>0.5659/M101</f>
        <v>0.41918518518518511</v>
      </c>
      <c r="N106" s="2876">
        <f>0.5659/N101</f>
        <v>0.41918518518518511</v>
      </c>
    </row>
    <row r="107" spans="1:14">
      <c r="A107" s="3281"/>
      <c r="B107" s="2875">
        <v>6</v>
      </c>
      <c r="C107" s="2876">
        <f>0.7608/C101</f>
        <v>0.56355555555555559</v>
      </c>
      <c r="D107" s="2876">
        <f>0.7608/D101</f>
        <v>0.56355555555555559</v>
      </c>
      <c r="E107" s="2876">
        <f>0.6482/E101</f>
        <v>0.4801481481481481</v>
      </c>
      <c r="F107" s="2876">
        <f>0.6482/F101</f>
        <v>0.4801481481481481</v>
      </c>
      <c r="G107" s="2876">
        <f>0.6482/G101</f>
        <v>0.4801481481481481</v>
      </c>
      <c r="H107" s="2876">
        <f>0.6482/H101</f>
        <v>0.4801481481481481</v>
      </c>
      <c r="I107" s="2876">
        <f>0.6482/I101</f>
        <v>0.4801481481481481</v>
      </c>
      <c r="J107" s="2876">
        <f>0.4525/J101</f>
        <v>0.3351851851851852</v>
      </c>
      <c r="K107" s="2876">
        <f>0.4525/K101</f>
        <v>0.3351851851851852</v>
      </c>
      <c r="L107" s="2876">
        <f>0.4525/L101</f>
        <v>0.3351851851851852</v>
      </c>
      <c r="M107" s="2876">
        <f>0.4525/M101</f>
        <v>0.3351851851851852</v>
      </c>
      <c r="N107" s="2876">
        <f>0.4525/N101</f>
        <v>0.3351851851851852</v>
      </c>
    </row>
    <row r="108" spans="1:14">
      <c r="A108" s="3281"/>
      <c r="B108" s="3109" t="s">
        <v>2969</v>
      </c>
      <c r="C108" s="2877">
        <f>C99</f>
        <v>1</v>
      </c>
      <c r="D108" s="2877">
        <f t="shared" ref="D108:N108" si="32">D99</f>
        <v>1</v>
      </c>
      <c r="E108" s="2877">
        <f t="shared" si="32"/>
        <v>1</v>
      </c>
      <c r="F108" s="2877">
        <f t="shared" si="32"/>
        <v>1</v>
      </c>
      <c r="G108" s="2877">
        <f t="shared" si="32"/>
        <v>1</v>
      </c>
      <c r="H108" s="2877">
        <f t="shared" si="32"/>
        <v>1</v>
      </c>
      <c r="I108" s="2877">
        <f t="shared" si="32"/>
        <v>1</v>
      </c>
      <c r="J108" s="2877">
        <f t="shared" si="32"/>
        <v>1</v>
      </c>
      <c r="K108" s="2877">
        <f t="shared" si="32"/>
        <v>1</v>
      </c>
      <c r="L108" s="2877">
        <f t="shared" si="32"/>
        <v>1</v>
      </c>
      <c r="M108" s="2877">
        <f t="shared" si="32"/>
        <v>1</v>
      </c>
      <c r="N108" s="2877">
        <f t="shared" si="32"/>
        <v>1</v>
      </c>
    </row>
    <row r="109" spans="1:14">
      <c r="A109" s="3282"/>
      <c r="B109" s="3110"/>
      <c r="C109" s="2878">
        <f>(-0.163*(C108^2)-0.59*C108+7617)*(10^(-4))/C101</f>
        <v>0.56416644444444441</v>
      </c>
      <c r="D109" s="2878">
        <f>(-0.163*(D108^2)-0.59*D108+7617)*(10^(-4))/D101</f>
        <v>0.56416644444444441</v>
      </c>
      <c r="E109" s="2878">
        <f>(-0.161*(E108^2)-7.509*E108+6533)*(10^(-4))/E101</f>
        <v>0.48335777777777778</v>
      </c>
      <c r="F109" s="2878">
        <f>(-0.161*(F108^2)-7.509*F108+6533)*(10^(-4))/F101</f>
        <v>0.48335777777777778</v>
      </c>
      <c r="G109" s="2878">
        <f>(-0.161*(G108^2)-7.509*G108+6533)*(10^(-4))/G101</f>
        <v>0.48335777777777778</v>
      </c>
      <c r="H109" s="2878">
        <f>(-0.161*(H108^2)-7.509*H108+6533)*(10^(-4))/H101</f>
        <v>0.48335777777777778</v>
      </c>
      <c r="I109" s="2878">
        <f>(-0.161*(I108^2)-7.509*I108+6533)*(10^(-4))/I101</f>
        <v>0.48335777777777778</v>
      </c>
      <c r="J109" s="2878">
        <f>(-0.214*(J108^2)-21.991*J108+4665)*(10^(-4))/J101</f>
        <v>0.34391074074074074</v>
      </c>
      <c r="K109" s="2878">
        <f>(-0.214*(K108^2)-21.991*K108+4665)*(10^(-4))/K101</f>
        <v>0.34391074074074074</v>
      </c>
      <c r="L109" s="2878">
        <f>(-0.214*(L108^2)-21.991*L108+4665)*(10^(-4))/L101</f>
        <v>0.34391074074074074</v>
      </c>
      <c r="M109" s="2878">
        <f>(-0.214*(M108^2)-21.991*M108+4665)*(10^(-4))/M101</f>
        <v>0.34391074074074074</v>
      </c>
      <c r="N109" s="2878">
        <f>(-0.214*(N108^2)-21.991*N108+4665)*(10^(-4))/N101</f>
        <v>0.34391074074074074</v>
      </c>
    </row>
    <row r="110" spans="1:14">
      <c r="A110" s="3278" t="s">
        <v>2970</v>
      </c>
      <c r="B110" s="3278"/>
      <c r="C110" s="3278"/>
      <c r="D110" s="3278"/>
      <c r="E110" s="3278"/>
      <c r="F110" s="3278"/>
      <c r="G110" s="3278"/>
      <c r="H110" s="3278"/>
      <c r="I110" s="3278"/>
      <c r="J110" s="3278"/>
      <c r="K110" s="2881"/>
      <c r="L110" s="2881"/>
      <c r="M110" s="2881"/>
      <c r="N110" s="2881"/>
    </row>
    <row r="112" spans="1:14" ht="13.8" thickBot="1"/>
    <row r="113" spans="1:13" ht="25.8" thickBot="1">
      <c r="A113" s="898" t="s">
        <v>2971</v>
      </c>
      <c r="B113" s="1282">
        <f>G3</f>
        <v>1.35</v>
      </c>
      <c r="C113" s="899" t="s">
        <v>2972</v>
      </c>
      <c r="D113" s="900">
        <f>SUMPRODUCT((A115:A118=F113)*(B114:M114=H113)*B115:M118)</f>
        <v>0.81840000000000002</v>
      </c>
      <c r="E113" s="2712" t="s">
        <v>2804</v>
      </c>
      <c r="F113" s="2883" t="str">
        <f>E2</f>
        <v>商业</v>
      </c>
      <c r="G113" s="2712" t="s">
        <v>2805</v>
      </c>
      <c r="H113" s="2883" t="str">
        <f>G2</f>
        <v>五级</v>
      </c>
      <c r="I113" s="2712"/>
      <c r="J113" s="2884"/>
      <c r="K113" s="2884"/>
      <c r="L113" s="2884"/>
      <c r="M113" s="2884"/>
    </row>
    <row r="114" spans="1:13">
      <c r="A114" s="903"/>
      <c r="B114" s="2885" t="s">
        <v>2973</v>
      </c>
      <c r="C114" s="2885" t="s">
        <v>2974</v>
      </c>
      <c r="D114" s="2885" t="s">
        <v>2975</v>
      </c>
      <c r="E114" s="2886" t="s">
        <v>2976</v>
      </c>
      <c r="F114" s="2886" t="s">
        <v>2977</v>
      </c>
      <c r="G114" s="2886" t="s">
        <v>2978</v>
      </c>
      <c r="H114" s="2887" t="s">
        <v>2979</v>
      </c>
      <c r="I114" s="2887" t="s">
        <v>2980</v>
      </c>
      <c r="J114" s="2888" t="s">
        <v>2981</v>
      </c>
      <c r="K114" s="2888" t="s">
        <v>2982</v>
      </c>
      <c r="L114" s="2888" t="s">
        <v>2983</v>
      </c>
      <c r="M114" s="2889" t="s">
        <v>2984</v>
      </c>
    </row>
    <row r="115" spans="1:13">
      <c r="A115" s="904" t="s">
        <v>2869</v>
      </c>
      <c r="B115" s="905">
        <f>ROUND(0.9335-0.0094*B113,4)</f>
        <v>0.92079999999999995</v>
      </c>
      <c r="C115" s="905">
        <f>B115</f>
        <v>0.92079999999999995</v>
      </c>
      <c r="D115" s="905">
        <f>ROUND(0.8331-0.0109*B113,4)</f>
        <v>0.81840000000000002</v>
      </c>
      <c r="E115" s="905">
        <f>D115</f>
        <v>0.81840000000000002</v>
      </c>
      <c r="F115" s="905">
        <f>E115</f>
        <v>0.81840000000000002</v>
      </c>
      <c r="G115" s="905">
        <f>F115</f>
        <v>0.81840000000000002</v>
      </c>
      <c r="H115" s="905">
        <f>G115</f>
        <v>0.81840000000000002</v>
      </c>
      <c r="I115" s="905">
        <f>ROUND(0.689-0.0155*B113,4)</f>
        <v>0.66810000000000003</v>
      </c>
      <c r="J115" s="905">
        <f t="shared" ref="J115:M118" si="33">I115</f>
        <v>0.66810000000000003</v>
      </c>
      <c r="K115" s="905">
        <f t="shared" si="33"/>
        <v>0.66810000000000003</v>
      </c>
      <c r="L115" s="905">
        <f t="shared" si="33"/>
        <v>0.66810000000000003</v>
      </c>
      <c r="M115" s="906">
        <f t="shared" si="33"/>
        <v>0.66810000000000003</v>
      </c>
    </row>
    <row r="116" spans="1:13">
      <c r="A116" s="904" t="s">
        <v>2870</v>
      </c>
      <c r="B116" s="905">
        <f>ROUND(0.949-0.012*B113,4)</f>
        <v>0.93279999999999996</v>
      </c>
      <c r="C116" s="905">
        <f>B116</f>
        <v>0.93279999999999996</v>
      </c>
      <c r="D116" s="905">
        <f>ROUND(0.8567-0.013*B113,4)</f>
        <v>0.83919999999999995</v>
      </c>
      <c r="E116" s="905">
        <f t="shared" ref="E116:H117" si="34">D116</f>
        <v>0.83919999999999995</v>
      </c>
      <c r="F116" s="905">
        <f t="shared" si="34"/>
        <v>0.83919999999999995</v>
      </c>
      <c r="G116" s="905">
        <f t="shared" si="34"/>
        <v>0.83919999999999995</v>
      </c>
      <c r="H116" s="905">
        <f t="shared" si="34"/>
        <v>0.83919999999999995</v>
      </c>
      <c r="I116" s="905">
        <f>ROUND(0.7694-0.014*B113,4)</f>
        <v>0.75049999999999994</v>
      </c>
      <c r="J116" s="905">
        <f t="shared" si="33"/>
        <v>0.75049999999999994</v>
      </c>
      <c r="K116" s="905">
        <f t="shared" si="33"/>
        <v>0.75049999999999994</v>
      </c>
      <c r="L116" s="905">
        <f t="shared" si="33"/>
        <v>0.75049999999999994</v>
      </c>
      <c r="M116" s="906">
        <f t="shared" si="33"/>
        <v>0.75049999999999994</v>
      </c>
    </row>
    <row r="117" spans="1:13">
      <c r="A117" s="904" t="s">
        <v>2871</v>
      </c>
      <c r="B117" s="905">
        <f>ROUND(0.8808-0.006*B113,4)</f>
        <v>0.87270000000000003</v>
      </c>
      <c r="C117" s="905">
        <f>B117</f>
        <v>0.87270000000000003</v>
      </c>
      <c r="D117" s="905">
        <f>ROUND(0.8748-0.008*B113,4)</f>
        <v>0.86399999999999999</v>
      </c>
      <c r="E117" s="905">
        <f t="shared" si="34"/>
        <v>0.86399999999999999</v>
      </c>
      <c r="F117" s="905">
        <f t="shared" si="34"/>
        <v>0.86399999999999999</v>
      </c>
      <c r="G117" s="905">
        <f t="shared" si="34"/>
        <v>0.86399999999999999</v>
      </c>
      <c r="H117" s="905">
        <f t="shared" si="34"/>
        <v>0.86399999999999999</v>
      </c>
      <c r="I117" s="905">
        <f>ROUND(0.7412-0.0095*B113,4)</f>
        <v>0.72840000000000005</v>
      </c>
      <c r="J117" s="905">
        <f t="shared" si="33"/>
        <v>0.72840000000000005</v>
      </c>
      <c r="K117" s="905">
        <f t="shared" si="33"/>
        <v>0.72840000000000005</v>
      </c>
      <c r="L117" s="905">
        <f t="shared" si="33"/>
        <v>0.72840000000000005</v>
      </c>
      <c r="M117" s="906">
        <f t="shared" si="33"/>
        <v>0.72840000000000005</v>
      </c>
    </row>
    <row r="118" spans="1:13" ht="13.8" thickBot="1">
      <c r="A118" s="714" t="s">
        <v>2872</v>
      </c>
      <c r="B118" s="907">
        <f>ROUND(0.7275-0.01*B113,4)</f>
        <v>0.71399999999999997</v>
      </c>
      <c r="C118" s="907">
        <f>B118</f>
        <v>0.71399999999999997</v>
      </c>
      <c r="D118" s="907">
        <f>ROUND(0.7043-0.012*B113,4)</f>
        <v>0.68810000000000004</v>
      </c>
      <c r="E118" s="907">
        <f>D118</f>
        <v>0.68810000000000004</v>
      </c>
      <c r="F118" s="907">
        <f>E118</f>
        <v>0.68810000000000004</v>
      </c>
      <c r="G118" s="907">
        <f>ROUND(0.6299-0.0122*B113,4)</f>
        <v>0.61339999999999995</v>
      </c>
      <c r="H118" s="907">
        <f>G118</f>
        <v>0.61339999999999995</v>
      </c>
      <c r="I118" s="907">
        <f>ROUND(0.5667-0.0136*B113,4)</f>
        <v>0.54830000000000001</v>
      </c>
      <c r="J118" s="907">
        <f t="shared" si="33"/>
        <v>0.54830000000000001</v>
      </c>
      <c r="K118" s="907">
        <f t="shared" si="33"/>
        <v>0.54830000000000001</v>
      </c>
      <c r="L118" s="907">
        <f t="shared" si="33"/>
        <v>0.54830000000000001</v>
      </c>
      <c r="M118" s="908">
        <f t="shared" si="33"/>
        <v>0.54830000000000001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5" customWidth="1"/>
    <col min="2" max="2" width="37.21875" style="1945" customWidth="1"/>
    <col min="3" max="3" width="11.33203125" style="1945" customWidth="1"/>
    <col min="4" max="4" width="31.77734375" style="1945" customWidth="1"/>
    <col min="5" max="5" width="0.44140625" style="1945" customWidth="1"/>
    <col min="6" max="7" width="13" style="1945" customWidth="1"/>
    <col min="8" max="16384" width="9" style="1945"/>
  </cols>
  <sheetData>
    <row r="1" spans="1:5" ht="17.399999999999999">
      <c r="A1" s="1943" t="s">
        <v>1615</v>
      </c>
      <c r="B1" s="1944"/>
      <c r="C1" s="1944"/>
      <c r="D1" s="1944"/>
      <c r="E1" s="1944"/>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7.399999999999999">
      <c r="A3" s="2993" t="str">
        <f>IF(项目基本情况!B9="房地产市场价值","估价结果一览表（市场价值不需“结果表-1”）","估价结果一览表")</f>
        <v>估价结果一览表</v>
      </c>
      <c r="B3" s="2993"/>
      <c r="C3" s="2993"/>
      <c r="D3" s="2993"/>
      <c r="E3" s="2993"/>
    </row>
    <row r="4" spans="1:5" ht="18" thickBot="1">
      <c r="A4" s="1946"/>
      <c r="B4" s="2991" t="s">
        <v>1624</v>
      </c>
      <c r="C4" s="2991"/>
      <c r="D4" s="2991"/>
      <c r="E4" s="1946"/>
    </row>
    <row r="5" spans="1:5" ht="16.2" thickTop="1">
      <c r="A5" s="1944"/>
      <c r="B5" s="2989" t="s">
        <v>1616</v>
      </c>
      <c r="C5" s="1947" t="s">
        <v>1617</v>
      </c>
      <c r="D5" s="1035">
        <f ca="1">结果表!H101</f>
        <v>60459</v>
      </c>
      <c r="E5" s="1944"/>
    </row>
    <row r="6" spans="1:5" ht="15.6">
      <c r="A6" s="1944"/>
      <c r="B6" s="2989"/>
      <c r="C6" s="1947" t="s">
        <v>1618</v>
      </c>
      <c r="D6" s="1035" t="str">
        <f ca="1">NUMBERSTRING(INT(D5*10000),2)&amp;"元整"</f>
        <v>陆亿零肆佰伍拾玖万元整</v>
      </c>
      <c r="E6" s="1944"/>
    </row>
    <row r="7" spans="1:5" ht="15.6">
      <c r="A7" s="1944"/>
      <c r="B7" s="2994"/>
      <c r="C7" s="1948" t="s">
        <v>1619</v>
      </c>
      <c r="D7" s="1036">
        <f ca="1">结果表!H102</f>
        <v>22491</v>
      </c>
      <c r="E7" s="1944"/>
    </row>
    <row r="8" spans="1:5" ht="15.6">
      <c r="A8" s="1944"/>
      <c r="B8" s="2995" t="str">
        <f>结果表!E103</f>
        <v>2.估价师知悉的法定优先受偿款</v>
      </c>
      <c r="C8" s="1949" t="s">
        <v>1620</v>
      </c>
      <c r="D8" s="1036">
        <f>结果表!H103</f>
        <v>0</v>
      </c>
      <c r="E8" s="1944"/>
    </row>
    <row r="9" spans="1:5" ht="15.6">
      <c r="A9" s="1944"/>
      <c r="B9" s="2997"/>
      <c r="C9" s="1947" t="s">
        <v>1618</v>
      </c>
      <c r="D9" s="1035" t="str">
        <f>NUMBERSTRING(INT(D8*10000),2)&amp;"元整"</f>
        <v>零元整</v>
      </c>
      <c r="E9" s="1944"/>
    </row>
    <row r="10" spans="1:5" ht="15.6">
      <c r="A10" s="1944"/>
      <c r="B10" s="1950" t="s">
        <v>1623</v>
      </c>
      <c r="C10" s="1951" t="s">
        <v>1621</v>
      </c>
      <c r="D10" s="1037">
        <f>结果表!H104</f>
        <v>0</v>
      </c>
      <c r="E10" s="1944"/>
    </row>
    <row r="11" spans="1:5" ht="15.6">
      <c r="A11" s="1944"/>
      <c r="B11" s="1950" t="s">
        <v>1625</v>
      </c>
      <c r="C11" s="1951" t="s">
        <v>1626</v>
      </c>
      <c r="D11" s="1037">
        <f>结果表!H105</f>
        <v>0</v>
      </c>
      <c r="E11" s="1944"/>
    </row>
    <row r="12" spans="1:5" ht="15.6">
      <c r="A12" s="1944"/>
      <c r="B12" s="1950" t="s">
        <v>1627</v>
      </c>
      <c r="C12" s="1951" t="s">
        <v>1626</v>
      </c>
      <c r="D12" s="1037">
        <f>结果表!H106</f>
        <v>0</v>
      </c>
      <c r="E12" s="1944"/>
    </row>
    <row r="13" spans="1:5" ht="15.6">
      <c r="A13" s="1944"/>
      <c r="B13" s="2988" t="str">
        <f>结果表!E107</f>
        <v>3.房地产抵押价值</v>
      </c>
      <c r="C13" s="1952" t="s">
        <v>1617</v>
      </c>
      <c r="D13" s="1038">
        <f ca="1">结果表!H107</f>
        <v>60459</v>
      </c>
      <c r="E13" s="1944"/>
    </row>
    <row r="14" spans="1:5" ht="15.6">
      <c r="A14" s="1944"/>
      <c r="B14" s="2989"/>
      <c r="C14" s="1947" t="s">
        <v>1618</v>
      </c>
      <c r="D14" s="1035" t="str">
        <f ca="1">NUMBERSTRING(INT(D13*10000),2)&amp;"元整"</f>
        <v>陆亿零肆佰伍拾玖万元整</v>
      </c>
      <c r="E14" s="1944"/>
    </row>
    <row r="15" spans="1:5" ht="15.6">
      <c r="A15" s="1944"/>
      <c r="B15" s="2994"/>
      <c r="C15" s="1948" t="s">
        <v>1628</v>
      </c>
      <c r="D15" s="1047">
        <f ca="1">结果表!H108</f>
        <v>22491</v>
      </c>
      <c r="E15" s="1944"/>
    </row>
    <row r="16" spans="1:5" ht="15.6">
      <c r="A16" s="1944"/>
      <c r="B16" s="2995" t="str">
        <f>结果表!E109</f>
        <v>——</v>
      </c>
      <c r="C16" s="1952" t="s">
        <v>1629</v>
      </c>
      <c r="D16" s="1953" t="str">
        <f>结果表!H109</f>
        <v>——</v>
      </c>
      <c r="E16" s="1944"/>
    </row>
    <row r="17" spans="1:5" ht="15.6">
      <c r="A17" s="1944"/>
      <c r="B17" s="2996"/>
      <c r="C17" s="1947" t="s">
        <v>1630</v>
      </c>
      <c r="D17" s="1035" t="e">
        <f>NUMBERSTRING(INT(D16*10000),2)&amp;"元整"</f>
        <v>#VALUE!</v>
      </c>
      <c r="E17" s="1944"/>
    </row>
    <row r="18" spans="1:5" ht="15.6">
      <c r="A18" s="1944"/>
      <c r="B18" s="2997"/>
      <c r="C18" s="1948" t="s">
        <v>1619</v>
      </c>
      <c r="D18" s="1047" t="str">
        <f>结果表!H110</f>
        <v>——</v>
      </c>
      <c r="E18" s="1944"/>
    </row>
    <row r="19" spans="1:5" ht="15.6">
      <c r="A19" s="1944"/>
      <c r="B19" s="2988" t="str">
        <f>结果表!E111</f>
        <v>——</v>
      </c>
      <c r="C19" s="1952" t="s">
        <v>1617</v>
      </c>
      <c r="D19" s="1036" t="str">
        <f>结果表!H111</f>
        <v>——</v>
      </c>
      <c r="E19" s="1944"/>
    </row>
    <row r="20" spans="1:5" ht="15.6">
      <c r="A20" s="1944"/>
      <c r="B20" s="2989"/>
      <c r="C20" s="1947" t="s">
        <v>1630</v>
      </c>
      <c r="D20" s="1035" t="e">
        <f>NUMBERSTRING(INT(D19*10000),2)&amp;"元整"</f>
        <v>#VALUE!</v>
      </c>
      <c r="E20" s="1944"/>
    </row>
    <row r="21" spans="1:5" ht="16.2" thickBot="1">
      <c r="A21" s="1944"/>
      <c r="B21" s="2990"/>
      <c r="C21" s="1954" t="s">
        <v>1628</v>
      </c>
      <c r="D21" s="1048" t="str">
        <f>结果表!H112</f>
        <v>——</v>
      </c>
      <c r="E21" s="1944"/>
    </row>
    <row r="22" spans="1:5" ht="14.4" thickTop="1">
      <c r="A22" s="1944"/>
      <c r="B22" s="1955" t="s">
        <v>1631</v>
      </c>
      <c r="C22" s="1944"/>
      <c r="D22" s="1944"/>
      <c r="E22" s="1944"/>
    </row>
    <row r="23" spans="1:5">
      <c r="A23" s="1944"/>
      <c r="B23" s="1944"/>
      <c r="C23" s="1944"/>
      <c r="D23" s="1944"/>
      <c r="E23" s="1944"/>
    </row>
    <row r="24" spans="1:5" ht="17.399999999999999">
      <c r="A24" s="1956"/>
      <c r="B24" s="1957" t="s">
        <v>1622</v>
      </c>
      <c r="C24" s="1956"/>
      <c r="D24" s="1956"/>
      <c r="E24" s="1956"/>
    </row>
    <row r="25" spans="1:5">
      <c r="A25" s="1956"/>
      <c r="B25" s="1956"/>
      <c r="C25" s="1956"/>
      <c r="D25" s="1956"/>
      <c r="E25" s="1956"/>
    </row>
    <row r="26" spans="1:5">
      <c r="A26" s="1956"/>
      <c r="B26" s="1956"/>
      <c r="C26" s="1956"/>
      <c r="D26" s="1956"/>
      <c r="E26" s="1956"/>
    </row>
    <row r="27" spans="1:5">
      <c r="A27" s="1956"/>
      <c r="B27" s="1956"/>
      <c r="C27" s="1956"/>
      <c r="D27" s="1956"/>
      <c r="E27" s="1956"/>
    </row>
    <row r="28" spans="1:5">
      <c r="A28" s="1956"/>
      <c r="B28" s="1956"/>
      <c r="C28" s="1956"/>
      <c r="D28" s="1956"/>
      <c r="E28" s="1956"/>
    </row>
    <row r="29" spans="1:5">
      <c r="A29" s="1956"/>
      <c r="B29" s="1956"/>
      <c r="C29" s="1956"/>
      <c r="D29" s="1956"/>
      <c r="E29" s="1956"/>
    </row>
    <row r="30" spans="1:5">
      <c r="A30" s="1956"/>
      <c r="B30" s="1956"/>
      <c r="C30" s="1956"/>
      <c r="D30" s="1956"/>
      <c r="E30" s="1956"/>
    </row>
    <row r="31" spans="1:5">
      <c r="A31" s="1956"/>
      <c r="B31" s="1956"/>
      <c r="C31" s="1956"/>
      <c r="D31" s="1956"/>
      <c r="E31" s="1956"/>
    </row>
    <row r="32" spans="1:5">
      <c r="A32" s="1956"/>
      <c r="B32" s="1956"/>
      <c r="C32" s="1956"/>
      <c r="D32" s="1956"/>
      <c r="E32" s="1956"/>
    </row>
    <row r="33" spans="1:5">
      <c r="A33" s="1956"/>
      <c r="B33" s="1956"/>
      <c r="C33" s="1956"/>
      <c r="D33" s="1956"/>
      <c r="E33" s="1956"/>
    </row>
    <row r="34" spans="1:5">
      <c r="A34" s="1956"/>
      <c r="B34" s="1956"/>
      <c r="C34" s="1956"/>
      <c r="D34" s="1956"/>
      <c r="E34" s="1956"/>
    </row>
    <row r="35" spans="1:5">
      <c r="A35" s="1956"/>
      <c r="B35" s="1956"/>
      <c r="C35" s="1956"/>
      <c r="D35" s="1956"/>
      <c r="E35" s="1956"/>
    </row>
    <row r="36" spans="1:5">
      <c r="A36" s="1956"/>
      <c r="B36" s="1956"/>
      <c r="C36" s="1956"/>
      <c r="D36" s="1956"/>
      <c r="E36" s="1956"/>
    </row>
    <row r="37" spans="1:5">
      <c r="A37" s="1956"/>
      <c r="B37" s="1956"/>
      <c r="C37" s="1956"/>
      <c r="D37" s="1956"/>
      <c r="E37" s="1956"/>
    </row>
    <row r="38" spans="1:5">
      <c r="A38" s="1956"/>
      <c r="B38" s="1956"/>
      <c r="C38" s="1956"/>
      <c r="D38" s="1956"/>
      <c r="E38" s="1956"/>
    </row>
    <row r="39" spans="1:5">
      <c r="A39" s="1956"/>
      <c r="B39" s="1956"/>
      <c r="C39" s="1956"/>
      <c r="D39" s="1956"/>
      <c r="E39" s="1956"/>
    </row>
    <row r="40" spans="1:5">
      <c r="A40" s="1956"/>
      <c r="B40" s="1956"/>
      <c r="C40" s="1956"/>
      <c r="D40" s="1956"/>
      <c r="E40" s="1956"/>
    </row>
    <row r="41" spans="1:5">
      <c r="A41" s="1956"/>
      <c r="B41" s="1956"/>
      <c r="C41" s="1956"/>
      <c r="D41" s="1956"/>
      <c r="E41" s="1956"/>
    </row>
    <row r="42" spans="1:5">
      <c r="A42" s="1956"/>
      <c r="B42" s="1956"/>
      <c r="C42" s="1956"/>
      <c r="D42" s="1956"/>
      <c r="E42" s="19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1" customWidth="1"/>
    <col min="2" max="9" width="8.21875" style="873"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3039</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98" t="s">
        <v>183</v>
      </c>
      <c r="B18" s="877" t="s">
        <v>560</v>
      </c>
      <c r="C18" s="878" t="s">
        <v>561</v>
      </c>
      <c r="D18" s="879"/>
      <c r="E18" s="877">
        <v>1</v>
      </c>
      <c r="F18" s="880" t="s">
        <v>562</v>
      </c>
      <c r="G18" s="881"/>
      <c r="H18" s="873"/>
      <c r="I18" s="873"/>
    </row>
    <row r="19" spans="1:9" s="882" customFormat="1" ht="19.5" customHeight="1">
      <c r="A19" s="3298"/>
      <c r="B19" s="3298" t="s">
        <v>563</v>
      </c>
      <c r="C19" s="878" t="s">
        <v>564</v>
      </c>
      <c r="D19" s="879"/>
      <c r="E19" s="877">
        <v>0.9</v>
      </c>
      <c r="F19" s="880" t="s">
        <v>565</v>
      </c>
      <c r="G19" s="881"/>
      <c r="H19" s="873"/>
      <c r="I19" s="873"/>
    </row>
    <row r="20" spans="1:9" s="882" customFormat="1" ht="19.5" customHeight="1">
      <c r="A20" s="3298"/>
      <c r="B20" s="3298"/>
      <c r="C20" s="878" t="s">
        <v>566</v>
      </c>
      <c r="D20" s="879"/>
      <c r="E20" s="877">
        <v>1.1000000000000001</v>
      </c>
      <c r="F20" s="880" t="s">
        <v>567</v>
      </c>
      <c r="G20" s="881"/>
      <c r="H20" s="873"/>
      <c r="I20" s="873"/>
    </row>
    <row r="21" spans="1:9" s="882" customFormat="1" ht="19.5" customHeight="1">
      <c r="A21" s="3298"/>
      <c r="B21" s="3298"/>
      <c r="C21" s="878" t="s">
        <v>568</v>
      </c>
      <c r="D21" s="879"/>
      <c r="E21" s="877">
        <v>0.8</v>
      </c>
      <c r="F21" s="880" t="s">
        <v>569</v>
      </c>
      <c r="G21" s="881"/>
      <c r="H21" s="873"/>
      <c r="I21" s="873"/>
    </row>
    <row r="22" spans="1:9" s="882" customFormat="1" ht="19.5" customHeight="1">
      <c r="A22" s="3298"/>
      <c r="B22" s="3298"/>
      <c r="C22" s="878" t="s">
        <v>570</v>
      </c>
      <c r="D22" s="879"/>
      <c r="E22" s="877">
        <v>0.5</v>
      </c>
      <c r="F22" s="880"/>
      <c r="G22" s="881"/>
      <c r="H22" s="873"/>
      <c r="I22" s="873"/>
    </row>
    <row r="23" spans="1:9" s="882" customFormat="1" ht="19.5" customHeight="1">
      <c r="A23" s="3298" t="s">
        <v>184</v>
      </c>
      <c r="B23" s="877" t="s">
        <v>560</v>
      </c>
      <c r="C23" s="878" t="s">
        <v>571</v>
      </c>
      <c r="D23" s="879"/>
      <c r="E23" s="877">
        <v>1</v>
      </c>
      <c r="F23" s="880" t="s">
        <v>572</v>
      </c>
      <c r="G23" s="881"/>
      <c r="H23" s="873"/>
      <c r="I23" s="873"/>
    </row>
    <row r="24" spans="1:9" s="882" customFormat="1" ht="19.5" customHeight="1">
      <c r="A24" s="3298"/>
      <c r="B24" s="3298" t="s">
        <v>563</v>
      </c>
      <c r="C24" s="878" t="s">
        <v>573</v>
      </c>
      <c r="D24" s="879"/>
      <c r="E24" s="877">
        <v>0.5</v>
      </c>
      <c r="F24" s="880"/>
      <c r="G24" s="881"/>
      <c r="H24" s="873"/>
      <c r="I24" s="873"/>
    </row>
    <row r="25" spans="1:9" s="882" customFormat="1" ht="19.5" customHeight="1">
      <c r="A25" s="3298"/>
      <c r="B25" s="3298"/>
      <c r="C25" s="878" t="s">
        <v>574</v>
      </c>
      <c r="D25" s="879"/>
      <c r="E25" s="877">
        <v>1.1000000000000001</v>
      </c>
      <c r="F25" s="880"/>
      <c r="G25" s="881"/>
      <c r="H25" s="873"/>
      <c r="I25" s="873"/>
    </row>
    <row r="26" spans="1:9" s="882" customFormat="1" ht="19.5" customHeight="1">
      <c r="A26" s="3298"/>
      <c r="B26" s="3298"/>
      <c r="C26" s="878" t="s">
        <v>575</v>
      </c>
      <c r="D26" s="879"/>
      <c r="E26" s="877">
        <v>1.1000000000000001</v>
      </c>
      <c r="F26" s="880"/>
      <c r="G26" s="881"/>
      <c r="H26" s="873"/>
      <c r="I26" s="873"/>
    </row>
    <row r="27" spans="1:9" s="882" customFormat="1" ht="19.5" customHeight="1">
      <c r="A27" s="3298"/>
      <c r="B27" s="3298"/>
      <c r="C27" s="878" t="s">
        <v>576</v>
      </c>
      <c r="D27" s="879"/>
      <c r="E27" s="877">
        <v>0.9</v>
      </c>
      <c r="F27" s="880" t="s">
        <v>577</v>
      </c>
      <c r="G27" s="881"/>
      <c r="H27" s="873"/>
      <c r="I27" s="873"/>
    </row>
    <row r="28" spans="1:9" s="882" customFormat="1" ht="19.5" customHeight="1">
      <c r="A28" s="3298"/>
      <c r="B28" s="3298"/>
      <c r="C28" s="878" t="s">
        <v>578</v>
      </c>
      <c r="D28" s="879"/>
      <c r="E28" s="877">
        <v>0.9</v>
      </c>
      <c r="F28" s="880" t="s">
        <v>579</v>
      </c>
      <c r="G28" s="881"/>
      <c r="H28" s="873"/>
      <c r="I28" s="873"/>
    </row>
    <row r="29" spans="1:9" s="882" customFormat="1" ht="19.5" customHeight="1">
      <c r="A29" s="3298"/>
      <c r="B29" s="3298"/>
      <c r="C29" s="878" t="s">
        <v>580</v>
      </c>
      <c r="D29" s="879"/>
      <c r="E29" s="877">
        <v>0.9</v>
      </c>
      <c r="F29" s="880" t="s">
        <v>581</v>
      </c>
      <c r="G29" s="881"/>
      <c r="H29" s="873"/>
      <c r="I29" s="873"/>
    </row>
    <row r="30" spans="1:9" s="882" customFormat="1" ht="19.5" customHeight="1">
      <c r="A30" s="3298"/>
      <c r="B30" s="3298"/>
      <c r="C30" s="878" t="s">
        <v>582</v>
      </c>
      <c r="D30" s="879"/>
      <c r="E30" s="877">
        <v>0.9</v>
      </c>
      <c r="F30" s="880" t="s">
        <v>583</v>
      </c>
      <c r="G30" s="881"/>
      <c r="H30" s="873"/>
      <c r="I30" s="873"/>
    </row>
    <row r="31" spans="1:9" s="882" customFormat="1" ht="19.5" customHeight="1">
      <c r="A31" s="3298"/>
      <c r="B31" s="3298"/>
      <c r="C31" s="878" t="s">
        <v>584</v>
      </c>
      <c r="D31" s="879"/>
      <c r="E31" s="877">
        <v>0.8</v>
      </c>
      <c r="F31" s="880" t="s">
        <v>585</v>
      </c>
      <c r="G31" s="881"/>
      <c r="H31" s="873"/>
      <c r="I31" s="873"/>
    </row>
    <row r="32" spans="1:9" s="882" customFormat="1" ht="19.5" customHeight="1">
      <c r="A32" s="3298"/>
      <c r="B32" s="3298"/>
      <c r="C32" s="878" t="s">
        <v>586</v>
      </c>
      <c r="D32" s="879"/>
      <c r="E32" s="877">
        <v>0.8</v>
      </c>
      <c r="F32" s="880" t="s">
        <v>587</v>
      </c>
      <c r="G32" s="881"/>
      <c r="H32" s="873"/>
      <c r="I32" s="873"/>
    </row>
    <row r="33" spans="1:9" s="882" customFormat="1" ht="19.5" customHeight="1">
      <c r="A33" s="3298" t="s">
        <v>185</v>
      </c>
      <c r="B33" s="877" t="s">
        <v>560</v>
      </c>
      <c r="C33" s="878" t="s">
        <v>588</v>
      </c>
      <c r="D33" s="879"/>
      <c r="E33" s="877">
        <v>1</v>
      </c>
      <c r="F33" s="880" t="s">
        <v>589</v>
      </c>
      <c r="G33" s="881"/>
      <c r="H33" s="873"/>
      <c r="I33" s="873"/>
    </row>
    <row r="34" spans="1:9" s="882" customFormat="1" ht="19.5" customHeight="1">
      <c r="A34" s="3298"/>
      <c r="B34" s="877" t="s">
        <v>563</v>
      </c>
      <c r="C34" s="878" t="s">
        <v>590</v>
      </c>
      <c r="D34" s="879"/>
      <c r="E34" s="877">
        <v>1.5</v>
      </c>
      <c r="F34" s="880" t="s">
        <v>591</v>
      </c>
      <c r="G34" s="881"/>
      <c r="H34" s="873"/>
      <c r="I34" s="873"/>
    </row>
    <row r="35" spans="1:9" s="882" customFormat="1" ht="19.5" customHeight="1">
      <c r="A35" s="3298" t="s">
        <v>186</v>
      </c>
      <c r="B35" s="877" t="s">
        <v>560</v>
      </c>
      <c r="C35" s="878" t="s">
        <v>592</v>
      </c>
      <c r="D35" s="879"/>
      <c r="E35" s="877">
        <v>1</v>
      </c>
      <c r="F35" s="880" t="s">
        <v>593</v>
      </c>
      <c r="G35" s="881"/>
      <c r="H35" s="873"/>
      <c r="I35" s="873"/>
    </row>
    <row r="36" spans="1:9" s="882" customFormat="1" ht="19.5" customHeight="1">
      <c r="A36" s="3298"/>
      <c r="B36" s="3298" t="s">
        <v>563</v>
      </c>
      <c r="C36" s="878" t="s">
        <v>594</v>
      </c>
      <c r="D36" s="879"/>
      <c r="E36" s="877">
        <v>1</v>
      </c>
      <c r="F36" s="880" t="s">
        <v>595</v>
      </c>
      <c r="G36" s="881"/>
      <c r="H36" s="873"/>
      <c r="I36" s="873"/>
    </row>
    <row r="37" spans="1:9" s="882" customFormat="1" ht="19.5" customHeight="1">
      <c r="A37" s="3298"/>
      <c r="B37" s="3298"/>
      <c r="C37" s="878" t="s">
        <v>596</v>
      </c>
      <c r="D37" s="879"/>
      <c r="E37" s="877">
        <v>1.5</v>
      </c>
      <c r="F37" s="880" t="s">
        <v>597</v>
      </c>
      <c r="G37" s="881"/>
      <c r="H37" s="873"/>
      <c r="I37" s="873"/>
    </row>
    <row r="38" spans="1:9" s="882" customFormat="1" ht="19.5" customHeight="1">
      <c r="A38" s="3298"/>
      <c r="B38" s="3298"/>
      <c r="C38" s="878" t="s">
        <v>598</v>
      </c>
      <c r="D38" s="879"/>
      <c r="E38" s="877">
        <v>1</v>
      </c>
      <c r="F38" s="880" t="s">
        <v>599</v>
      </c>
      <c r="G38" s="881"/>
      <c r="H38" s="873"/>
      <c r="I38" s="873"/>
    </row>
    <row r="39" spans="1:9" s="882" customFormat="1" ht="19.5" customHeight="1">
      <c r="A39" s="3298"/>
      <c r="B39" s="329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4.4">
      <c r="A60" s="935"/>
      <c r="B60" s="935"/>
      <c r="C60" s="935" t="s">
        <v>745</v>
      </c>
      <c r="D60" s="935"/>
      <c r="E60" s="890" t="s">
        <v>1</v>
      </c>
      <c r="F60" s="935" t="s">
        <v>1</v>
      </c>
    </row>
    <row r="61" spans="1:8" s="873" customFormat="1" ht="36">
      <c r="A61" s="877">
        <v>1</v>
      </c>
      <c r="B61" s="3298" t="s">
        <v>614</v>
      </c>
      <c r="C61" s="813" t="s">
        <v>615</v>
      </c>
      <c r="D61" s="813" t="s">
        <v>616</v>
      </c>
      <c r="E61" s="890">
        <v>0.5</v>
      </c>
      <c r="F61" s="877">
        <v>80</v>
      </c>
    </row>
    <row r="62" spans="1:8" s="873" customFormat="1" ht="36">
      <c r="A62" s="877">
        <v>2</v>
      </c>
      <c r="B62" s="3298"/>
      <c r="C62" s="813" t="s">
        <v>617</v>
      </c>
      <c r="D62" s="813" t="s">
        <v>618</v>
      </c>
      <c r="E62" s="890">
        <v>0.5</v>
      </c>
      <c r="F62" s="877">
        <v>80</v>
      </c>
    </row>
    <row r="63" spans="1:8" s="873" customFormat="1" ht="48">
      <c r="A63" s="877">
        <v>3</v>
      </c>
      <c r="B63" s="3298"/>
      <c r="C63" s="813" t="s">
        <v>619</v>
      </c>
      <c r="D63" s="813" t="s">
        <v>620</v>
      </c>
      <c r="E63" s="890">
        <v>0.5</v>
      </c>
      <c r="F63" s="877">
        <v>80</v>
      </c>
    </row>
    <row r="64" spans="1:8" s="873" customFormat="1" ht="48">
      <c r="A64" s="877">
        <v>4</v>
      </c>
      <c r="B64" s="3298"/>
      <c r="C64" s="813" t="s">
        <v>621</v>
      </c>
      <c r="D64" s="813" t="s">
        <v>622</v>
      </c>
      <c r="E64" s="890">
        <v>0.4</v>
      </c>
      <c r="F64" s="877">
        <v>60</v>
      </c>
    </row>
    <row r="65" spans="1:6" s="873" customFormat="1" ht="48">
      <c r="A65" s="877">
        <v>5</v>
      </c>
      <c r="B65" s="3298"/>
      <c r="C65" s="813" t="s">
        <v>623</v>
      </c>
      <c r="D65" s="813" t="s">
        <v>624</v>
      </c>
      <c r="E65" s="890">
        <v>0.2</v>
      </c>
      <c r="F65" s="877">
        <v>30</v>
      </c>
    </row>
    <row r="66" spans="1:6" s="873" customFormat="1" ht="48">
      <c r="A66" s="877">
        <v>6</v>
      </c>
      <c r="B66" s="3298"/>
      <c r="C66" s="813" t="s">
        <v>625</v>
      </c>
      <c r="D66" s="813" t="s">
        <v>626</v>
      </c>
      <c r="E66" s="890">
        <v>0.3</v>
      </c>
      <c r="F66" s="877">
        <v>50</v>
      </c>
    </row>
    <row r="67" spans="1:6" s="873" customFormat="1" ht="48">
      <c r="A67" s="877">
        <v>7</v>
      </c>
      <c r="B67" s="3298"/>
      <c r="C67" s="813" t="s">
        <v>627</v>
      </c>
      <c r="D67" s="813" t="s">
        <v>628</v>
      </c>
      <c r="E67" s="890">
        <v>0.2</v>
      </c>
      <c r="F67" s="877">
        <v>30</v>
      </c>
    </row>
    <row r="68" spans="1:6" s="873" customFormat="1" ht="48">
      <c r="A68" s="877">
        <v>8</v>
      </c>
      <c r="B68" s="3298"/>
      <c r="C68" s="813" t="s">
        <v>629</v>
      </c>
      <c r="D68" s="813" t="s">
        <v>630</v>
      </c>
      <c r="E68" s="890">
        <v>0.2</v>
      </c>
      <c r="F68" s="877">
        <v>30</v>
      </c>
    </row>
    <row r="69" spans="1:6" s="873" customFormat="1" ht="48">
      <c r="A69" s="877">
        <v>9</v>
      </c>
      <c r="B69" s="3298"/>
      <c r="C69" s="813" t="s">
        <v>631</v>
      </c>
      <c r="D69" s="813" t="s">
        <v>632</v>
      </c>
      <c r="E69" s="890">
        <v>0.2</v>
      </c>
      <c r="F69" s="877">
        <v>30</v>
      </c>
    </row>
    <row r="70" spans="1:6" s="873" customFormat="1" ht="60">
      <c r="A70" s="877">
        <v>10</v>
      </c>
      <c r="B70" s="3298"/>
      <c r="C70" s="813" t="s">
        <v>633</v>
      </c>
      <c r="D70" s="813" t="s">
        <v>634</v>
      </c>
      <c r="E70" s="890">
        <v>0.2</v>
      </c>
      <c r="F70" s="877">
        <v>30</v>
      </c>
    </row>
    <row r="71" spans="1:6" s="873" customFormat="1" ht="60">
      <c r="A71" s="877">
        <v>11</v>
      </c>
      <c r="B71" s="3298"/>
      <c r="C71" s="813" t="s">
        <v>635</v>
      </c>
      <c r="D71" s="813" t="s">
        <v>636</v>
      </c>
      <c r="E71" s="890">
        <v>0.2</v>
      </c>
      <c r="F71" s="877">
        <v>30</v>
      </c>
    </row>
    <row r="72" spans="1:6" s="873" customFormat="1" ht="36">
      <c r="A72" s="877">
        <v>12</v>
      </c>
      <c r="B72" s="3298"/>
      <c r="C72" s="813" t="s">
        <v>637</v>
      </c>
      <c r="D72" s="813" t="s">
        <v>638</v>
      </c>
      <c r="E72" s="890">
        <v>0.5</v>
      </c>
      <c r="F72" s="877">
        <v>80</v>
      </c>
    </row>
    <row r="73" spans="1:6" s="873" customFormat="1" ht="36">
      <c r="A73" s="877">
        <v>13</v>
      </c>
      <c r="B73" s="3298"/>
      <c r="C73" s="813" t="s">
        <v>639</v>
      </c>
      <c r="D73" s="813" t="s">
        <v>640</v>
      </c>
      <c r="E73" s="890">
        <v>0.4</v>
      </c>
      <c r="F73" s="877">
        <v>60</v>
      </c>
    </row>
    <row r="74" spans="1:6" s="873" customFormat="1" ht="36">
      <c r="A74" s="877">
        <v>14</v>
      </c>
      <c r="B74" s="3298"/>
      <c r="C74" s="813" t="s">
        <v>641</v>
      </c>
      <c r="D74" s="813" t="s">
        <v>642</v>
      </c>
      <c r="E74" s="890">
        <v>0.2</v>
      </c>
      <c r="F74" s="877">
        <v>30</v>
      </c>
    </row>
    <row r="75" spans="1:6" s="873" customFormat="1" ht="36">
      <c r="A75" s="877">
        <v>15</v>
      </c>
      <c r="B75" s="3298"/>
      <c r="C75" s="813" t="s">
        <v>643</v>
      </c>
      <c r="D75" s="813" t="s">
        <v>644</v>
      </c>
      <c r="E75" s="890">
        <v>0.2</v>
      </c>
      <c r="F75" s="877">
        <v>30</v>
      </c>
    </row>
    <row r="76" spans="1:6" s="873" customFormat="1" ht="36">
      <c r="A76" s="877">
        <v>16</v>
      </c>
      <c r="B76" s="3298" t="s">
        <v>645</v>
      </c>
      <c r="C76" s="813" t="s">
        <v>646</v>
      </c>
      <c r="D76" s="813" t="s">
        <v>647</v>
      </c>
      <c r="E76" s="890">
        <v>0.5</v>
      </c>
      <c r="F76" s="877">
        <v>80</v>
      </c>
    </row>
    <row r="77" spans="1:6" s="873" customFormat="1" ht="36">
      <c r="A77" s="877">
        <v>17</v>
      </c>
      <c r="B77" s="3298"/>
      <c r="C77" s="813" t="s">
        <v>648</v>
      </c>
      <c r="D77" s="813" t="s">
        <v>649</v>
      </c>
      <c r="E77" s="890">
        <v>0.5</v>
      </c>
      <c r="F77" s="877">
        <v>80</v>
      </c>
    </row>
    <row r="78" spans="1:6" s="873" customFormat="1" ht="36">
      <c r="A78" s="877">
        <v>18</v>
      </c>
      <c r="B78" s="3298"/>
      <c r="C78" s="813" t="s">
        <v>650</v>
      </c>
      <c r="D78" s="813" t="s">
        <v>651</v>
      </c>
      <c r="E78" s="890">
        <v>0.2</v>
      </c>
      <c r="F78" s="877">
        <v>30</v>
      </c>
    </row>
    <row r="79" spans="1:6" s="873" customFormat="1" ht="36">
      <c r="A79" s="877">
        <v>19</v>
      </c>
      <c r="B79" s="3298"/>
      <c r="C79" s="813" t="s">
        <v>652</v>
      </c>
      <c r="D79" s="813" t="s">
        <v>653</v>
      </c>
      <c r="E79" s="890">
        <v>0.5</v>
      </c>
      <c r="F79" s="877">
        <v>80</v>
      </c>
    </row>
    <row r="80" spans="1:6" s="873" customFormat="1" ht="36">
      <c r="A80" s="877">
        <v>20</v>
      </c>
      <c r="B80" s="3298"/>
      <c r="C80" s="813" t="s">
        <v>654</v>
      </c>
      <c r="D80" s="813" t="s">
        <v>655</v>
      </c>
      <c r="E80" s="890">
        <v>0.2</v>
      </c>
      <c r="F80" s="877">
        <v>30</v>
      </c>
    </row>
    <row r="81" spans="1:6" s="873" customFormat="1" ht="36">
      <c r="A81" s="877">
        <v>21</v>
      </c>
      <c r="B81" s="3298"/>
      <c r="C81" s="813" t="s">
        <v>656</v>
      </c>
      <c r="D81" s="813" t="s">
        <v>657</v>
      </c>
      <c r="E81" s="890">
        <v>0.2</v>
      </c>
      <c r="F81" s="877">
        <v>30</v>
      </c>
    </row>
    <row r="82" spans="1:6" s="873" customFormat="1" ht="60">
      <c r="A82" s="877">
        <v>22</v>
      </c>
      <c r="B82" s="3298"/>
      <c r="C82" s="813" t="s">
        <v>658</v>
      </c>
      <c r="D82" s="813" t="s">
        <v>659</v>
      </c>
      <c r="E82" s="890">
        <v>0.2</v>
      </c>
      <c r="F82" s="877">
        <v>30</v>
      </c>
    </row>
    <row r="83" spans="1:6" s="873" customFormat="1" ht="60">
      <c r="A83" s="877">
        <v>23</v>
      </c>
      <c r="B83" s="3298"/>
      <c r="C83" s="813" t="s">
        <v>660</v>
      </c>
      <c r="D83" s="813" t="s">
        <v>661</v>
      </c>
      <c r="E83" s="890">
        <v>0.2</v>
      </c>
      <c r="F83" s="877">
        <v>30</v>
      </c>
    </row>
    <row r="84" spans="1:6" s="873" customFormat="1" ht="48">
      <c r="A84" s="877">
        <v>24</v>
      </c>
      <c r="B84" s="3298"/>
      <c r="C84" s="813" t="s">
        <v>662</v>
      </c>
      <c r="D84" s="813" t="s">
        <v>663</v>
      </c>
      <c r="E84" s="890">
        <v>0.2</v>
      </c>
      <c r="F84" s="877">
        <v>30</v>
      </c>
    </row>
    <row r="85" spans="1:6" s="873" customFormat="1" ht="36">
      <c r="A85" s="877">
        <v>25</v>
      </c>
      <c r="B85" s="3298"/>
      <c r="C85" s="813" t="s">
        <v>664</v>
      </c>
      <c r="D85" s="813" t="s">
        <v>665</v>
      </c>
      <c r="E85" s="890">
        <v>0.5</v>
      </c>
      <c r="F85" s="877">
        <v>80</v>
      </c>
    </row>
    <row r="86" spans="1:6" s="873" customFormat="1" ht="36">
      <c r="A86" s="877">
        <v>26</v>
      </c>
      <c r="B86" s="3298"/>
      <c r="C86" s="813" t="s">
        <v>666</v>
      </c>
      <c r="D86" s="813" t="s">
        <v>667</v>
      </c>
      <c r="E86" s="890">
        <v>0.2</v>
      </c>
      <c r="F86" s="877">
        <v>30</v>
      </c>
    </row>
    <row r="87" spans="1:6" s="873" customFormat="1" ht="36">
      <c r="A87" s="877">
        <v>27</v>
      </c>
      <c r="B87" s="3298"/>
      <c r="C87" s="813" t="s">
        <v>668</v>
      </c>
      <c r="D87" s="813" t="s">
        <v>669</v>
      </c>
      <c r="E87" s="890">
        <v>0.2</v>
      </c>
      <c r="F87" s="877">
        <v>30</v>
      </c>
    </row>
    <row r="88" spans="1:6" s="873" customFormat="1" ht="36">
      <c r="A88" s="877">
        <v>28</v>
      </c>
      <c r="B88" s="3298"/>
      <c r="C88" s="813" t="s">
        <v>670</v>
      </c>
      <c r="D88" s="813" t="s">
        <v>671</v>
      </c>
      <c r="E88" s="890">
        <v>0.2</v>
      </c>
      <c r="F88" s="877">
        <v>30</v>
      </c>
    </row>
    <row r="89" spans="1:6" s="873" customFormat="1" ht="36">
      <c r="A89" s="877">
        <v>29</v>
      </c>
      <c r="B89" s="3298"/>
      <c r="C89" s="813" t="s">
        <v>672</v>
      </c>
      <c r="D89" s="813" t="s">
        <v>673</v>
      </c>
      <c r="E89" s="890">
        <v>0.2</v>
      </c>
      <c r="F89" s="877">
        <v>30</v>
      </c>
    </row>
    <row r="90" spans="1:6" s="873" customFormat="1" ht="36">
      <c r="A90" s="877">
        <v>30</v>
      </c>
      <c r="B90" s="3298"/>
      <c r="C90" s="813" t="s">
        <v>674</v>
      </c>
      <c r="D90" s="813" t="s">
        <v>675</v>
      </c>
      <c r="E90" s="890">
        <v>0.2</v>
      </c>
      <c r="F90" s="877">
        <v>30</v>
      </c>
    </row>
    <row r="91" spans="1:6" s="873" customFormat="1" ht="48">
      <c r="A91" s="877">
        <v>31</v>
      </c>
      <c r="B91" s="3298"/>
      <c r="C91" s="813" t="s">
        <v>676</v>
      </c>
      <c r="D91" s="813" t="s">
        <v>677</v>
      </c>
      <c r="E91" s="890">
        <v>0.2</v>
      </c>
      <c r="F91" s="877">
        <v>30</v>
      </c>
    </row>
    <row r="92" spans="1:6" s="873" customFormat="1" ht="36">
      <c r="A92" s="877">
        <v>32</v>
      </c>
      <c r="B92" s="3298" t="s">
        <v>678</v>
      </c>
      <c r="C92" s="877" t="s">
        <v>679</v>
      </c>
      <c r="D92" s="813" t="s">
        <v>680</v>
      </c>
      <c r="E92" s="890">
        <v>0.2</v>
      </c>
      <c r="F92" s="877">
        <v>30</v>
      </c>
    </row>
    <row r="93" spans="1:6" s="873" customFormat="1" ht="36">
      <c r="A93" s="877">
        <v>33</v>
      </c>
      <c r="B93" s="3298"/>
      <c r="C93" s="877" t="s">
        <v>681</v>
      </c>
      <c r="D93" s="813" t="s">
        <v>682</v>
      </c>
      <c r="E93" s="890">
        <v>0.2</v>
      </c>
      <c r="F93" s="877">
        <v>30</v>
      </c>
    </row>
    <row r="94" spans="1:6" s="873" customFormat="1" ht="60">
      <c r="A94" s="877">
        <v>34</v>
      </c>
      <c r="B94" s="3298"/>
      <c r="C94" s="877" t="s">
        <v>683</v>
      </c>
      <c r="D94" s="813" t="s">
        <v>684</v>
      </c>
      <c r="E94" s="890">
        <v>0.2</v>
      </c>
      <c r="F94" s="877">
        <v>30</v>
      </c>
    </row>
    <row r="95" spans="1:6" s="873" customFormat="1" ht="48">
      <c r="A95" s="877">
        <v>35</v>
      </c>
      <c r="B95" s="3298"/>
      <c r="C95" s="877" t="s">
        <v>685</v>
      </c>
      <c r="D95" s="813" t="s">
        <v>686</v>
      </c>
      <c r="E95" s="890">
        <v>0.2</v>
      </c>
      <c r="F95" s="877">
        <v>30</v>
      </c>
    </row>
    <row r="96" spans="1:6" s="873" customFormat="1" ht="72">
      <c r="A96" s="877">
        <v>36</v>
      </c>
      <c r="B96" s="3298"/>
      <c r="C96" s="813" t="s">
        <v>687</v>
      </c>
      <c r="D96" s="813" t="s">
        <v>688</v>
      </c>
      <c r="E96" s="890">
        <v>0.2</v>
      </c>
      <c r="F96" s="877">
        <v>30</v>
      </c>
    </row>
    <row r="97" spans="1:6" s="873" customFormat="1" ht="36">
      <c r="A97" s="877">
        <v>37</v>
      </c>
      <c r="B97" s="3298"/>
      <c r="C97" s="877" t="s">
        <v>689</v>
      </c>
      <c r="D97" s="813" t="s">
        <v>690</v>
      </c>
      <c r="E97" s="890">
        <v>0.2</v>
      </c>
      <c r="F97" s="877">
        <v>30</v>
      </c>
    </row>
    <row r="98" spans="1:6" s="873" customFormat="1" ht="36">
      <c r="A98" s="877">
        <v>38</v>
      </c>
      <c r="B98" s="3298"/>
      <c r="C98" s="877" t="s">
        <v>691</v>
      </c>
      <c r="D98" s="813" t="s">
        <v>692</v>
      </c>
      <c r="E98" s="890">
        <v>0.2</v>
      </c>
      <c r="F98" s="877">
        <v>30</v>
      </c>
    </row>
    <row r="99" spans="1:6" s="873" customFormat="1" ht="36">
      <c r="A99" s="877">
        <v>39</v>
      </c>
      <c r="B99" s="3298" t="s">
        <v>693</v>
      </c>
      <c r="C99" s="877" t="s">
        <v>694</v>
      </c>
      <c r="D99" s="813" t="s">
        <v>695</v>
      </c>
      <c r="E99" s="890">
        <v>0.3</v>
      </c>
      <c r="F99" s="877">
        <v>50</v>
      </c>
    </row>
    <row r="100" spans="1:6" s="873" customFormat="1" ht="36">
      <c r="A100" s="877">
        <v>40</v>
      </c>
      <c r="B100" s="3298"/>
      <c r="C100" s="877" t="s">
        <v>696</v>
      </c>
      <c r="D100" s="813" t="s">
        <v>697</v>
      </c>
      <c r="E100" s="890">
        <v>0.2</v>
      </c>
      <c r="F100" s="877">
        <v>30</v>
      </c>
    </row>
    <row r="101" spans="1:6" s="873" customFormat="1" ht="36">
      <c r="A101" s="877">
        <v>41</v>
      </c>
      <c r="B101" s="3298"/>
      <c r="C101" s="877" t="s">
        <v>698</v>
      </c>
      <c r="D101" s="813" t="s">
        <v>695</v>
      </c>
      <c r="E101" s="890">
        <v>0.2</v>
      </c>
      <c r="F101" s="877">
        <v>30</v>
      </c>
    </row>
    <row r="102" spans="1:6" s="873" customFormat="1" ht="72">
      <c r="A102" s="877">
        <v>42</v>
      </c>
      <c r="B102" s="877" t="s">
        <v>699</v>
      </c>
      <c r="C102" s="813" t="s">
        <v>700</v>
      </c>
      <c r="D102" s="813" t="s">
        <v>701</v>
      </c>
      <c r="E102" s="890">
        <v>0.2</v>
      </c>
      <c r="F102" s="877">
        <v>30</v>
      </c>
    </row>
    <row r="103" spans="1:6" s="873" customFormat="1" ht="36">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48">
      <c r="A105" s="877">
        <v>45</v>
      </c>
      <c r="B105" s="3298" t="s">
        <v>708</v>
      </c>
      <c r="C105" s="877" t="s">
        <v>709</v>
      </c>
      <c r="D105" s="813" t="s">
        <v>710</v>
      </c>
      <c r="E105" s="890">
        <v>0.2</v>
      </c>
      <c r="F105" s="877">
        <v>30</v>
      </c>
    </row>
    <row r="106" spans="1:6" s="873" customFormat="1" ht="48">
      <c r="A106" s="877">
        <v>46</v>
      </c>
      <c r="B106" s="3298"/>
      <c r="C106" s="877" t="s">
        <v>711</v>
      </c>
      <c r="D106" s="813" t="s">
        <v>712</v>
      </c>
      <c r="E106" s="890">
        <v>0.2</v>
      </c>
      <c r="F106" s="877">
        <v>30</v>
      </c>
    </row>
    <row r="107" spans="1:6" s="873" customFormat="1" ht="36">
      <c r="A107" s="877">
        <v>47</v>
      </c>
      <c r="B107" s="3298" t="s">
        <v>713</v>
      </c>
      <c r="C107" s="877" t="s">
        <v>714</v>
      </c>
      <c r="D107" s="813" t="s">
        <v>715</v>
      </c>
      <c r="E107" s="890">
        <v>0.3</v>
      </c>
      <c r="F107" s="877">
        <v>50</v>
      </c>
    </row>
    <row r="108" spans="1:6" s="873" customFormat="1" ht="48">
      <c r="A108" s="877">
        <v>48</v>
      </c>
      <c r="B108" s="329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48">
      <c r="A110" s="877">
        <v>50</v>
      </c>
      <c r="B110" s="877" t="s">
        <v>721</v>
      </c>
      <c r="C110" s="877" t="s">
        <v>722</v>
      </c>
      <c r="D110" s="813" t="s">
        <v>723</v>
      </c>
      <c r="E110" s="890">
        <v>0.2</v>
      </c>
      <c r="F110" s="877">
        <v>30</v>
      </c>
    </row>
    <row r="111" spans="1:6" s="873" customFormat="1" ht="48">
      <c r="A111" s="877">
        <v>51</v>
      </c>
      <c r="B111" s="3298" t="s">
        <v>724</v>
      </c>
      <c r="C111" s="877" t="s">
        <v>725</v>
      </c>
      <c r="D111" s="813" t="s">
        <v>726</v>
      </c>
      <c r="E111" s="890">
        <v>0.2</v>
      </c>
      <c r="F111" s="877">
        <v>30</v>
      </c>
    </row>
    <row r="112" spans="1:6" s="873" customFormat="1" ht="36">
      <c r="A112" s="877">
        <v>52</v>
      </c>
      <c r="B112" s="3298"/>
      <c r="C112" s="877" t="s">
        <v>727</v>
      </c>
      <c r="D112" s="813" t="s">
        <v>728</v>
      </c>
      <c r="E112" s="890">
        <v>0.2</v>
      </c>
      <c r="F112" s="877">
        <v>30</v>
      </c>
    </row>
    <row r="113" spans="1:6" s="873" customFormat="1" ht="36">
      <c r="A113" s="877">
        <v>53</v>
      </c>
      <c r="B113" s="3298"/>
      <c r="C113" s="877" t="s">
        <v>729</v>
      </c>
      <c r="D113" s="813" t="s">
        <v>730</v>
      </c>
      <c r="E113" s="890">
        <v>0.2</v>
      </c>
      <c r="F113" s="877">
        <v>30</v>
      </c>
    </row>
    <row r="114" spans="1:6" ht="48">
      <c r="A114" s="877">
        <v>54</v>
      </c>
      <c r="B114" s="877" t="s">
        <v>731</v>
      </c>
      <c r="C114" s="877" t="s">
        <v>732</v>
      </c>
      <c r="D114" s="813" t="s">
        <v>733</v>
      </c>
      <c r="E114" s="890">
        <v>0.2</v>
      </c>
      <c r="F114" s="877">
        <v>30</v>
      </c>
    </row>
    <row r="115" spans="1:6" ht="36">
      <c r="A115" s="877">
        <v>55</v>
      </c>
      <c r="B115" s="877" t="s">
        <v>734</v>
      </c>
      <c r="C115" s="877" t="s">
        <v>735</v>
      </c>
      <c r="D115" s="813" t="s">
        <v>736</v>
      </c>
      <c r="E115" s="890">
        <v>0.2</v>
      </c>
      <c r="F115" s="877">
        <v>30</v>
      </c>
    </row>
    <row r="116" spans="1:6" ht="36">
      <c r="A116" s="877">
        <v>56</v>
      </c>
      <c r="B116" s="3298" t="s">
        <v>737</v>
      </c>
      <c r="C116" s="877" t="s">
        <v>738</v>
      </c>
      <c r="D116" s="813" t="s">
        <v>739</v>
      </c>
      <c r="E116" s="890">
        <v>0.2</v>
      </c>
      <c r="F116" s="877">
        <v>30</v>
      </c>
    </row>
    <row r="117" spans="1:6" ht="36">
      <c r="A117" s="877">
        <v>57</v>
      </c>
      <c r="B117" s="3298"/>
      <c r="C117" s="877" t="s">
        <v>740</v>
      </c>
      <c r="D117" s="813" t="s">
        <v>741</v>
      </c>
      <c r="E117" s="890">
        <v>0.2</v>
      </c>
      <c r="F117" s="877">
        <v>30</v>
      </c>
    </row>
    <row r="118" spans="1:6" ht="36">
      <c r="A118" s="877">
        <v>58</v>
      </c>
      <c r="B118" s="877" t="s">
        <v>742</v>
      </c>
      <c r="C118" s="877" t="s">
        <v>743</v>
      </c>
      <c r="D118" s="813" t="s">
        <v>744</v>
      </c>
      <c r="E118" s="890">
        <v>0.2</v>
      </c>
      <c r="F118" s="877">
        <v>30</v>
      </c>
    </row>
    <row r="119" spans="1:6" ht="14.4">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0"/>
    <col min="2" max="16384" width="9" style="893"/>
  </cols>
  <sheetData>
    <row r="1" spans="1:14" ht="15.6">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5.6">
      <c r="A103" s="891" t="s">
        <v>748</v>
      </c>
      <c r="B103" s="892"/>
      <c r="C103" s="892"/>
      <c r="D103" s="892"/>
      <c r="E103" s="892"/>
      <c r="F103" s="892"/>
      <c r="G103" s="892"/>
      <c r="H103" s="892"/>
      <c r="I103" s="892"/>
      <c r="J103" s="892"/>
      <c r="K103" s="892"/>
      <c r="L103" s="892"/>
      <c r="M103" s="892"/>
      <c r="N103" s="892"/>
    </row>
    <row r="104" spans="1:14" ht="15.6">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1.2079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5.6">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5.6">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0" customWidth="1"/>
    <col min="2" max="2" width="12.44140625" style="1930" customWidth="1"/>
    <col min="3" max="3" width="12.109375" style="1930" customWidth="1"/>
    <col min="4" max="4" width="14.109375" style="1930" customWidth="1"/>
    <col min="5" max="5" width="12.44140625" style="1930" customWidth="1"/>
    <col min="6" max="16384" width="9" style="1930"/>
  </cols>
  <sheetData>
    <row r="1" spans="1:5" ht="21.6">
      <c r="A1" s="2549" t="s">
        <v>2993</v>
      </c>
    </row>
    <row r="2" spans="1:5" ht="15.6">
      <c r="A2" s="2890" t="s">
        <v>2985</v>
      </c>
      <c r="B2" s="2891">
        <f ca="1">SUMIF(B6:B13,"&lt;&gt;#ref!",B6:B13)</f>
        <v>27959</v>
      </c>
      <c r="C2" s="2890" t="s">
        <v>2986</v>
      </c>
      <c r="D2" s="2890" t="s">
        <v>2987</v>
      </c>
      <c r="E2" s="2891">
        <f ca="1">SUMIF(E6:E13,"&lt;&gt;#ref!",E6:E13)</f>
        <v>26881.280000000002</v>
      </c>
    </row>
    <row r="3" spans="1:5" ht="15.6">
      <c r="A3" s="2890" t="s">
        <v>2988</v>
      </c>
      <c r="B3" s="2891">
        <f ca="1">ROUND(B2*10000/E2,0)</f>
        <v>10401</v>
      </c>
      <c r="C3" s="2890" t="s">
        <v>2994</v>
      </c>
      <c r="D3" s="2892"/>
      <c r="E3" s="2892"/>
    </row>
    <row r="4" spans="1:5" ht="15.6">
      <c r="A4" s="2893"/>
      <c r="B4" s="2892"/>
      <c r="C4" s="2892"/>
      <c r="D4" s="2892"/>
      <c r="E4" s="2892"/>
    </row>
    <row r="5" spans="1:5" ht="31.2">
      <c r="A5" s="2894" t="s">
        <v>2989</v>
      </c>
      <c r="B5" s="2890" t="s">
        <v>2990</v>
      </c>
      <c r="C5" s="2891"/>
      <c r="D5" s="2892"/>
      <c r="E5" s="2890" t="s">
        <v>2991</v>
      </c>
    </row>
    <row r="6" spans="1:5" ht="15.6">
      <c r="A6" s="2895" t="s">
        <v>2992</v>
      </c>
      <c r="B6" s="2891">
        <f ca="1">SUMIF(INDIRECT("'"&amp;A6&amp;"'"&amp;"!A:A"),"总价",INDIRECT("'"&amp;A6&amp;"'"&amp;"!B:B"))</f>
        <v>27959</v>
      </c>
      <c r="C6" s="2890" t="s">
        <v>2986</v>
      </c>
      <c r="D6" s="2892"/>
      <c r="E6" s="2563">
        <f ca="1">SUMIF(INDIRECT("'"&amp;A6&amp;"'"&amp;"!C:C"),"建筑面积",INDIRECT("'"&amp;A6&amp;"'"&amp;"!D:D"))</f>
        <v>26881.280000000002</v>
      </c>
    </row>
    <row r="7" spans="1:5" ht="15.6">
      <c r="A7" s="2895"/>
      <c r="B7" s="2891" t="e">
        <f ca="1">SUMIF(INDIRECT("'"&amp;A7&amp;"'"&amp;"!A:A"),"总价",INDIRECT("'"&amp;A7&amp;"'"&amp;"!B:B"))</f>
        <v>#REF!</v>
      </c>
      <c r="C7" s="2890" t="s">
        <v>2986</v>
      </c>
      <c r="D7" s="2892"/>
      <c r="E7" s="2563" t="e">
        <f t="shared" ref="E7:E13" ca="1" si="0">SUMIF(INDIRECT("'"&amp;A7&amp;"'"&amp;"!C:C"),"建筑面积",INDIRECT("'"&amp;A7&amp;"'"&amp;"!D:D"))</f>
        <v>#REF!</v>
      </c>
    </row>
    <row r="8" spans="1:5" ht="15.6">
      <c r="A8" s="2895"/>
      <c r="B8" s="2891" t="e">
        <f t="shared" ref="B8:B13" ca="1" si="1">SUMIF(INDIRECT("'"&amp;A8&amp;"'"&amp;"!A:A"),"总价",INDIRECT("'"&amp;A8&amp;"'"&amp;"!B:B"))</f>
        <v>#REF!</v>
      </c>
      <c r="C8" s="2890" t="s">
        <v>2986</v>
      </c>
      <c r="D8" s="2892"/>
      <c r="E8" s="2563" t="e">
        <f t="shared" ca="1" si="0"/>
        <v>#REF!</v>
      </c>
    </row>
    <row r="9" spans="1:5" ht="15.6">
      <c r="A9" s="2895"/>
      <c r="B9" s="2891" t="e">
        <f t="shared" ca="1" si="1"/>
        <v>#REF!</v>
      </c>
      <c r="C9" s="2890" t="s">
        <v>2986</v>
      </c>
      <c r="D9" s="2892"/>
      <c r="E9" s="2563" t="e">
        <f t="shared" ca="1" si="0"/>
        <v>#REF!</v>
      </c>
    </row>
    <row r="10" spans="1:5" ht="15.6">
      <c r="A10" s="2895"/>
      <c r="B10" s="2891" t="e">
        <f t="shared" ca="1" si="1"/>
        <v>#REF!</v>
      </c>
      <c r="C10" s="2890" t="s">
        <v>2986</v>
      </c>
      <c r="D10" s="2892"/>
      <c r="E10" s="2563" t="e">
        <f t="shared" ca="1" si="0"/>
        <v>#REF!</v>
      </c>
    </row>
    <row r="11" spans="1:5" ht="15.6">
      <c r="A11" s="2895"/>
      <c r="B11" s="2891" t="e">
        <f t="shared" ca="1" si="1"/>
        <v>#REF!</v>
      </c>
      <c r="C11" s="2890" t="s">
        <v>2986</v>
      </c>
      <c r="D11" s="2892"/>
      <c r="E11" s="2563" t="e">
        <f t="shared" ca="1" si="0"/>
        <v>#REF!</v>
      </c>
    </row>
    <row r="12" spans="1:5" ht="15.6">
      <c r="A12" s="2895"/>
      <c r="B12" s="2891" t="e">
        <f t="shared" ca="1" si="1"/>
        <v>#REF!</v>
      </c>
      <c r="C12" s="2890" t="s">
        <v>2986</v>
      </c>
      <c r="D12" s="2892"/>
      <c r="E12" s="2563" t="e">
        <f t="shared" ca="1" si="0"/>
        <v>#REF!</v>
      </c>
    </row>
    <row r="13" spans="1:5" ht="15.6">
      <c r="A13" s="2895"/>
      <c r="B13" s="2891" t="e">
        <f t="shared" ca="1" si="1"/>
        <v>#REF!</v>
      </c>
      <c r="C13" s="2890" t="s">
        <v>2986</v>
      </c>
      <c r="D13" s="2892"/>
      <c r="E13" s="2563"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04" t="s">
        <v>1145</v>
      </c>
      <c r="C1" s="3304"/>
      <c r="D1" s="3304"/>
      <c r="E1" s="3304"/>
      <c r="F1" s="3304"/>
      <c r="G1" s="3300" t="s">
        <v>1146</v>
      </c>
      <c r="H1" s="3300"/>
      <c r="I1" s="3300"/>
      <c r="J1" s="3300"/>
      <c r="K1" s="3300"/>
      <c r="L1" s="3300"/>
      <c r="N1" s="3300" t="s">
        <v>1147</v>
      </c>
      <c r="O1" s="3300"/>
      <c r="P1" s="3300"/>
      <c r="Q1" s="3300"/>
      <c r="R1" s="1441"/>
      <c r="S1" s="3300" t="s">
        <v>1148</v>
      </c>
      <c r="T1" s="3300"/>
      <c r="U1" s="3300"/>
      <c r="V1" s="3300"/>
      <c r="X1" s="3299" t="s">
        <v>1149</v>
      </c>
      <c r="Y1" s="3300"/>
      <c r="Z1" s="3300"/>
      <c r="AA1" s="3300"/>
      <c r="AB1" s="3300"/>
      <c r="AD1" s="3299" t="s">
        <v>1150</v>
      </c>
      <c r="AE1" s="3300"/>
      <c r="AF1" s="3300"/>
      <c r="AG1" s="3300"/>
      <c r="AH1" s="3300"/>
    </row>
    <row r="2" spans="1:34" s="1442" customFormat="1" ht="1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6" customFormat="1" ht="14.4">
      <c r="A3" s="2915" t="s">
        <v>3028</v>
      </c>
      <c r="B3" s="2907"/>
      <c r="C3" s="2907"/>
      <c r="D3" s="2908"/>
      <c r="E3" s="2908"/>
      <c r="F3" s="2907"/>
      <c r="G3" s="2909"/>
      <c r="H3" s="2910"/>
      <c r="I3" s="2911">
        <f>ROUND(AVERAGE($I4:$I31),2)</f>
        <v>1.78</v>
      </c>
      <c r="J3" s="2911">
        <f>ROUND(AVERAGE($J4:$J31),2)</f>
        <v>1.23</v>
      </c>
      <c r="K3" s="2911">
        <f>ROUND(AVERAGE($K4:$K31),2)</f>
        <v>1.95</v>
      </c>
      <c r="L3" s="2911">
        <f>ROUND(AVERAGE($L4:$L31),2)</f>
        <v>1.26</v>
      </c>
      <c r="N3" s="2909"/>
      <c r="O3" s="2912"/>
      <c r="P3" s="2912"/>
      <c r="Q3" s="2912"/>
      <c r="R3" s="2912"/>
      <c r="S3" s="2909"/>
      <c r="T3" s="2912"/>
      <c r="U3" s="2912"/>
      <c r="V3" s="2912"/>
      <c r="W3" s="2904"/>
      <c r="X3" s="2913">
        <f>ROUND(SUMPRODUCT(PRODUCT(1+N3:N$30)),4)</f>
        <v>1.5605</v>
      </c>
      <c r="Y3" s="2913">
        <f>ROUND(SUMPRODUCT(PRODUCT(1+O3:O$30)),4)</f>
        <v>1.3577999999999999</v>
      </c>
      <c r="Z3" s="2913">
        <f t="shared" ref="Z3:Z28" si="0">Y3</f>
        <v>1.3577999999999999</v>
      </c>
      <c r="AA3" s="2913">
        <f>ROUND(SUMPRODUCT(PRODUCT(1+P3:P$30)),4)</f>
        <v>1.6254999999999999</v>
      </c>
      <c r="AB3" s="2913">
        <f>ROUND(SUMPRODUCT(PRODUCT(1+Q3:Q$30)),4)</f>
        <v>1.3815999999999999</v>
      </c>
      <c r="AD3" s="2914">
        <f>ROUND(AVERAGE(I3:I$31)/100,4)</f>
        <v>1.78E-2</v>
      </c>
      <c r="AE3" s="2914">
        <f>ROUND(AVERAGE(J3:J$31)/100,4)</f>
        <v>1.23E-2</v>
      </c>
      <c r="AF3" s="2914">
        <f t="shared" ref="AF3:AF29" si="1">AE3</f>
        <v>1.23E-2</v>
      </c>
      <c r="AG3" s="2914">
        <f>ROUND(AVERAGE(K3:K$31)/100,4)</f>
        <v>1.95E-2</v>
      </c>
      <c r="AH3" s="2914">
        <f>ROUND(AVERAGE(L3:L$31)/100,4)</f>
        <v>1.26E-2</v>
      </c>
    </row>
    <row r="4" spans="1:34" s="1448" customFormat="1" ht="14.4">
      <c r="B4" s="1449"/>
      <c r="C4" s="1449"/>
      <c r="D4" s="1450"/>
      <c r="E4" s="1450"/>
      <c r="F4" s="1449"/>
      <c r="G4" s="1451"/>
      <c r="H4" s="1452"/>
      <c r="I4" s="2901"/>
      <c r="J4" s="2901"/>
      <c r="K4" s="2901"/>
      <c r="L4" s="2901"/>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3052</v>
      </c>
      <c r="B5" s="1777">
        <f t="shared" ref="B5" si="2">B6*(1+N5)</f>
        <v>479.92259063878413</v>
      </c>
      <c r="C5" s="1777">
        <f t="shared" ref="C5" si="3">C6*(1+O5)</f>
        <v>350.02082268341775</v>
      </c>
      <c r="D5" s="1777">
        <f t="shared" ref="D5" si="4">C5</f>
        <v>350.02082268341775</v>
      </c>
      <c r="E5" s="1777">
        <f t="shared" ref="E5" si="5">E6*(1+P5)</f>
        <v>687.42265944181099</v>
      </c>
      <c r="F5" s="1777">
        <f t="shared" ref="F5" si="6">F6*(1+Q5)</f>
        <v>317.63846657708956</v>
      </c>
      <c r="G5" s="2954">
        <v>2020</v>
      </c>
      <c r="H5" s="1724">
        <v>3</v>
      </c>
      <c r="I5" s="2902">
        <v>0</v>
      </c>
      <c r="J5" s="2902">
        <v>0</v>
      </c>
      <c r="K5" s="2902">
        <v>0</v>
      </c>
      <c r="L5" s="2902">
        <v>0</v>
      </c>
      <c r="N5" s="1462">
        <f t="shared" ref="N5" si="7">I5/100</f>
        <v>0</v>
      </c>
      <c r="O5" s="1462">
        <f t="shared" ref="O5" si="8">J5/100</f>
        <v>0</v>
      </c>
      <c r="P5" s="1462">
        <f t="shared" ref="P5" si="9">K5/100</f>
        <v>0</v>
      </c>
      <c r="Q5" s="1462">
        <f t="shared" ref="Q5" si="10">L5/100</f>
        <v>0</v>
      </c>
      <c r="R5" s="1726"/>
      <c r="S5" s="1727"/>
      <c r="T5" s="1726"/>
      <c r="U5" s="1726"/>
      <c r="V5" s="1726"/>
      <c r="W5" s="2905" t="s">
        <v>3029</v>
      </c>
      <c r="X5" s="1720">
        <f>ROUND(IF(项目基本情况!B7="出让",SUMPRODUCT(PRODUCT(1+N5:N$31)),SUMPRODUCT(PRODUCT(1+N5:N$30))),4)</f>
        <v>1.5605</v>
      </c>
      <c r="Y5" s="1720">
        <f>ROUND(IF(项目基本情况!B7="出让",SUMPRODUCT(PRODUCT(1+O5:O$31)),SUMPRODUCT(PRODUCT(1+O5:O$30))),4)</f>
        <v>1.3577999999999999</v>
      </c>
      <c r="Z5" s="1720">
        <f t="shared" ref="Z5" si="11">Y5</f>
        <v>1.3577999999999999</v>
      </c>
      <c r="AA5" s="1720">
        <f>ROUND(IF(项目基本情况!B7="出让",SUMPRODUCT(PRODUCT(1+P5:P$31)),SUMPRODUCT(PRODUCT(1+P5:P$30))),4)</f>
        <v>1.6254999999999999</v>
      </c>
      <c r="AB5" s="1720">
        <f>ROUND(IF(项目基本情况!B7="出让",SUMPRODUCT(PRODUCT(1+Q5:Q$31)),SUMPRODUCT(PRODUCT(1+Q5:Q$30))),4)</f>
        <v>1.3815999999999999</v>
      </c>
      <c r="AD5" s="1463">
        <f>ROUND(AVERAGE(I5:I$31)/100,4)</f>
        <v>1.78E-2</v>
      </c>
      <c r="AE5" s="1463">
        <f>ROUND(AVERAGE(J5:J$31)/100,4)</f>
        <v>1.23E-2</v>
      </c>
      <c r="AF5" s="1463">
        <f t="shared" ref="AF5" si="12">AE5</f>
        <v>1.23E-2</v>
      </c>
      <c r="AG5" s="1463">
        <f>ROUND(AVERAGE(K5:K$31)/100,4)</f>
        <v>1.95E-2</v>
      </c>
      <c r="AH5" s="1463">
        <f>ROUND(AVERAGE(L5:L$31)/100,4)</f>
        <v>1.26E-2</v>
      </c>
    </row>
    <row r="6" spans="1:34" s="1461" customFormat="1">
      <c r="A6" s="1456" t="s">
        <v>3051</v>
      </c>
      <c r="B6" s="1472">
        <f t="shared" ref="B6" si="13">B7*(1+N6)</f>
        <v>479.92259063878413</v>
      </c>
      <c r="C6" s="1472">
        <f t="shared" ref="C6" si="14">C7*(1+O6)</f>
        <v>350.02082268341775</v>
      </c>
      <c r="D6" s="1472">
        <f t="shared" ref="D6" si="15">C6</f>
        <v>350.02082268341775</v>
      </c>
      <c r="E6" s="1472">
        <f t="shared" ref="E6" si="16">E7*(1+P6)</f>
        <v>687.42265944181099</v>
      </c>
      <c r="F6" s="1472">
        <f t="shared" ref="F6" si="17">F7*(1+Q6)</f>
        <v>317.63846657708956</v>
      </c>
      <c r="G6" s="2954">
        <v>2020</v>
      </c>
      <c r="H6" s="1459">
        <v>2</v>
      </c>
      <c r="I6" s="2942">
        <v>0</v>
      </c>
      <c r="J6" s="2942">
        <v>0</v>
      </c>
      <c r="K6" s="2942">
        <v>0</v>
      </c>
      <c r="L6" s="2943">
        <v>0</v>
      </c>
      <c r="M6" s="1466"/>
      <c r="N6" s="1467">
        <f t="shared" ref="N6" si="18">I6/100</f>
        <v>0</v>
      </c>
      <c r="O6" s="1468">
        <f t="shared" ref="O6" si="19">J6/100</f>
        <v>0</v>
      </c>
      <c r="P6" s="1468">
        <f t="shared" ref="P6" si="20">K6/100</f>
        <v>0</v>
      </c>
      <c r="Q6" s="1468">
        <f t="shared" ref="Q6" si="21">L6/100</f>
        <v>0</v>
      </c>
      <c r="R6" s="1469"/>
      <c r="S6" s="1467"/>
      <c r="T6" s="1468"/>
      <c r="U6" s="1468"/>
      <c r="V6" s="1468"/>
      <c r="W6" s="1776"/>
      <c r="X6" s="1774">
        <f>ROUND(IF(项目基本情况!B8="出让",SUMPRODUCT(PRODUCT(1+N6:N$31)),SUMPRODUCT(PRODUCT(1+N6:N$30))),4)</f>
        <v>1.5605</v>
      </c>
      <c r="Y6" s="1774">
        <f>ROUND(IF(项目基本情况!B8="出让",SUMPRODUCT(PRODUCT(1+O6:O$31)),SUMPRODUCT(PRODUCT(1+O6:O$30))),4)</f>
        <v>1.3577999999999999</v>
      </c>
      <c r="Z6" s="1774">
        <f t="shared" ref="Z6" si="22">Y6</f>
        <v>1.3577999999999999</v>
      </c>
      <c r="AA6" s="1774">
        <f>ROUND(IF(项目基本情况!B8="出让",SUMPRODUCT(PRODUCT(1+P6:P$31)),SUMPRODUCT(PRODUCT(1+P6:P$30))),4)</f>
        <v>1.6254999999999999</v>
      </c>
      <c r="AB6" s="1774">
        <f>ROUND(IF(项目基本情况!B8="出让",SUMPRODUCT(PRODUCT(1+Q6:Q$31)),SUMPRODUCT(PRODUCT(1+Q6:Q$30))),4)</f>
        <v>1.3815999999999999</v>
      </c>
      <c r="AC6" s="1776"/>
      <c r="AD6" s="1775">
        <f>ROUND(AVERAGE(I6:I$31)/100,4)</f>
        <v>1.8499999999999999E-2</v>
      </c>
      <c r="AE6" s="1775">
        <f>ROUND(AVERAGE(J6:J$31)/100,4)</f>
        <v>1.2800000000000001E-2</v>
      </c>
      <c r="AF6" s="1775">
        <f t="shared" ref="AF6" si="23">AE6</f>
        <v>1.2800000000000001E-2</v>
      </c>
      <c r="AG6" s="1775">
        <f>ROUND(AVERAGE(K6:K$31)/100,4)</f>
        <v>2.0299999999999999E-2</v>
      </c>
      <c r="AH6" s="1775">
        <f>ROUND(AVERAGE(L6:L$31)/100,4)</f>
        <v>1.3100000000000001E-2</v>
      </c>
    </row>
    <row r="7" spans="1:34" s="1461" customFormat="1">
      <c r="A7" s="1456" t="s">
        <v>3047</v>
      </c>
      <c r="B7" s="1472">
        <f t="shared" ref="B7" si="24">B8*(1+N7)</f>
        <v>479.92259063878413</v>
      </c>
      <c r="C7" s="1472">
        <f t="shared" ref="C7" si="25">C8*(1+O7)</f>
        <v>350.02082268341775</v>
      </c>
      <c r="D7" s="1472">
        <f t="shared" ref="D7" si="26">C7</f>
        <v>350.02082268341775</v>
      </c>
      <c r="E7" s="1472">
        <f t="shared" ref="E7" si="27">E8*(1+P7)</f>
        <v>687.42265944181099</v>
      </c>
      <c r="F7" s="1472">
        <f t="shared" ref="F7" si="28">F8*(1+Q7)</f>
        <v>317.63846657708956</v>
      </c>
      <c r="G7" s="2941">
        <v>2020</v>
      </c>
      <c r="H7" s="1459">
        <v>1</v>
      </c>
      <c r="I7" s="2942">
        <v>0.12</v>
      </c>
      <c r="J7" s="2942">
        <v>-0.4</v>
      </c>
      <c r="K7" s="2942">
        <v>0.21</v>
      </c>
      <c r="L7" s="2943">
        <v>0.27</v>
      </c>
      <c r="M7" s="1466"/>
      <c r="N7" s="1467">
        <f t="shared" ref="N7" si="29">I7/100</f>
        <v>1.1999999999999999E-3</v>
      </c>
      <c r="O7" s="1468">
        <f t="shared" ref="O7" si="30">J7/100</f>
        <v>-4.0000000000000001E-3</v>
      </c>
      <c r="P7" s="1468">
        <f t="shared" ref="P7" si="31">K7/100</f>
        <v>2.0999999999999999E-3</v>
      </c>
      <c r="Q7" s="1468">
        <f t="shared" ref="Q7" si="32">L7/100</f>
        <v>2.7000000000000001E-3</v>
      </c>
      <c r="R7" s="1469"/>
      <c r="S7" s="1467">
        <f>B7/B8-1</f>
        <v>1.2000000000000899E-3</v>
      </c>
      <c r="T7" s="1468">
        <f t="shared" ref="T7" si="33">C7/C8-1</f>
        <v>-4.0000000000000036E-3</v>
      </c>
      <c r="U7" s="1468">
        <f t="shared" ref="U7" si="34">D7/D8-1</f>
        <v>-4.0000000000000036E-3</v>
      </c>
      <c r="V7" s="1468">
        <f t="shared" ref="V7" si="35">E7/E8-1</f>
        <v>2.0999999999999908E-3</v>
      </c>
      <c r="W7" s="1776"/>
      <c r="X7" s="1774">
        <f>ROUND(IF(项目基本情况!B8="出让",SUMPRODUCT(PRODUCT(1+N7:N$31)),SUMPRODUCT(PRODUCT(1+N7:N$30))),4)</f>
        <v>1.5605</v>
      </c>
      <c r="Y7" s="1774">
        <f>ROUND(IF(项目基本情况!B8="出让",SUMPRODUCT(PRODUCT(1+O7:O$31)),SUMPRODUCT(PRODUCT(1+O7:O$30))),4)</f>
        <v>1.3577999999999999</v>
      </c>
      <c r="Z7" s="1774">
        <f t="shared" ref="Z7" si="36">Y7</f>
        <v>1.3577999999999999</v>
      </c>
      <c r="AA7" s="1774">
        <f>ROUND(IF(项目基本情况!B8="出让",SUMPRODUCT(PRODUCT(1+P7:P$31)),SUMPRODUCT(PRODUCT(1+P7:P$30))),4)</f>
        <v>1.6254999999999999</v>
      </c>
      <c r="AB7" s="1774">
        <f>ROUND(IF(项目基本情况!B8="出让",SUMPRODUCT(PRODUCT(1+Q7:Q$31)),SUMPRODUCT(PRODUCT(1+Q7:Q$30))),4)</f>
        <v>1.3815999999999999</v>
      </c>
      <c r="AC7" s="1776"/>
      <c r="AD7" s="1775">
        <f>ROUND(AVERAGE(I7:I$31)/100,4)</f>
        <v>1.9199999999999998E-2</v>
      </c>
      <c r="AE7" s="1775">
        <f>ROUND(AVERAGE(J7:J$31)/100,4)</f>
        <v>1.3299999999999999E-2</v>
      </c>
      <c r="AF7" s="1775">
        <f t="shared" ref="AF7" si="37">AE7</f>
        <v>1.3299999999999999E-2</v>
      </c>
      <c r="AG7" s="1775">
        <f>ROUND(AVERAGE(K7:K$31)/100,4)</f>
        <v>2.1100000000000001E-2</v>
      </c>
      <c r="AH7" s="1775">
        <f>ROUND(AVERAGE(L7:L$31)/100,4)</f>
        <v>1.3599999999999999E-2</v>
      </c>
    </row>
    <row r="8" spans="1:34" s="1461" customFormat="1">
      <c r="A8" s="1456" t="s">
        <v>3046</v>
      </c>
      <c r="B8" s="1472">
        <f t="shared" ref="B8" si="38">B9*(1+N8)</f>
        <v>479.34737379023579</v>
      </c>
      <c r="C8" s="1472">
        <f t="shared" ref="C8" si="39">C9*(1+O8)</f>
        <v>351.4265287986122</v>
      </c>
      <c r="D8" s="1472">
        <f t="shared" ref="D8" si="40">C8</f>
        <v>351.4265287986122</v>
      </c>
      <c r="E8" s="1472">
        <f t="shared" ref="E8" si="41">E9*(1+P8)</f>
        <v>685.98209703803116</v>
      </c>
      <c r="F8" s="1472">
        <f t="shared" ref="F8" si="42">F9*(1+Q8)</f>
        <v>316.78315206651001</v>
      </c>
      <c r="G8" s="2940">
        <v>2019</v>
      </c>
      <c r="H8" s="1459">
        <v>4</v>
      </c>
      <c r="I8" s="1459">
        <v>0.45</v>
      </c>
      <c r="J8" s="1459">
        <v>-0.12</v>
      </c>
      <c r="K8" s="1459">
        <v>0.54</v>
      </c>
      <c r="L8" s="1473">
        <v>0.48</v>
      </c>
      <c r="M8" s="1466"/>
      <c r="N8" s="1467">
        <f t="shared" ref="N8:N13" si="43">I8/100</f>
        <v>4.5000000000000005E-3</v>
      </c>
      <c r="O8" s="1468">
        <f t="shared" ref="O8" si="44">J8/100</f>
        <v>-1.1999999999999999E-3</v>
      </c>
      <c r="P8" s="1468">
        <f t="shared" ref="P8" si="45">K8/100</f>
        <v>5.4000000000000003E-3</v>
      </c>
      <c r="Q8" s="1468">
        <f t="shared" ref="Q8" si="46">L8/100</f>
        <v>4.7999999999999996E-3</v>
      </c>
      <c r="R8" s="1469"/>
      <c r="S8" s="1467"/>
      <c r="T8" s="1468"/>
      <c r="U8" s="1468"/>
      <c r="V8" s="1468"/>
      <c r="W8" s="1776"/>
      <c r="X8" s="1774">
        <f>ROUND(IF(项目基本情况!B8="出让",SUMPRODUCT(PRODUCT(1+N8:N$31)),SUMPRODUCT(PRODUCT(1+N8:N$30))),4)</f>
        <v>1.5586</v>
      </c>
      <c r="Y8" s="1774">
        <f>ROUND(IF(项目基本情况!B8="出让",SUMPRODUCT(PRODUCT(1+O8:O$31)),SUMPRODUCT(PRODUCT(1+O8:O$30))),4)</f>
        <v>1.3633</v>
      </c>
      <c r="Z8" s="1774">
        <f t="shared" ref="Z8" si="47">Y8</f>
        <v>1.3633</v>
      </c>
      <c r="AA8" s="1774">
        <f>ROUND(IF(项目基本情况!B8="出让",SUMPRODUCT(PRODUCT(1+P8:P$31)),SUMPRODUCT(PRODUCT(1+P8:P$30))),4)</f>
        <v>1.6221000000000001</v>
      </c>
      <c r="AB8" s="1774">
        <f>ROUND(IF(项目基本情况!B8="出让",SUMPRODUCT(PRODUCT(1+Q8:Q$31)),SUMPRODUCT(PRODUCT(1+Q8:Q$30))),4)</f>
        <v>1.3777999999999999</v>
      </c>
      <c r="AC8" s="1776"/>
      <c r="AD8" s="1775">
        <f>ROUND(AVERAGE(I8:I$31)/100,4)</f>
        <v>0.02</v>
      </c>
      <c r="AE8" s="1775">
        <f>ROUND(AVERAGE(J8:J$31)/100,4)</f>
        <v>1.4E-2</v>
      </c>
      <c r="AF8" s="1775">
        <f t="shared" ref="AF8" si="48">AE8</f>
        <v>1.4E-2</v>
      </c>
      <c r="AG8" s="1775">
        <f>ROUND(AVERAGE(K8:K$31)/100,4)</f>
        <v>2.1899999999999999E-2</v>
      </c>
      <c r="AH8" s="1775">
        <f>ROUND(AVERAGE(L8:L$31)/100,4)</f>
        <v>1.4E-2</v>
      </c>
    </row>
    <row r="9" spans="1:34" s="1461" customFormat="1" ht="13.8" thickBot="1">
      <c r="A9" s="1456" t="s">
        <v>3042</v>
      </c>
      <c r="B9" s="1472">
        <f t="shared" ref="B9" si="49">B10*(1+N9)</f>
        <v>477.19997390765138</v>
      </c>
      <c r="C9" s="1472">
        <f t="shared" ref="C9" si="50">C10*(1+O9)</f>
        <v>351.84874729536665</v>
      </c>
      <c r="D9" s="1472">
        <f t="shared" ref="D9" si="51">C9</f>
        <v>351.84874729536665</v>
      </c>
      <c r="E9" s="1472">
        <f t="shared" ref="E9" si="52">E10*(1+P9)</f>
        <v>682.29768951465201</v>
      </c>
      <c r="F9" s="1472">
        <f t="shared" ref="F9" si="53">F10*(1+Q9)</f>
        <v>315.26985675409043</v>
      </c>
      <c r="G9" s="2939">
        <v>2019</v>
      </c>
      <c r="H9" s="1459">
        <v>3</v>
      </c>
      <c r="I9" s="1459">
        <v>0.61</v>
      </c>
      <c r="J9" s="1459">
        <v>0.67</v>
      </c>
      <c r="K9" s="1459">
        <v>0.6</v>
      </c>
      <c r="L9" s="1473">
        <v>1.03</v>
      </c>
      <c r="M9" s="1466"/>
      <c r="N9" s="1467">
        <f t="shared" si="43"/>
        <v>6.0999999999999995E-3</v>
      </c>
      <c r="O9" s="1468">
        <f t="shared" ref="O9" si="54">J9/100</f>
        <v>6.7000000000000002E-3</v>
      </c>
      <c r="P9" s="1468">
        <f t="shared" ref="P9" si="55">K9/100</f>
        <v>6.0000000000000001E-3</v>
      </c>
      <c r="Q9" s="1468">
        <f t="shared" ref="Q9" si="56">L9/100</f>
        <v>1.03E-2</v>
      </c>
      <c r="R9" s="1469"/>
      <c r="S9" s="1467"/>
      <c r="T9" s="1468"/>
      <c r="U9" s="1468"/>
      <c r="V9" s="1468"/>
      <c r="W9" s="1776"/>
      <c r="X9" s="1774">
        <f>ROUND(IF(项目基本情况!B8="出让",SUMPRODUCT(PRODUCT(1+N9:N$31)),SUMPRODUCT(PRODUCT(1+N9:N$30))),4)</f>
        <v>1.5516000000000001</v>
      </c>
      <c r="Y9" s="1774">
        <f>ROUND(IF(项目基本情况!B8="出让",SUMPRODUCT(PRODUCT(1+O9:O$31)),SUMPRODUCT(PRODUCT(1+O9:O$30))),4)</f>
        <v>1.3649</v>
      </c>
      <c r="Z9" s="1774">
        <f t="shared" ref="Z9" si="57">Y9</f>
        <v>1.3649</v>
      </c>
      <c r="AA9" s="1774">
        <f>ROUND(IF(项目基本情况!B8="出让",SUMPRODUCT(PRODUCT(1+P9:P$31)),SUMPRODUCT(PRODUCT(1+P9:P$30))),4)</f>
        <v>1.6133999999999999</v>
      </c>
      <c r="AB9" s="1774">
        <f>ROUND(IF(项目基本情况!B8="出让",SUMPRODUCT(PRODUCT(1+Q9:Q$31)),SUMPRODUCT(PRODUCT(1+Q9:Q$30))),4)</f>
        <v>1.3713</v>
      </c>
      <c r="AC9" s="1776"/>
      <c r="AD9" s="1775">
        <f>ROUND(AVERAGE(I9:I$31)/100,4)</f>
        <v>2.07E-2</v>
      </c>
      <c r="AE9" s="1775">
        <f>ROUND(AVERAGE(J9:J$31)/100,4)</f>
        <v>1.47E-2</v>
      </c>
      <c r="AF9" s="1775">
        <f t="shared" ref="AF9" si="58">AE9</f>
        <v>1.47E-2</v>
      </c>
      <c r="AG9" s="1775">
        <f>ROUND(AVERAGE(K9:K$31)/100,4)</f>
        <v>2.2599999999999999E-2</v>
      </c>
      <c r="AH9" s="1775">
        <f>ROUND(AVERAGE(L9:L$31)/100,4)</f>
        <v>1.44E-2</v>
      </c>
    </row>
    <row r="10" spans="1:34" s="1461" customFormat="1">
      <c r="A10" s="1456" t="s">
        <v>3040</v>
      </c>
      <c r="B10" s="1472">
        <f t="shared" ref="B10" si="59">B11*(1+N10)</f>
        <v>474.30670301923408</v>
      </c>
      <c r="C10" s="1472">
        <f t="shared" ref="C10" si="60">C11*(1+O10)</f>
        <v>349.50705005996491</v>
      </c>
      <c r="D10" s="1472">
        <f t="shared" ref="D10" si="61">C10</f>
        <v>349.50705005996491</v>
      </c>
      <c r="E10" s="1472">
        <f t="shared" ref="E10" si="62">E11*(1+P10)</f>
        <v>678.22831959706957</v>
      </c>
      <c r="F10" s="1472">
        <f t="shared" ref="F10" si="63">F11*(1+Q10)</f>
        <v>312.0556832169558</v>
      </c>
      <c r="G10" s="2935">
        <v>2019</v>
      </c>
      <c r="H10" s="1457">
        <v>2</v>
      </c>
      <c r="I10" s="1457">
        <v>1.53</v>
      </c>
      <c r="J10" s="1457">
        <v>1.01</v>
      </c>
      <c r="K10" s="1457">
        <v>1.62</v>
      </c>
      <c r="L10" s="1458">
        <v>1.25</v>
      </c>
      <c r="M10" s="1466"/>
      <c r="N10" s="1467">
        <f t="shared" si="43"/>
        <v>1.5300000000000001E-2</v>
      </c>
      <c r="O10" s="1468">
        <f t="shared" ref="O10" si="64">J10/100</f>
        <v>1.01E-2</v>
      </c>
      <c r="P10" s="1468">
        <f t="shared" ref="P10" si="65">K10/100</f>
        <v>1.6200000000000003E-2</v>
      </c>
      <c r="Q10" s="1468">
        <f t="shared" ref="Q10" si="66">L10/100</f>
        <v>1.2500000000000001E-2</v>
      </c>
      <c r="R10" s="1469"/>
      <c r="S10" s="1467"/>
      <c r="T10" s="1468"/>
      <c r="U10" s="1468"/>
      <c r="V10" s="1468"/>
      <c r="W10" s="1776"/>
      <c r="X10" s="1774">
        <f>ROUND(IF(项目基本情况!B8="出让",SUMPRODUCT(PRODUCT(1+N10:N$31)),SUMPRODUCT(PRODUCT(1+N10:N$30))),4)</f>
        <v>1.5422</v>
      </c>
      <c r="Y10" s="1774">
        <f>ROUND(IF(项目基本情况!B8="出让",SUMPRODUCT(PRODUCT(1+O10:O$31)),SUMPRODUCT(PRODUCT(1+O10:O$30))),4)</f>
        <v>1.3557999999999999</v>
      </c>
      <c r="Z10" s="1774">
        <f t="shared" ref="Z10" si="67">Y10</f>
        <v>1.3557999999999999</v>
      </c>
      <c r="AA10" s="1774">
        <f>ROUND(IF(项目基本情况!B8="出让",SUMPRODUCT(PRODUCT(1+P10:P$31)),SUMPRODUCT(PRODUCT(1+P10:P$30))),4)</f>
        <v>1.6036999999999999</v>
      </c>
      <c r="AB10" s="1774">
        <f>ROUND(IF(项目基本情况!B8="出让",SUMPRODUCT(PRODUCT(1+Q10:Q$31)),SUMPRODUCT(PRODUCT(1+Q10:Q$30))),4)</f>
        <v>1.3573</v>
      </c>
      <c r="AC10" s="1776"/>
      <c r="AD10" s="1775">
        <f>ROUND(AVERAGE(I10:I$31)/100,4)</f>
        <v>2.1299999999999999E-2</v>
      </c>
      <c r="AE10" s="1775">
        <f>ROUND(AVERAGE(J10:J$31)/100,4)</f>
        <v>1.4999999999999999E-2</v>
      </c>
      <c r="AF10" s="1775">
        <f t="shared" ref="AF10" si="68">AE10</f>
        <v>1.4999999999999999E-2</v>
      </c>
      <c r="AG10" s="1775">
        <f>ROUND(AVERAGE(K10:K$31)/100,4)</f>
        <v>2.3300000000000001E-2</v>
      </c>
      <c r="AH10" s="1775">
        <f>ROUND(AVERAGE(L10:L$31)/100,4)</f>
        <v>1.46E-2</v>
      </c>
    </row>
    <row r="11" spans="1:34" s="1461" customFormat="1" ht="13.8" thickBot="1">
      <c r="A11" s="1456" t="s">
        <v>3038</v>
      </c>
      <c r="B11" s="1472">
        <f t="shared" ref="B11" si="69">B12*(1+N11)</f>
        <v>467.15916775261894</v>
      </c>
      <c r="C11" s="1472">
        <f t="shared" ref="C11" si="70">C12*(1+O11)</f>
        <v>346.01232557169084</v>
      </c>
      <c r="D11" s="1472">
        <f t="shared" ref="D11" si="71">C11</f>
        <v>346.01232557169084</v>
      </c>
      <c r="E11" s="1472">
        <f t="shared" ref="E11" si="72">E12*(1+P11)</f>
        <v>667.41617752122568</v>
      </c>
      <c r="F11" s="1472">
        <f t="shared" ref="F11" si="73">F12*(1+Q11)</f>
        <v>308.20314391798104</v>
      </c>
      <c r="G11" s="2919">
        <v>2019</v>
      </c>
      <c r="H11" s="1459">
        <v>1</v>
      </c>
      <c r="I11" s="1459">
        <v>0.6</v>
      </c>
      <c r="J11" s="1459">
        <v>0.37</v>
      </c>
      <c r="K11" s="1459">
        <v>0.63</v>
      </c>
      <c r="L11" s="1473">
        <v>1.1299999999999999</v>
      </c>
      <c r="M11" s="1466"/>
      <c r="N11" s="1467">
        <f t="shared" si="43"/>
        <v>6.0000000000000001E-3</v>
      </c>
      <c r="O11" s="1468">
        <f t="shared" ref="O11" si="74">J11/100</f>
        <v>3.7000000000000002E-3</v>
      </c>
      <c r="P11" s="1468">
        <f t="shared" ref="P11" si="75">K11/100</f>
        <v>6.3E-3</v>
      </c>
      <c r="Q11" s="1468">
        <f t="shared" ref="Q11" si="76">L11/100</f>
        <v>1.1299999999999999E-2</v>
      </c>
      <c r="R11" s="1469"/>
      <c r="S11" s="1467">
        <f>B11/B12-1</f>
        <v>6.0000000000000053E-3</v>
      </c>
      <c r="T11" s="1468">
        <f t="shared" ref="T11" si="77">C11/C12-1</f>
        <v>3.7000000000000366E-3</v>
      </c>
      <c r="U11" s="1468">
        <f t="shared" ref="U11" si="78">D11/D12-1</f>
        <v>3.7000000000000366E-3</v>
      </c>
      <c r="V11" s="1468">
        <f t="shared" ref="V11" si="79">E11/E12-1</f>
        <v>6.2999999999999723E-3</v>
      </c>
      <c r="W11" s="1776"/>
      <c r="X11" s="1774">
        <f>ROUND(IF(项目基本情况!B8="出让",SUMPRODUCT(PRODUCT(1+N11:N$31)),SUMPRODUCT(PRODUCT(1+N11:N$30))),4)</f>
        <v>1.5189999999999999</v>
      </c>
      <c r="Y11" s="1774">
        <f>ROUND(IF(项目基本情况!B8="出让",SUMPRODUCT(PRODUCT(1+O11:O$31)),SUMPRODUCT(PRODUCT(1+O11:O$30))),4)</f>
        <v>1.3423</v>
      </c>
      <c r="Z11" s="1774">
        <f t="shared" ref="Z11" si="80">Y11</f>
        <v>1.3423</v>
      </c>
      <c r="AA11" s="1774">
        <f>ROUND(IF(项目基本情况!B8="出让",SUMPRODUCT(PRODUCT(1+P11:P$31)),SUMPRODUCT(PRODUCT(1+P11:P$30))),4)</f>
        <v>1.5782</v>
      </c>
      <c r="AB11" s="1774">
        <f>ROUND(IF(项目基本情况!B8="出让",SUMPRODUCT(PRODUCT(1+Q11:Q$31)),SUMPRODUCT(PRODUCT(1+Q11:Q$30))),4)</f>
        <v>1.3405</v>
      </c>
      <c r="AC11" s="1776"/>
      <c r="AD11" s="1775">
        <f>ROUND(AVERAGE(I11:I$31)/100,4)</f>
        <v>2.1600000000000001E-2</v>
      </c>
      <c r="AE11" s="1775">
        <f>ROUND(AVERAGE(J11:J$31)/100,4)</f>
        <v>1.5299999999999999E-2</v>
      </c>
      <c r="AF11" s="1775">
        <f t="shared" ref="AF11" si="81">AE11</f>
        <v>1.5299999999999999E-2</v>
      </c>
      <c r="AG11" s="1775">
        <f>ROUND(AVERAGE(K11:K$31)/100,4)</f>
        <v>2.3699999999999999E-2</v>
      </c>
      <c r="AH11" s="1775">
        <f>ROUND(AVERAGE(L11:L$31)/100,4)</f>
        <v>1.47E-2</v>
      </c>
    </row>
    <row r="12" spans="1:34" s="1461" customFormat="1">
      <c r="A12" s="1456" t="s">
        <v>3041</v>
      </c>
      <c r="B12" s="2936">
        <f t="shared" ref="B12" si="82">B13*(1+N12)</f>
        <v>464.37293017158942</v>
      </c>
      <c r="C12" s="2936">
        <f t="shared" ref="C12" si="83">C13*(1+O12)</f>
        <v>344.73679941385956</v>
      </c>
      <c r="D12" s="2936">
        <f t="shared" ref="D12" si="84">C12</f>
        <v>344.73679941385956</v>
      </c>
      <c r="E12" s="2936">
        <f t="shared" ref="E12" si="85">E13*(1+P12)</f>
        <v>663.2377795103107</v>
      </c>
      <c r="F12" s="2937">
        <f t="shared" ref="F12" si="86">F13*(1+Q12)</f>
        <v>304.75936311478398</v>
      </c>
      <c r="G12" s="3302">
        <v>2018</v>
      </c>
      <c r="H12" s="1457">
        <v>4</v>
      </c>
      <c r="I12" s="1457">
        <v>0.96</v>
      </c>
      <c r="J12" s="1457">
        <v>1.03</v>
      </c>
      <c r="K12" s="1457">
        <v>0.92</v>
      </c>
      <c r="L12" s="1458">
        <v>1.29</v>
      </c>
      <c r="M12" s="1466"/>
      <c r="N12" s="1467">
        <f t="shared" si="43"/>
        <v>9.5999999999999992E-3</v>
      </c>
      <c r="O12" s="1468">
        <f t="shared" ref="O12" si="87">J12/100</f>
        <v>1.03E-2</v>
      </c>
      <c r="P12" s="1468">
        <f t="shared" ref="P12" si="88">K12/100</f>
        <v>9.1999999999999998E-3</v>
      </c>
      <c r="Q12" s="1468">
        <f t="shared" ref="Q12" si="89">L12/100</f>
        <v>1.29E-2</v>
      </c>
      <c r="R12" s="1469"/>
      <c r="S12" s="1467"/>
      <c r="T12" s="1468"/>
      <c r="U12" s="1468"/>
      <c r="V12" s="1468"/>
      <c r="W12" s="1776"/>
      <c r="X12" s="1774">
        <f>ROUND(SUMPRODUCT(PRODUCT(1+N12:N$30)),4)</f>
        <v>1.5099</v>
      </c>
      <c r="Y12" s="1774">
        <f>ROUND(SUMPRODUCT(PRODUCT(1+O12:O$30)),4)</f>
        <v>1.3372999999999999</v>
      </c>
      <c r="Z12" s="1774">
        <f t="shared" ref="Z12" si="90">Y12</f>
        <v>1.3372999999999999</v>
      </c>
      <c r="AA12" s="1774">
        <f>ROUND(SUMPRODUCT(PRODUCT(1+P12:P$30)),4)</f>
        <v>1.5683</v>
      </c>
      <c r="AB12" s="1774">
        <f>ROUND(SUMPRODUCT(PRODUCT(1+Q12:Q$30)),4)</f>
        <v>1.3255999999999999</v>
      </c>
      <c r="AC12" s="1776"/>
      <c r="AD12" s="1775">
        <f>ROUND(AVERAGE(I12:I$31)/100,4)</f>
        <v>2.24E-2</v>
      </c>
      <c r="AE12" s="1775">
        <f>ROUND(AVERAGE(J12:J$31)/100,4)</f>
        <v>1.5800000000000002E-2</v>
      </c>
      <c r="AF12" s="1775">
        <f t="shared" ref="AF12" si="91">AE12</f>
        <v>1.5800000000000002E-2</v>
      </c>
      <c r="AG12" s="1775">
        <f>ROUND(AVERAGE(K12:K$31)/100,4)</f>
        <v>2.4500000000000001E-2</v>
      </c>
      <c r="AH12" s="1775">
        <f>ROUND(AVERAGE(L12:L$31)/100,4)</f>
        <v>1.49E-2</v>
      </c>
    </row>
    <row r="13" spans="1:34" s="1461" customFormat="1" ht="14.4" customHeight="1">
      <c r="A13" s="1456" t="s">
        <v>3035</v>
      </c>
      <c r="B13" s="1472">
        <f t="shared" ref="B13" si="92">B14*(1+N13)</f>
        <v>459.95733971036987</v>
      </c>
      <c r="C13" s="1472">
        <f t="shared" ref="C13" si="93">C14*(1+O13)</f>
        <v>341.22221064422405</v>
      </c>
      <c r="D13" s="1472">
        <f t="shared" ref="D13" si="94">C13</f>
        <v>341.22221064422405</v>
      </c>
      <c r="E13" s="1472">
        <f t="shared" ref="E13" si="95">E14*(1+P13)</f>
        <v>657.19161663724799</v>
      </c>
      <c r="F13" s="1472">
        <f t="shared" ref="F13" si="96">F14*(1+Q13)</f>
        <v>300.87803644464805</v>
      </c>
      <c r="G13" s="3302"/>
      <c r="H13" s="1459">
        <v>3</v>
      </c>
      <c r="I13" s="1459">
        <v>1.51</v>
      </c>
      <c r="J13" s="1459">
        <v>1.41</v>
      </c>
      <c r="K13" s="1459">
        <v>1.52</v>
      </c>
      <c r="L13" s="1473">
        <v>1.74</v>
      </c>
      <c r="M13" s="1466"/>
      <c r="N13" s="1467">
        <f t="shared" si="43"/>
        <v>1.5100000000000001E-2</v>
      </c>
      <c r="O13" s="1468">
        <f t="shared" ref="O13" si="97">J13/100</f>
        <v>1.41E-2</v>
      </c>
      <c r="P13" s="1468">
        <f t="shared" ref="P13" si="98">K13/100</f>
        <v>1.52E-2</v>
      </c>
      <c r="Q13" s="1468">
        <f t="shared" ref="Q13" si="99">L13/100</f>
        <v>1.7399999999999999E-2</v>
      </c>
      <c r="R13" s="1469"/>
      <c r="S13" s="1467"/>
      <c r="T13" s="1468"/>
      <c r="U13" s="1468"/>
      <c r="V13" s="1468"/>
      <c r="W13" s="1776"/>
      <c r="X13" s="1774">
        <f>ROUND(SUMPRODUCT(PRODUCT(1+N13:N$30)),4)</f>
        <v>1.4956</v>
      </c>
      <c r="Y13" s="1774">
        <f>ROUND(SUMPRODUCT(PRODUCT(1+O13:O$30)),4)</f>
        <v>1.3237000000000001</v>
      </c>
      <c r="Z13" s="1774">
        <f t="shared" ref="Z13" si="100">Y13</f>
        <v>1.3237000000000001</v>
      </c>
      <c r="AA13" s="1774">
        <f>ROUND(SUMPRODUCT(PRODUCT(1+P13:P$30)),4)</f>
        <v>1.554</v>
      </c>
      <c r="AB13" s="1774">
        <f>ROUND(SUMPRODUCT(PRODUCT(1+Q13:Q$30)),4)</f>
        <v>1.3087</v>
      </c>
      <c r="AC13" s="1776"/>
      <c r="AD13" s="1775">
        <f>ROUND(AVERAGE(I13:I$31)/100,4)</f>
        <v>2.3099999999999999E-2</v>
      </c>
      <c r="AE13" s="1775">
        <f>ROUND(AVERAGE(J13:J$31)/100,4)</f>
        <v>1.61E-2</v>
      </c>
      <c r="AF13" s="1775">
        <f t="shared" ref="AF13" si="101">AE13</f>
        <v>1.61E-2</v>
      </c>
      <c r="AG13" s="1775">
        <f>ROUND(AVERAGE(K13:K$31)/100,4)</f>
        <v>2.53E-2</v>
      </c>
      <c r="AH13" s="1775">
        <f>ROUND(AVERAGE(L13:L$31)/100,4)</f>
        <v>1.4999999999999999E-2</v>
      </c>
    </row>
    <row r="14" spans="1:34" s="1461" customFormat="1" ht="14.4" customHeight="1">
      <c r="A14" s="1456" t="s">
        <v>3034</v>
      </c>
      <c r="B14" s="1472">
        <f t="shared" ref="B14" si="102">B15*(1+N14)</f>
        <v>453.11529869999993</v>
      </c>
      <c r="C14" s="1472">
        <f t="shared" ref="C14" si="103">C15*(1+O14)</f>
        <v>336.47787264000004</v>
      </c>
      <c r="D14" s="1472">
        <f t="shared" ref="D14" si="104">C14</f>
        <v>336.47787264000004</v>
      </c>
      <c r="E14" s="1472">
        <f t="shared" ref="E14" si="105">E15*(1+P14)</f>
        <v>647.35186823999993</v>
      </c>
      <c r="F14" s="1472">
        <f t="shared" ref="F14" si="106">F15*(1+Q14)</f>
        <v>295.73229452000004</v>
      </c>
      <c r="G14" s="3302"/>
      <c r="H14" s="1460">
        <v>2</v>
      </c>
      <c r="I14" s="1460">
        <v>1.49</v>
      </c>
      <c r="J14" s="1460">
        <v>0.96</v>
      </c>
      <c r="K14" s="1460">
        <v>1.58</v>
      </c>
      <c r="L14" s="1474">
        <v>2.44</v>
      </c>
      <c r="M14" s="1466"/>
      <c r="N14" s="1467">
        <f t="shared" ref="N14" si="107">I14/100</f>
        <v>1.49E-2</v>
      </c>
      <c r="O14" s="1468">
        <f t="shared" ref="O14" si="108">J14/100</f>
        <v>9.5999999999999992E-3</v>
      </c>
      <c r="P14" s="1468">
        <f t="shared" ref="P14" si="109">K14/100</f>
        <v>1.5800000000000002E-2</v>
      </c>
      <c r="Q14" s="1468">
        <f t="shared" ref="Q14" si="110">L14/100</f>
        <v>2.4399999999999998E-2</v>
      </c>
      <c r="R14" s="1469"/>
      <c r="S14" s="1467"/>
      <c r="T14" s="1468"/>
      <c r="U14" s="1468"/>
      <c r="V14" s="1468"/>
      <c r="W14" s="1776"/>
      <c r="X14" s="1774">
        <f>ROUND(SUMPRODUCT(PRODUCT(1+N14:N$30)),4)</f>
        <v>1.4733000000000001</v>
      </c>
      <c r="Y14" s="1774">
        <f>ROUND(SUMPRODUCT(PRODUCT(1+O14:O$30)),4)</f>
        <v>1.3052999999999999</v>
      </c>
      <c r="Z14" s="1774">
        <f t="shared" ref="Z14" si="111">Y14</f>
        <v>1.3052999999999999</v>
      </c>
      <c r="AA14" s="1774">
        <f>ROUND(SUMPRODUCT(PRODUCT(1+P14:P$30)),4)</f>
        <v>1.5306999999999999</v>
      </c>
      <c r="AB14" s="1774">
        <f>ROUND(SUMPRODUCT(PRODUCT(1+Q14:Q$30)),4)</f>
        <v>1.2863</v>
      </c>
      <c r="AC14" s="1776"/>
      <c r="AD14" s="1775">
        <f>ROUND(AVERAGE(I14:I$31)/100,4)</f>
        <v>2.35E-2</v>
      </c>
      <c r="AE14" s="1775">
        <f>ROUND(AVERAGE(J14:J$31)/100,4)</f>
        <v>1.6199999999999999E-2</v>
      </c>
      <c r="AF14" s="1775">
        <f t="shared" ref="AF14" si="112">AE14</f>
        <v>1.6199999999999999E-2</v>
      </c>
      <c r="AG14" s="1775">
        <f>ROUND(AVERAGE(K14:K$31)/100,4)</f>
        <v>2.5899999999999999E-2</v>
      </c>
      <c r="AH14" s="1775">
        <f>ROUND(AVERAGE(L14:L$31)/100,4)</f>
        <v>1.49E-2</v>
      </c>
    </row>
    <row r="15" spans="1:34" s="1461" customFormat="1" ht="15" customHeight="1" thickBot="1">
      <c r="A15" s="1456" t="s">
        <v>3027</v>
      </c>
      <c r="B15" s="1472">
        <f t="shared" ref="B15" si="113">B16*(1+N15)</f>
        <v>446.46299999999997</v>
      </c>
      <c r="C15" s="1472">
        <f t="shared" ref="C15" si="114">C16*(1+O15)</f>
        <v>333.27840000000003</v>
      </c>
      <c r="D15" s="1472">
        <f t="shared" ref="D15" si="115">C15</f>
        <v>333.27840000000003</v>
      </c>
      <c r="E15" s="1472">
        <f t="shared" ref="E15" si="116">E16*(1+P15)</f>
        <v>637.28279999999995</v>
      </c>
      <c r="F15" s="1472">
        <f t="shared" ref="F15" si="117">F16*(1+Q15)</f>
        <v>288.68830000000003</v>
      </c>
      <c r="G15" s="3309"/>
      <c r="H15" s="1459">
        <v>1</v>
      </c>
      <c r="I15" s="1459">
        <v>1.7</v>
      </c>
      <c r="J15" s="1459">
        <v>1.92</v>
      </c>
      <c r="K15" s="1459">
        <v>1.64</v>
      </c>
      <c r="L15" s="1473">
        <v>2.0099999999999998</v>
      </c>
      <c r="M15" s="1466"/>
      <c r="N15" s="1467">
        <f t="shared" ref="N15:N20" si="118">I15/100</f>
        <v>1.7000000000000001E-2</v>
      </c>
      <c r="O15" s="1468">
        <f t="shared" ref="O15" si="119">J15/100</f>
        <v>1.9199999999999998E-2</v>
      </c>
      <c r="P15" s="1468">
        <f t="shared" ref="P15" si="120">K15/100</f>
        <v>1.6399999999999998E-2</v>
      </c>
      <c r="Q15" s="1468">
        <f t="shared" ref="Q15" si="121">L15/100</f>
        <v>2.0099999999999996E-2</v>
      </c>
      <c r="R15" s="1469"/>
      <c r="S15" s="1467">
        <f>B15/B16-1</f>
        <v>1.6999999999999904E-2</v>
      </c>
      <c r="T15" s="1468">
        <f t="shared" ref="T15" si="122">C15/C16-1</f>
        <v>1.9200000000000106E-2</v>
      </c>
      <c r="U15" s="1468">
        <f t="shared" ref="U15" si="123">D15/D16-1</f>
        <v>1.9200000000000106E-2</v>
      </c>
      <c r="V15" s="1468">
        <f t="shared" ref="V15" si="124">E15/E16-1</f>
        <v>1.639999999999997E-2</v>
      </c>
      <c r="W15" s="1776"/>
      <c r="X15" s="1774">
        <f>ROUND(SUMPRODUCT(PRODUCT(1+N15:N$30)),4)</f>
        <v>1.4517</v>
      </c>
      <c r="Y15" s="1774">
        <f>ROUND(SUMPRODUCT(PRODUCT(1+O15:O$30)),4)</f>
        <v>1.2928999999999999</v>
      </c>
      <c r="Z15" s="1774">
        <f t="shared" ref="Z15" si="125">Y15</f>
        <v>1.2928999999999999</v>
      </c>
      <c r="AA15" s="1774">
        <f>ROUND(SUMPRODUCT(PRODUCT(1+P15:P$30)),4)</f>
        <v>1.5068999999999999</v>
      </c>
      <c r="AB15" s="1774">
        <f>ROUND(SUMPRODUCT(PRODUCT(1+Q15:Q$30)),4)</f>
        <v>1.2557</v>
      </c>
      <c r="AC15" s="1776"/>
      <c r="AD15" s="1775">
        <f>ROUND(AVERAGE(I15:I$31)/100,4)</f>
        <v>2.4E-2</v>
      </c>
      <c r="AE15" s="1775">
        <f>ROUND(AVERAGE(J15:J$31)/100,4)</f>
        <v>1.66E-2</v>
      </c>
      <c r="AF15" s="1775">
        <f t="shared" ref="AF15" si="126">AE15</f>
        <v>1.66E-2</v>
      </c>
      <c r="AG15" s="1775">
        <f>ROUND(AVERAGE(K15:K$31)/100,4)</f>
        <v>2.6499999999999999E-2</v>
      </c>
      <c r="AH15" s="1775">
        <f>ROUND(AVERAGE(L15:L$31)/100,4)</f>
        <v>1.43E-2</v>
      </c>
    </row>
    <row r="16" spans="1:34">
      <c r="A16" s="1456" t="s">
        <v>3024</v>
      </c>
      <c r="B16" s="1464">
        <v>439</v>
      </c>
      <c r="C16" s="1464">
        <v>327</v>
      </c>
      <c r="D16" s="1464">
        <f>C16</f>
        <v>327</v>
      </c>
      <c r="E16" s="1464">
        <v>627</v>
      </c>
      <c r="F16" s="1465">
        <v>283</v>
      </c>
      <c r="G16" s="3305">
        <v>2017</v>
      </c>
      <c r="H16" s="1457">
        <v>4</v>
      </c>
      <c r="I16" s="1457">
        <v>1.71</v>
      </c>
      <c r="J16" s="1457">
        <v>1.78</v>
      </c>
      <c r="K16" s="1457">
        <v>1.71</v>
      </c>
      <c r="L16" s="1458">
        <v>1.43</v>
      </c>
      <c r="N16" s="1467">
        <f t="shared" si="118"/>
        <v>1.7100000000000001E-2</v>
      </c>
      <c r="O16" s="1468">
        <f t="shared" ref="O16" si="127">J16/100</f>
        <v>1.78E-2</v>
      </c>
      <c r="P16" s="1468">
        <f t="shared" ref="P16" si="128">K16/100</f>
        <v>1.7100000000000001E-2</v>
      </c>
      <c r="Q16" s="1468">
        <f t="shared" ref="Q16" si="129">L16/100</f>
        <v>1.43E-2</v>
      </c>
      <c r="R16" s="1469"/>
      <c r="S16" s="1470"/>
      <c r="T16" s="1471"/>
      <c r="U16" s="1471"/>
      <c r="V16" s="1471"/>
      <c r="X16" s="1454">
        <f>ROUND(SUMPRODUCT(PRODUCT(1+N16:N$30)),4)</f>
        <v>1.4274</v>
      </c>
      <c r="Y16" s="1454">
        <f>ROUND(SUMPRODUCT(PRODUCT(1+O16:O$30)),4)</f>
        <v>1.2685</v>
      </c>
      <c r="Z16" s="1454">
        <f t="shared" si="0"/>
        <v>1.2685</v>
      </c>
      <c r="AA16" s="1454">
        <f>ROUND(SUMPRODUCT(PRODUCT(1+P16:P$30)),4)</f>
        <v>1.4825999999999999</v>
      </c>
      <c r="AB16" s="1454">
        <f>ROUND(SUMPRODUCT(PRODUCT(1+Q16:Q$30)),4)</f>
        <v>1.2309000000000001</v>
      </c>
      <c r="AD16" s="1455">
        <f>ROUND(AVERAGE(I16:I$31)/100,4)</f>
        <v>2.4500000000000001E-2</v>
      </c>
      <c r="AE16" s="1455">
        <f>ROUND(AVERAGE(J16:J$31)/100,4)</f>
        <v>1.6500000000000001E-2</v>
      </c>
      <c r="AF16" s="1455">
        <f t="shared" si="1"/>
        <v>1.6500000000000001E-2</v>
      </c>
      <c r="AG16" s="1455">
        <f>ROUND(AVERAGE(K16:K$31)/100,4)</f>
        <v>2.7099999999999999E-2</v>
      </c>
      <c r="AH16" s="1455">
        <f>ROUND(AVERAGE(L16:L$31)/100,4)</f>
        <v>1.3899999999999999E-2</v>
      </c>
    </row>
    <row r="17" spans="1:34" s="1461" customFormat="1" ht="14.4" customHeight="1">
      <c r="A17" s="1456" t="s">
        <v>3025</v>
      </c>
      <c r="B17" s="1472">
        <f t="shared" ref="B17:B18" si="130">B18*(1+N17)</f>
        <v>431.80730811680002</v>
      </c>
      <c r="C17" s="1472">
        <f t="shared" ref="C17:C18" si="131">C18*(1+O17)</f>
        <v>320.57880516480003</v>
      </c>
      <c r="D17" s="1472">
        <f t="shared" ref="D17:D18" si="132">C17</f>
        <v>320.57880516480003</v>
      </c>
      <c r="E17" s="1472">
        <f t="shared" ref="E17:E18" si="133">E18*(1+P17)</f>
        <v>615.96110553196797</v>
      </c>
      <c r="F17" s="1472">
        <f t="shared" ref="F17:F18" si="134">F18*(1+Q17)</f>
        <v>279.46777300108801</v>
      </c>
      <c r="G17" s="3302"/>
      <c r="H17" s="1459">
        <v>3</v>
      </c>
      <c r="I17" s="1459">
        <v>2.98</v>
      </c>
      <c r="J17" s="1459">
        <v>2.11</v>
      </c>
      <c r="K17" s="1459">
        <v>3.24</v>
      </c>
      <c r="L17" s="1473">
        <v>1.72</v>
      </c>
      <c r="M17" s="1466"/>
      <c r="N17" s="1467">
        <f t="shared" si="118"/>
        <v>2.98E-2</v>
      </c>
      <c r="O17" s="1468">
        <f t="shared" ref="O17" si="135">J17/100</f>
        <v>2.1099999999999997E-2</v>
      </c>
      <c r="P17" s="1468">
        <f t="shared" ref="P17" si="136">K17/100</f>
        <v>3.2400000000000005E-2</v>
      </c>
      <c r="Q17" s="1468">
        <f t="shared" ref="Q17" si="137">L17/100</f>
        <v>1.72E-2</v>
      </c>
      <c r="R17" s="1469"/>
      <c r="S17" s="1467"/>
      <c r="T17" s="1468"/>
      <c r="U17" s="1468"/>
      <c r="V17" s="1468"/>
      <c r="W17" s="1776"/>
      <c r="X17" s="1774">
        <f>ROUND(SUMPRODUCT(PRODUCT(1+N17:N$30)),4)</f>
        <v>1.4034</v>
      </c>
      <c r="Y17" s="1774">
        <f>ROUND(SUMPRODUCT(PRODUCT(1+O17:O$30)),4)</f>
        <v>1.2463</v>
      </c>
      <c r="Z17" s="1774">
        <f t="shared" si="0"/>
        <v>1.2463</v>
      </c>
      <c r="AA17" s="1774">
        <f>ROUND(SUMPRODUCT(PRODUCT(1+P17:P$30)),4)</f>
        <v>1.4577</v>
      </c>
      <c r="AB17" s="1774">
        <f>ROUND(SUMPRODUCT(PRODUCT(1+Q17:Q$30)),4)</f>
        <v>1.2136</v>
      </c>
      <c r="AC17" s="1776"/>
      <c r="AD17" s="1775">
        <f>ROUND(AVERAGE(I17:I$31)/100,4)</f>
        <v>2.4899999999999999E-2</v>
      </c>
      <c r="AE17" s="1775">
        <f>ROUND(AVERAGE(J17:J$31)/100,4)</f>
        <v>1.6400000000000001E-2</v>
      </c>
      <c r="AF17" s="1775">
        <f t="shared" si="1"/>
        <v>1.6400000000000001E-2</v>
      </c>
      <c r="AG17" s="1775">
        <f>ROUND(AVERAGE(K17:K$31)/100,4)</f>
        <v>2.7799999999999998E-2</v>
      </c>
      <c r="AH17" s="1775">
        <f>ROUND(AVERAGE(L17:L$31)/100,4)</f>
        <v>1.3899999999999999E-2</v>
      </c>
    </row>
    <row r="18" spans="1:34" s="1725" customFormat="1" ht="14.4" customHeight="1">
      <c r="A18" s="1456" t="s">
        <v>1380</v>
      </c>
      <c r="B18" s="1472">
        <f t="shared" si="130"/>
        <v>419.31181600000002</v>
      </c>
      <c r="C18" s="1472">
        <f t="shared" si="131"/>
        <v>313.95436800000004</v>
      </c>
      <c r="D18" s="1472">
        <f t="shared" si="132"/>
        <v>313.95436800000004</v>
      </c>
      <c r="E18" s="1472">
        <f t="shared" si="133"/>
        <v>596.63028431999999</v>
      </c>
      <c r="F18" s="1472">
        <f t="shared" si="134"/>
        <v>274.74220703999998</v>
      </c>
      <c r="G18" s="3302"/>
      <c r="H18" s="1460">
        <v>2</v>
      </c>
      <c r="I18" s="1460">
        <v>3.4</v>
      </c>
      <c r="J18" s="1460">
        <v>2</v>
      </c>
      <c r="K18" s="1460">
        <v>3.82</v>
      </c>
      <c r="L18" s="1474">
        <v>1.68</v>
      </c>
      <c r="M18" s="1466"/>
      <c r="N18" s="1467">
        <f t="shared" si="118"/>
        <v>3.4000000000000002E-2</v>
      </c>
      <c r="O18" s="1468">
        <f t="shared" ref="O18" si="138">J18/100</f>
        <v>0.02</v>
      </c>
      <c r="P18" s="1468">
        <f t="shared" ref="P18" si="139">K18/100</f>
        <v>3.8199999999999998E-2</v>
      </c>
      <c r="Q18" s="1468">
        <f t="shared" ref="Q18" si="140">L18/100</f>
        <v>1.6799999999999999E-2</v>
      </c>
      <c r="R18" s="1469"/>
      <c r="S18" s="1470"/>
      <c r="T18" s="1471"/>
      <c r="U18" s="1471"/>
      <c r="V18" s="1471"/>
      <c r="W18" s="1448"/>
      <c r="X18" s="1774">
        <f>ROUND(SUMPRODUCT(PRODUCT(1+N18:N$30)),4)</f>
        <v>1.3628</v>
      </c>
      <c r="Y18" s="1774">
        <f>ROUND(SUMPRODUCT(PRODUCT(1+O18:O$30)),4)</f>
        <v>1.2205999999999999</v>
      </c>
      <c r="Z18" s="1774">
        <f t="shared" si="0"/>
        <v>1.2205999999999999</v>
      </c>
      <c r="AA18" s="1774">
        <f>ROUND(SUMPRODUCT(PRODUCT(1+P18:P$30)),4)</f>
        <v>1.4118999999999999</v>
      </c>
      <c r="AB18" s="1774">
        <f>ROUND(SUMPRODUCT(PRODUCT(1+Q18:Q$30)),4)</f>
        <v>1.1930000000000001</v>
      </c>
      <c r="AC18" s="1448"/>
      <c r="AD18" s="1775">
        <f>ROUND(AVERAGE(I18:I$31)/100,4)</f>
        <v>2.46E-2</v>
      </c>
      <c r="AE18" s="1775">
        <f>ROUND(AVERAGE(J18:J$31)/100,4)</f>
        <v>1.6E-2</v>
      </c>
      <c r="AF18" s="1775">
        <f t="shared" si="1"/>
        <v>1.6E-2</v>
      </c>
      <c r="AG18" s="1775">
        <f>ROUND(AVERAGE(K18:K$31)/100,4)</f>
        <v>2.75E-2</v>
      </c>
      <c r="AH18" s="1775">
        <f>ROUND(AVERAGE(L18:L$31)/100,4)</f>
        <v>1.37E-2</v>
      </c>
    </row>
    <row r="19" spans="1:34" s="1461" customFormat="1" ht="15" customHeight="1" thickBot="1">
      <c r="A19" s="1456" t="s">
        <v>1156</v>
      </c>
      <c r="B19" s="1472">
        <f>B20*(1+N19)</f>
        <v>405.524</v>
      </c>
      <c r="C19" s="1472">
        <f>C20*(1+O19)</f>
        <v>307.79840000000002</v>
      </c>
      <c r="D19" s="1472">
        <f>C19</f>
        <v>307.79840000000002</v>
      </c>
      <c r="E19" s="1472">
        <f>E20*(1+P19)</f>
        <v>574.67759999999998</v>
      </c>
      <c r="F19" s="1472">
        <f>F20*(1+Q19)</f>
        <v>270.20280000000002</v>
      </c>
      <c r="G19" s="3309"/>
      <c r="H19" s="1459">
        <v>1</v>
      </c>
      <c r="I19" s="1459">
        <v>3.45</v>
      </c>
      <c r="J19" s="1459">
        <v>1.92</v>
      </c>
      <c r="K19" s="1459">
        <v>3.92</v>
      </c>
      <c r="L19" s="1473">
        <v>1.58</v>
      </c>
      <c r="M19" s="1466"/>
      <c r="N19" s="1467">
        <f t="shared" si="118"/>
        <v>3.4500000000000003E-2</v>
      </c>
      <c r="O19" s="1468">
        <f t="shared" ref="O19:Q34" si="141">J19/100</f>
        <v>1.9199999999999998E-2</v>
      </c>
      <c r="P19" s="1468">
        <f t="shared" si="141"/>
        <v>3.9199999999999999E-2</v>
      </c>
      <c r="Q19" s="1468">
        <f t="shared" si="141"/>
        <v>1.5800000000000002E-2</v>
      </c>
      <c r="R19" s="1469"/>
      <c r="S19" s="1467">
        <f>B19/B20-1</f>
        <v>3.4499999999999975E-2</v>
      </c>
      <c r="T19" s="1468">
        <f t="shared" ref="T19:V19" si="142">C19/C20-1</f>
        <v>1.9200000000000106E-2</v>
      </c>
      <c r="U19" s="1468">
        <f t="shared" si="142"/>
        <v>1.9200000000000106E-2</v>
      </c>
      <c r="V19" s="1468">
        <f t="shared" si="142"/>
        <v>3.9199999999999902E-2</v>
      </c>
      <c r="W19" s="1776"/>
      <c r="X19" s="1774">
        <f>ROUND(SUMPRODUCT(PRODUCT(1+N19:N$30)),4)</f>
        <v>1.3180000000000001</v>
      </c>
      <c r="Y19" s="1774">
        <f>ROUND(SUMPRODUCT(PRODUCT(1+O19:O$30)),4)</f>
        <v>1.1966000000000001</v>
      </c>
      <c r="Z19" s="1774">
        <f t="shared" si="0"/>
        <v>1.1966000000000001</v>
      </c>
      <c r="AA19" s="1774">
        <f>ROUND(SUMPRODUCT(PRODUCT(1+P19:P$30)),4)</f>
        <v>1.36</v>
      </c>
      <c r="AB19" s="1774">
        <f>ROUND(SUMPRODUCT(PRODUCT(1+Q19:Q$30)),4)</f>
        <v>1.1733</v>
      </c>
      <c r="AC19" s="1776"/>
      <c r="AD19" s="1775">
        <f>ROUND(AVERAGE(I19:I$31)/100,4)</f>
        <v>2.3900000000000001E-2</v>
      </c>
      <c r="AE19" s="1775">
        <f>ROUND(AVERAGE(J19:J$31)/100,4)</f>
        <v>1.5699999999999999E-2</v>
      </c>
      <c r="AF19" s="1775">
        <f t="shared" si="1"/>
        <v>1.5699999999999999E-2</v>
      </c>
      <c r="AG19" s="1775">
        <f>ROUND(AVERAGE(K19:K$31)/100,4)</f>
        <v>2.6599999999999999E-2</v>
      </c>
      <c r="AH19" s="1775">
        <f>ROUND(AVERAGE(L19:L$31)/100,4)</f>
        <v>1.34E-2</v>
      </c>
    </row>
    <row r="20" spans="1:34">
      <c r="A20" s="1456" t="s">
        <v>154</v>
      </c>
      <c r="B20" s="1464">
        <v>392</v>
      </c>
      <c r="C20" s="1464">
        <v>302</v>
      </c>
      <c r="D20" s="1464">
        <f>C20</f>
        <v>302</v>
      </c>
      <c r="E20" s="1464">
        <v>553</v>
      </c>
      <c r="F20" s="1465">
        <v>266</v>
      </c>
      <c r="G20" s="3305">
        <v>2016</v>
      </c>
      <c r="H20" s="1457">
        <v>4</v>
      </c>
      <c r="I20" s="1457">
        <v>4.5599999999999996</v>
      </c>
      <c r="J20" s="1457">
        <v>2.15</v>
      </c>
      <c r="K20" s="1457">
        <v>5.32</v>
      </c>
      <c r="L20" s="1458">
        <v>1.57</v>
      </c>
      <c r="N20" s="1467">
        <f t="shared" si="118"/>
        <v>4.5599999999999995E-2</v>
      </c>
      <c r="O20" s="1468">
        <f t="shared" si="141"/>
        <v>2.1499999999999998E-2</v>
      </c>
      <c r="P20" s="1468">
        <f t="shared" si="141"/>
        <v>5.3200000000000004E-2</v>
      </c>
      <c r="Q20" s="1468">
        <f t="shared" si="141"/>
        <v>1.5700000000000002E-2</v>
      </c>
      <c r="R20" s="1469"/>
      <c r="S20" s="1470"/>
      <c r="T20" s="1471"/>
      <c r="U20" s="1471"/>
      <c r="V20" s="1471"/>
      <c r="X20" s="1454">
        <f>ROUND(SUMPRODUCT(PRODUCT(1+N20:N$30)),4)</f>
        <v>1.274</v>
      </c>
      <c r="Y20" s="1454">
        <f>ROUND(SUMPRODUCT(PRODUCT(1+O20:O$30)),4)</f>
        <v>1.1740999999999999</v>
      </c>
      <c r="Z20" s="1454">
        <f t="shared" si="0"/>
        <v>1.1740999999999999</v>
      </c>
      <c r="AA20" s="1454">
        <f>ROUND(SUMPRODUCT(PRODUCT(1+P20:P$30)),4)</f>
        <v>1.3087</v>
      </c>
      <c r="AB20" s="1454">
        <f>ROUND(SUMPRODUCT(PRODUCT(1+Q20:Q$30)),4)</f>
        <v>1.1551</v>
      </c>
      <c r="AD20" s="1455">
        <f>ROUND(AVERAGE(I20:I$31)/100,4)</f>
        <v>2.3E-2</v>
      </c>
      <c r="AE20" s="1455">
        <f>ROUND(AVERAGE(J20:J$31)/100,4)</f>
        <v>1.55E-2</v>
      </c>
      <c r="AF20" s="1455">
        <f t="shared" si="1"/>
        <v>1.55E-2</v>
      </c>
      <c r="AG20" s="1455">
        <f>ROUND(AVERAGE(K20:K$31)/100,4)</f>
        <v>2.5600000000000001E-2</v>
      </c>
      <c r="AH20" s="1455">
        <f>ROUND(AVERAGE(L20:L$31)/100,4)</f>
        <v>1.32E-2</v>
      </c>
    </row>
    <row r="21" spans="1:34">
      <c r="A21" s="1456" t="s">
        <v>153</v>
      </c>
      <c r="B21" s="1472">
        <f t="shared" ref="B21:C23" si="143">B20/(1+N20)</f>
        <v>374.90436113236416</v>
      </c>
      <c r="C21" s="1472">
        <f t="shared" si="143"/>
        <v>295.64366128242779</v>
      </c>
      <c r="D21" s="1472">
        <f t="shared" ref="D21:D80" si="144">C21</f>
        <v>295.64366128242779</v>
      </c>
      <c r="E21" s="1472">
        <f t="shared" ref="E21:F23" si="145">E20/(1+P20)</f>
        <v>525.06646410938095</v>
      </c>
      <c r="F21" s="1472">
        <f t="shared" si="145"/>
        <v>261.88835286009646</v>
      </c>
      <c r="G21" s="3302"/>
      <c r="H21" s="1459">
        <v>3</v>
      </c>
      <c r="I21" s="1459">
        <v>4.12</v>
      </c>
      <c r="J21" s="1459">
        <v>2</v>
      </c>
      <c r="K21" s="1459">
        <v>4.79</v>
      </c>
      <c r="L21" s="1473">
        <v>1.97</v>
      </c>
      <c r="N21" s="1467">
        <f t="shared" ref="N21:Q55" si="146">I21/100</f>
        <v>4.1200000000000001E-2</v>
      </c>
      <c r="O21" s="1468">
        <f t="shared" si="141"/>
        <v>0.02</v>
      </c>
      <c r="P21" s="1468">
        <f t="shared" si="141"/>
        <v>4.7899999999999998E-2</v>
      </c>
      <c r="Q21" s="1468">
        <f t="shared" si="141"/>
        <v>1.9699999999999999E-2</v>
      </c>
      <c r="R21" s="1469"/>
      <c r="S21" s="1467"/>
      <c r="T21" s="1468"/>
      <c r="U21" s="1468"/>
      <c r="V21" s="1468"/>
      <c r="X21" s="1454">
        <f>ROUND(SUMPRODUCT(PRODUCT(1+N21:N$30)),4)</f>
        <v>1.2184999999999999</v>
      </c>
      <c r="Y21" s="1454">
        <f>ROUND(SUMPRODUCT(PRODUCT(1+O21:O$30)),4)</f>
        <v>1.1494</v>
      </c>
      <c r="Z21" s="1454">
        <f t="shared" si="0"/>
        <v>1.1494</v>
      </c>
      <c r="AA21" s="1454">
        <f>ROUND(SUMPRODUCT(PRODUCT(1+P21:P$30)),4)</f>
        <v>1.2425999999999999</v>
      </c>
      <c r="AB21" s="1454">
        <f>ROUND(SUMPRODUCT(PRODUCT(1+Q21:Q$30)),4)</f>
        <v>1.1372</v>
      </c>
      <c r="AD21" s="1455">
        <f>ROUND(AVERAGE(I21:I$31)/100,4)</f>
        <v>2.0899999999999998E-2</v>
      </c>
      <c r="AE21" s="1455">
        <f>ROUND(AVERAGE(J21:J$31)/100,4)</f>
        <v>1.49E-2</v>
      </c>
      <c r="AF21" s="1455">
        <f t="shared" si="1"/>
        <v>1.49E-2</v>
      </c>
      <c r="AG21" s="1455">
        <f>ROUND(AVERAGE(K21:K$31)/100,4)</f>
        <v>2.3099999999999999E-2</v>
      </c>
      <c r="AH21" s="1455">
        <f>ROUND(AVERAGE(L21:L$31)/100,4)</f>
        <v>1.2999999999999999E-2</v>
      </c>
    </row>
    <row r="22" spans="1:34">
      <c r="A22" s="1456" t="s">
        <v>143</v>
      </c>
      <c r="B22" s="1472">
        <f t="shared" si="143"/>
        <v>360.06949782209392</v>
      </c>
      <c r="C22" s="1472">
        <f t="shared" si="143"/>
        <v>289.84672674747821</v>
      </c>
      <c r="D22" s="1472">
        <f t="shared" si="144"/>
        <v>289.84672674747821</v>
      </c>
      <c r="E22" s="1472">
        <f t="shared" si="145"/>
        <v>501.06543001181495</v>
      </c>
      <c r="F22" s="1472">
        <f t="shared" si="145"/>
        <v>256.82882500744967</v>
      </c>
      <c r="G22" s="3302"/>
      <c r="H22" s="1460">
        <v>2</v>
      </c>
      <c r="I22" s="1460">
        <v>3.85</v>
      </c>
      <c r="J22" s="1460">
        <v>1.95</v>
      </c>
      <c r="K22" s="1460">
        <v>4.4800000000000004</v>
      </c>
      <c r="L22" s="1474">
        <v>1.41</v>
      </c>
      <c r="N22" s="1467">
        <f t="shared" si="146"/>
        <v>3.85E-2</v>
      </c>
      <c r="O22" s="1468">
        <f t="shared" si="141"/>
        <v>1.95E-2</v>
      </c>
      <c r="P22" s="1468">
        <f t="shared" si="141"/>
        <v>4.4800000000000006E-2</v>
      </c>
      <c r="Q22" s="1468">
        <f t="shared" si="141"/>
        <v>1.41E-2</v>
      </c>
      <c r="R22" s="1469"/>
      <c r="S22" s="1467"/>
      <c r="T22" s="1468"/>
      <c r="U22" s="1468"/>
      <c r="V22" s="1468"/>
      <c r="X22" s="1454">
        <f>ROUND(SUMPRODUCT(PRODUCT(1+N22:N$30)),4)</f>
        <v>1.1702999999999999</v>
      </c>
      <c r="Y22" s="1454">
        <f>ROUND(SUMPRODUCT(PRODUCT(1+O22:O$30)),4)</f>
        <v>1.1269</v>
      </c>
      <c r="Z22" s="1454">
        <f t="shared" si="0"/>
        <v>1.1269</v>
      </c>
      <c r="AA22" s="1454">
        <f>ROUND(SUMPRODUCT(PRODUCT(1+P22:P$30)),4)</f>
        <v>1.1858</v>
      </c>
      <c r="AB22" s="1454">
        <f>ROUND(SUMPRODUCT(PRODUCT(1+Q22:Q$30)),4)</f>
        <v>1.1152</v>
      </c>
      <c r="AD22" s="1455">
        <f>ROUND(AVERAGE(I22:I$31)/100,4)</f>
        <v>1.89E-2</v>
      </c>
      <c r="AE22" s="1455">
        <f>ROUND(AVERAGE(J22:J$31)/100,4)</f>
        <v>1.44E-2</v>
      </c>
      <c r="AF22" s="1455">
        <f t="shared" si="1"/>
        <v>1.44E-2</v>
      </c>
      <c r="AG22" s="1455">
        <f>ROUND(AVERAGE(K22:K$31)/100,4)</f>
        <v>2.06E-2</v>
      </c>
      <c r="AH22" s="1455">
        <f>ROUND(AVERAGE(L22:L$31)/100,4)</f>
        <v>1.23E-2</v>
      </c>
    </row>
    <row r="23" spans="1:34" ht="13.8" thickBot="1">
      <c r="A23" s="1456" t="s">
        <v>152</v>
      </c>
      <c r="B23" s="1472">
        <f t="shared" si="143"/>
        <v>346.720748986128</v>
      </c>
      <c r="C23" s="1472">
        <f t="shared" si="143"/>
        <v>284.30282172386285</v>
      </c>
      <c r="D23" s="1472">
        <f t="shared" si="144"/>
        <v>284.30282172386285</v>
      </c>
      <c r="E23" s="1472">
        <f t="shared" si="145"/>
        <v>479.58023546306947</v>
      </c>
      <c r="F23" s="1472">
        <f t="shared" si="145"/>
        <v>253.25788877571213</v>
      </c>
      <c r="G23" s="3303"/>
      <c r="H23" s="1459">
        <v>1</v>
      </c>
      <c r="I23" s="1459">
        <v>4.09</v>
      </c>
      <c r="J23" s="1459">
        <v>2.93</v>
      </c>
      <c r="K23" s="1459">
        <v>4.54</v>
      </c>
      <c r="L23" s="1473">
        <v>1.48</v>
      </c>
      <c r="N23" s="1467">
        <f t="shared" si="146"/>
        <v>4.0899999999999999E-2</v>
      </c>
      <c r="O23" s="1468">
        <f t="shared" si="141"/>
        <v>2.9300000000000003E-2</v>
      </c>
      <c r="P23" s="1468">
        <f t="shared" si="141"/>
        <v>4.5400000000000003E-2</v>
      </c>
      <c r="Q23" s="1468">
        <f t="shared" si="141"/>
        <v>1.4800000000000001E-2</v>
      </c>
      <c r="R23" s="1469"/>
      <c r="S23" s="1475">
        <f>B23/B24-1</f>
        <v>4.1203450408792808E-2</v>
      </c>
      <c r="T23" s="1476">
        <f>C23/C24-1</f>
        <v>2.6363977342465095E-2</v>
      </c>
      <c r="U23" s="1476">
        <f>E23/E24-1</f>
        <v>4.4837114298626357E-2</v>
      </c>
      <c r="V23" s="1476">
        <f>F23/F24-1</f>
        <v>1.7099954922538574E-2</v>
      </c>
      <c r="X23" s="1454">
        <f>ROUND(SUMPRODUCT(PRODUCT(1+N23:N$30)),4)</f>
        <v>1.1269</v>
      </c>
      <c r="Y23" s="1454">
        <f>ROUND(SUMPRODUCT(PRODUCT(1+O23:O$30)),4)</f>
        <v>1.1052999999999999</v>
      </c>
      <c r="Z23" s="1454">
        <f t="shared" si="0"/>
        <v>1.1052999999999999</v>
      </c>
      <c r="AA23" s="1454">
        <f>ROUND(SUMPRODUCT(PRODUCT(1+P23:P$30)),4)</f>
        <v>1.1349</v>
      </c>
      <c r="AB23" s="1454">
        <f>ROUND(SUMPRODUCT(PRODUCT(1+Q23:Q$30)),4)</f>
        <v>1.0996999999999999</v>
      </c>
      <c r="AD23" s="1455">
        <f>ROUND(AVERAGE(I23:I$31)/100,4)</f>
        <v>1.67E-2</v>
      </c>
      <c r="AE23" s="1455">
        <f>ROUND(AVERAGE(J23:J$31)/100,4)</f>
        <v>1.38E-2</v>
      </c>
      <c r="AF23" s="1455">
        <f t="shared" si="1"/>
        <v>1.38E-2</v>
      </c>
      <c r="AG23" s="1455">
        <f>ROUND(AVERAGE(K23:K$31)/100,4)</f>
        <v>1.7899999999999999E-2</v>
      </c>
      <c r="AH23" s="1455">
        <f>ROUND(AVERAGE(L23:L$31)/100,4)</f>
        <v>1.21E-2</v>
      </c>
    </row>
    <row r="24" spans="1:34" ht="13.8" thickBot="1">
      <c r="A24" s="1456" t="s">
        <v>151</v>
      </c>
      <c r="B24" s="1464">
        <v>333</v>
      </c>
      <c r="C24" s="1464">
        <v>277</v>
      </c>
      <c r="D24" s="1464">
        <f t="shared" si="144"/>
        <v>277</v>
      </c>
      <c r="E24" s="1464">
        <v>459</v>
      </c>
      <c r="F24" s="1465">
        <v>249</v>
      </c>
      <c r="G24" s="3301">
        <v>2015</v>
      </c>
      <c r="H24" s="1477">
        <v>4</v>
      </c>
      <c r="I24" s="1477">
        <v>1.63</v>
      </c>
      <c r="J24" s="1477">
        <v>1.1100000000000001</v>
      </c>
      <c r="K24" s="1477">
        <v>1.77</v>
      </c>
      <c r="L24" s="1478">
        <v>1.89</v>
      </c>
      <c r="N24" s="1479">
        <f t="shared" si="146"/>
        <v>1.6299999999999999E-2</v>
      </c>
      <c r="O24" s="1480">
        <f t="shared" si="141"/>
        <v>1.11E-2</v>
      </c>
      <c r="P24" s="1480">
        <f t="shared" si="141"/>
        <v>1.77E-2</v>
      </c>
      <c r="Q24" s="1480">
        <f t="shared" si="141"/>
        <v>1.89E-2</v>
      </c>
      <c r="R24" s="1469"/>
      <c r="X24" s="1454">
        <f>ROUND(SUMPRODUCT(PRODUCT(1+N24:N$30)),4)</f>
        <v>1.0826</v>
      </c>
      <c r="Y24" s="1454">
        <f>ROUND(SUMPRODUCT(PRODUCT(1+O24:O$30)),4)</f>
        <v>1.0738000000000001</v>
      </c>
      <c r="Z24" s="1454">
        <f t="shared" si="0"/>
        <v>1.0738000000000001</v>
      </c>
      <c r="AA24" s="1454">
        <f>ROUND(SUMPRODUCT(PRODUCT(1+P24:P$30)),4)</f>
        <v>1.0855999999999999</v>
      </c>
      <c r="AB24" s="1454">
        <f>ROUND(SUMPRODUCT(PRODUCT(1+Q24:Q$30)),4)</f>
        <v>1.0837000000000001</v>
      </c>
      <c r="AD24" s="1455">
        <f>ROUND(AVERAGE(I24:I$31)/100,4)</f>
        <v>1.37E-2</v>
      </c>
      <c r="AE24" s="1455">
        <f>ROUND(AVERAGE(J24:J$31)/100,4)</f>
        <v>1.1900000000000001E-2</v>
      </c>
      <c r="AF24" s="1455">
        <f t="shared" si="1"/>
        <v>1.1900000000000001E-2</v>
      </c>
      <c r="AG24" s="1455">
        <f>ROUND(AVERAGE(K24:K$31)/100,4)</f>
        <v>1.4500000000000001E-2</v>
      </c>
      <c r="AH24" s="1455">
        <f>ROUND(AVERAGE(L24:L$31)/100,4)</f>
        <v>1.18E-2</v>
      </c>
    </row>
    <row r="25" spans="1:34">
      <c r="A25" s="1456" t="s">
        <v>150</v>
      </c>
      <c r="B25" s="1472">
        <f t="shared" ref="B25:C27" si="147">B24/(1+N24)</f>
        <v>327.65915576109415</v>
      </c>
      <c r="C25" s="1472">
        <f t="shared" si="147"/>
        <v>273.95905449510434</v>
      </c>
      <c r="D25" s="1472">
        <f t="shared" si="144"/>
        <v>273.95905449510434</v>
      </c>
      <c r="E25" s="1472">
        <f t="shared" ref="E25:F27" si="148">E24/(1+P24)</f>
        <v>451.01699911565294</v>
      </c>
      <c r="F25" s="1472">
        <f t="shared" si="148"/>
        <v>244.38119540681129</v>
      </c>
      <c r="G25" s="3302"/>
      <c r="H25" s="1482">
        <v>3</v>
      </c>
      <c r="I25" s="1482">
        <v>1.65</v>
      </c>
      <c r="J25" s="1482">
        <v>0.92</v>
      </c>
      <c r="K25" s="1482">
        <v>1.88</v>
      </c>
      <c r="L25" s="1483">
        <v>1.26</v>
      </c>
      <c r="N25" s="1467">
        <f t="shared" si="146"/>
        <v>1.6500000000000001E-2</v>
      </c>
      <c r="O25" s="1484">
        <f t="shared" si="141"/>
        <v>9.1999999999999998E-3</v>
      </c>
      <c r="P25" s="1484">
        <f t="shared" si="141"/>
        <v>1.8799999999999997E-2</v>
      </c>
      <c r="Q25" s="1484">
        <f t="shared" si="141"/>
        <v>1.26E-2</v>
      </c>
      <c r="R25" s="1469"/>
      <c r="S25" s="1467"/>
      <c r="T25" s="1468"/>
      <c r="U25" s="1468"/>
      <c r="V25" s="1468"/>
      <c r="X25" s="1454">
        <f>ROUND(SUMPRODUCT(PRODUCT(1+N25:N$30)),4)</f>
        <v>1.0651999999999999</v>
      </c>
      <c r="Y25" s="1454">
        <f>ROUND(SUMPRODUCT(PRODUCT(1+O25:O$30)),4)</f>
        <v>1.0621</v>
      </c>
      <c r="Z25" s="1454">
        <f t="shared" si="0"/>
        <v>1.0621</v>
      </c>
      <c r="AA25" s="1454">
        <f>ROUND(SUMPRODUCT(PRODUCT(1+P25:P$30)),4)</f>
        <v>1.0668</v>
      </c>
      <c r="AB25" s="1454">
        <f>ROUND(SUMPRODUCT(PRODUCT(1+Q25:Q$30)),4)</f>
        <v>1.0636000000000001</v>
      </c>
      <c r="AD25" s="1455">
        <f>ROUND(AVERAGE(I25:I$31)/100,4)</f>
        <v>1.3299999999999999E-2</v>
      </c>
      <c r="AE25" s="1455">
        <f>ROUND(AVERAGE(J25:J$31)/100,4)</f>
        <v>1.2E-2</v>
      </c>
      <c r="AF25" s="1455">
        <f t="shared" si="1"/>
        <v>1.2E-2</v>
      </c>
      <c r="AG25" s="1455">
        <f>ROUND(AVERAGE(K25:K$31)/100,4)</f>
        <v>1.4E-2</v>
      </c>
      <c r="AH25" s="1455">
        <f>ROUND(AVERAGE(L25:L$31)/100,4)</f>
        <v>1.0800000000000001E-2</v>
      </c>
    </row>
    <row r="26" spans="1:34">
      <c r="A26" s="1456" t="s">
        <v>149</v>
      </c>
      <c r="B26" s="1472">
        <f t="shared" si="147"/>
        <v>322.34053690220776</v>
      </c>
      <c r="C26" s="1472">
        <f t="shared" si="147"/>
        <v>271.46160770422546</v>
      </c>
      <c r="D26" s="1472">
        <f t="shared" si="144"/>
        <v>271.46160770422546</v>
      </c>
      <c r="E26" s="1472">
        <f t="shared" si="148"/>
        <v>442.69434542172456</v>
      </c>
      <c r="F26" s="1472">
        <f t="shared" si="148"/>
        <v>241.34030753190925</v>
      </c>
      <c r="G26" s="3302"/>
      <c r="H26" s="1460">
        <v>2</v>
      </c>
      <c r="I26" s="1460">
        <v>0.77</v>
      </c>
      <c r="J26" s="1460">
        <v>0.69</v>
      </c>
      <c r="K26" s="1460">
        <v>0.8</v>
      </c>
      <c r="L26" s="1474">
        <v>0.88</v>
      </c>
      <c r="N26" s="1467">
        <f t="shared" si="146"/>
        <v>7.7000000000000002E-3</v>
      </c>
      <c r="O26" s="1484">
        <f t="shared" si="141"/>
        <v>6.8999999999999999E-3</v>
      </c>
      <c r="P26" s="1484">
        <f t="shared" si="141"/>
        <v>8.0000000000000002E-3</v>
      </c>
      <c r="Q26" s="1484">
        <f t="shared" si="141"/>
        <v>8.8000000000000005E-3</v>
      </c>
      <c r="R26" s="1469"/>
      <c r="S26" s="1467"/>
      <c r="T26" s="1468"/>
      <c r="U26" s="1468"/>
      <c r="V26" s="1468"/>
      <c r="X26" s="1454">
        <f>ROUND(SUMPRODUCT(PRODUCT(1+N26:N$30)),4)</f>
        <v>1.048</v>
      </c>
      <c r="Y26" s="1454">
        <f>ROUND(SUMPRODUCT(PRODUCT(1+O26:O$30)),4)</f>
        <v>1.0524</v>
      </c>
      <c r="Z26" s="1454">
        <f t="shared" si="0"/>
        <v>1.0524</v>
      </c>
      <c r="AA26" s="1454">
        <f>ROUND(SUMPRODUCT(PRODUCT(1+P26:P$30)),4)</f>
        <v>1.0470999999999999</v>
      </c>
      <c r="AB26" s="1454">
        <f>ROUND(SUMPRODUCT(PRODUCT(1+Q26:Q$30)),4)</f>
        <v>1.0504</v>
      </c>
      <c r="AD26" s="1455">
        <f>ROUND(AVERAGE(I26:I$31)/100,4)</f>
        <v>1.2800000000000001E-2</v>
      </c>
      <c r="AE26" s="1455">
        <f>ROUND(AVERAGE(J26:J$31)/100,4)</f>
        <v>1.2500000000000001E-2</v>
      </c>
      <c r="AF26" s="1455">
        <f t="shared" si="1"/>
        <v>1.2500000000000001E-2</v>
      </c>
      <c r="AG26" s="1455">
        <f>ROUND(AVERAGE(K26:K$31)/100,4)</f>
        <v>1.32E-2</v>
      </c>
      <c r="AH26" s="1455">
        <f>ROUND(AVERAGE(L26:L$31)/100,4)</f>
        <v>1.0500000000000001E-2</v>
      </c>
    </row>
    <row r="27" spans="1:34">
      <c r="A27" s="1456" t="s">
        <v>148</v>
      </c>
      <c r="B27" s="1472">
        <f t="shared" si="147"/>
        <v>319.87748030386797</v>
      </c>
      <c r="C27" s="1472">
        <f t="shared" si="147"/>
        <v>269.60135833173649</v>
      </c>
      <c r="D27" s="1472">
        <f t="shared" si="144"/>
        <v>269.60135833173649</v>
      </c>
      <c r="E27" s="1472">
        <f t="shared" si="148"/>
        <v>439.18089823583784</v>
      </c>
      <c r="F27" s="1472">
        <f t="shared" si="148"/>
        <v>239.23503918706311</v>
      </c>
      <c r="G27" s="3303"/>
      <c r="H27" s="1459">
        <v>1</v>
      </c>
      <c r="I27" s="1459">
        <v>0.51</v>
      </c>
      <c r="J27" s="1459">
        <v>0.54</v>
      </c>
      <c r="K27" s="1459">
        <v>0.48</v>
      </c>
      <c r="L27" s="1473">
        <v>0.93</v>
      </c>
      <c r="N27" s="1475">
        <f t="shared" si="146"/>
        <v>5.1000000000000004E-3</v>
      </c>
      <c r="O27" s="1476">
        <f t="shared" si="141"/>
        <v>5.4000000000000003E-3</v>
      </c>
      <c r="P27" s="1476">
        <f t="shared" si="141"/>
        <v>4.7999999999999996E-3</v>
      </c>
      <c r="Q27" s="1476">
        <f t="shared" si="141"/>
        <v>9.300000000000001E-3</v>
      </c>
      <c r="R27" s="1469"/>
      <c r="S27" s="1475">
        <f>B27/B28-1</f>
        <v>5.9040261127922822E-3</v>
      </c>
      <c r="T27" s="1476">
        <f>C27/C28-1</f>
        <v>5.9752176557332781E-3</v>
      </c>
      <c r="U27" s="1476">
        <f>E27/E28-1</f>
        <v>4.9906138119859556E-3</v>
      </c>
      <c r="V27" s="1476">
        <f>F27/F28-1</f>
        <v>9.4305450930933787E-3</v>
      </c>
      <c r="X27" s="1454">
        <f>ROUND(SUMPRODUCT(PRODUCT(1+N27:N$30)),4)</f>
        <v>1.0399</v>
      </c>
      <c r="Y27" s="1454">
        <f>ROUND(SUMPRODUCT(PRODUCT(1+O27:O$30)),4)</f>
        <v>1.0451999999999999</v>
      </c>
      <c r="Z27" s="1454">
        <f t="shared" si="0"/>
        <v>1.0451999999999999</v>
      </c>
      <c r="AA27" s="1454">
        <f>ROUND(SUMPRODUCT(PRODUCT(1+P27:P$30)),4)</f>
        <v>1.0387999999999999</v>
      </c>
      <c r="AB27" s="1454">
        <f>ROUND(SUMPRODUCT(PRODUCT(1+Q27:Q$30)),4)</f>
        <v>1.0411999999999999</v>
      </c>
      <c r="AD27" s="1455">
        <f>ROUND(AVERAGE(I27:I$31)/100,4)</f>
        <v>1.38E-2</v>
      </c>
      <c r="AE27" s="1455">
        <f>ROUND(AVERAGE(J27:J$31)/100,4)</f>
        <v>1.3599999999999999E-2</v>
      </c>
      <c r="AF27" s="1455">
        <f t="shared" si="1"/>
        <v>1.3599999999999999E-2</v>
      </c>
      <c r="AG27" s="1455">
        <f>ROUND(AVERAGE(K27:K$31)/100,4)</f>
        <v>1.4200000000000001E-2</v>
      </c>
      <c r="AH27" s="1455">
        <f>ROUND(AVERAGE(L27:L$31)/100,4)</f>
        <v>1.0800000000000001E-2</v>
      </c>
    </row>
    <row r="28" spans="1:34" ht="13.8" thickBot="1">
      <c r="A28" s="1456" t="s">
        <v>147</v>
      </c>
      <c r="B28" s="1485">
        <v>318</v>
      </c>
      <c r="C28" s="1485">
        <v>268</v>
      </c>
      <c r="D28" s="1485">
        <f t="shared" si="144"/>
        <v>268</v>
      </c>
      <c r="E28" s="1485">
        <v>437</v>
      </c>
      <c r="F28" s="1486">
        <v>237</v>
      </c>
      <c r="G28" s="3301">
        <v>2014</v>
      </c>
      <c r="H28" s="1477">
        <v>4</v>
      </c>
      <c r="I28" s="1477">
        <v>0.21</v>
      </c>
      <c r="J28" s="1477">
        <v>0.41</v>
      </c>
      <c r="K28" s="1477">
        <v>0.12</v>
      </c>
      <c r="L28" s="1478">
        <v>0.89</v>
      </c>
      <c r="N28" s="1467">
        <f t="shared" si="146"/>
        <v>2.0999999999999999E-3</v>
      </c>
      <c r="O28" s="1468">
        <f t="shared" si="141"/>
        <v>4.0999999999999995E-3</v>
      </c>
      <c r="P28" s="1468">
        <f t="shared" si="141"/>
        <v>1.1999999999999999E-3</v>
      </c>
      <c r="Q28" s="1468">
        <f t="shared" si="141"/>
        <v>8.8999999999999999E-3</v>
      </c>
      <c r="R28" s="1469"/>
      <c r="S28" s="1470"/>
      <c r="T28" s="1471"/>
      <c r="U28" s="1471"/>
      <c r="V28" s="1471"/>
      <c r="X28" s="1454">
        <f>ROUND(SUMPRODUCT(PRODUCT(1+N28:N$30)),4)</f>
        <v>1.0347</v>
      </c>
      <c r="Y28" s="1454">
        <f>ROUND(SUMPRODUCT(PRODUCT(1+O28:O$30)),4)</f>
        <v>1.0395000000000001</v>
      </c>
      <c r="Z28" s="1454">
        <f t="shared" si="0"/>
        <v>1.0395000000000001</v>
      </c>
      <c r="AA28" s="1454">
        <f>ROUND(SUMPRODUCT(PRODUCT(1+P28:P$30)),4)</f>
        <v>1.0338000000000001</v>
      </c>
      <c r="AB28" s="1454">
        <f>ROUND(SUMPRODUCT(PRODUCT(1+Q28:Q$30)),4)</f>
        <v>1.0316000000000001</v>
      </c>
      <c r="AD28" s="1455">
        <f>ROUND(AVERAGE(I28:I$31)/100,4)</f>
        <v>1.6E-2</v>
      </c>
      <c r="AE28" s="1455">
        <f>ROUND(AVERAGE(J28:J$31)/100,4)</f>
        <v>1.5599999999999999E-2</v>
      </c>
      <c r="AF28" s="1455">
        <f t="shared" si="1"/>
        <v>1.5599999999999999E-2</v>
      </c>
      <c r="AG28" s="1455">
        <f>ROUND(AVERAGE(K28:K$31)/100,4)</f>
        <v>1.66E-2</v>
      </c>
      <c r="AH28" s="1455">
        <f>ROUND(AVERAGE(L28:L$31)/100,4)</f>
        <v>1.12E-2</v>
      </c>
    </row>
    <row r="29" spans="1:34">
      <c r="A29" s="1456" t="s">
        <v>146</v>
      </c>
      <c r="B29" s="1472">
        <f t="shared" ref="B29:C31" si="149">B28/(1+N28)</f>
        <v>317.33359944117353</v>
      </c>
      <c r="C29" s="1472">
        <f t="shared" si="149"/>
        <v>266.90568668459315</v>
      </c>
      <c r="D29" s="1472">
        <f t="shared" si="144"/>
        <v>266.90568668459315</v>
      </c>
      <c r="E29" s="1472">
        <f t="shared" ref="E29:F31" si="150">E28/(1+P28)</f>
        <v>436.47622852576905</v>
      </c>
      <c r="F29" s="1472">
        <f t="shared" si="150"/>
        <v>234.90930716622066</v>
      </c>
      <c r="G29" s="3302"/>
      <c r="H29" s="1487">
        <v>3</v>
      </c>
      <c r="I29" s="1487">
        <v>0.83</v>
      </c>
      <c r="J29" s="1487">
        <v>1.47</v>
      </c>
      <c r="K29" s="1487">
        <v>0.65</v>
      </c>
      <c r="L29" s="1488">
        <v>0.72</v>
      </c>
      <c r="N29" s="1467">
        <f t="shared" si="146"/>
        <v>8.3000000000000001E-3</v>
      </c>
      <c r="O29" s="1468">
        <f t="shared" si="141"/>
        <v>1.47E-2</v>
      </c>
      <c r="P29" s="1468">
        <f t="shared" si="141"/>
        <v>6.5000000000000006E-3</v>
      </c>
      <c r="Q29" s="1468">
        <f t="shared" si="141"/>
        <v>7.1999999999999998E-3</v>
      </c>
      <c r="R29" s="1469"/>
      <c r="S29" s="1467"/>
      <c r="T29" s="1468"/>
      <c r="U29" s="1468"/>
      <c r="V29" s="1468"/>
      <c r="X29" s="1454">
        <f>ROUND(SUMPRODUCT(PRODUCT(1+N29:N$30)),4)</f>
        <v>1.0325</v>
      </c>
      <c r="Y29" s="1454">
        <f>ROUND(SUMPRODUCT(PRODUCT(1+O29:O$30)),4)</f>
        <v>1.0353000000000001</v>
      </c>
      <c r="Z29" s="1454">
        <f t="shared" ref="Z29:Z30" si="151">Y29</f>
        <v>1.0353000000000001</v>
      </c>
      <c r="AA29" s="1454">
        <f>ROUND(SUMPRODUCT(PRODUCT(1+P29:P$30)),4)</f>
        <v>1.0326</v>
      </c>
      <c r="AB29" s="1454">
        <f>ROUND(SUMPRODUCT(PRODUCT(1+Q29:Q$30)),4)</f>
        <v>1.0225</v>
      </c>
      <c r="AD29" s="1455">
        <f>ROUND(AVERAGE(I29:I$31)/100,4)</f>
        <v>2.07E-2</v>
      </c>
      <c r="AE29" s="1455">
        <f>ROUND(AVERAGE(J29:J$31)/100,4)</f>
        <v>1.95E-2</v>
      </c>
      <c r="AF29" s="1455">
        <f t="shared" si="1"/>
        <v>1.95E-2</v>
      </c>
      <c r="AG29" s="1455">
        <f>ROUND(AVERAGE(K29:K$31)/100,4)</f>
        <v>2.1700000000000001E-2</v>
      </c>
      <c r="AH29" s="1455">
        <f>ROUND(AVERAGE(L29:L$31)/100,4)</f>
        <v>1.2E-2</v>
      </c>
    </row>
    <row r="30" spans="1:34" ht="13.8" thickBot="1">
      <c r="A30" s="1456" t="s">
        <v>145</v>
      </c>
      <c r="B30" s="1472">
        <f t="shared" si="149"/>
        <v>314.72141172386546</v>
      </c>
      <c r="C30" s="1472">
        <f t="shared" si="149"/>
        <v>263.03901319069001</v>
      </c>
      <c r="D30" s="1472">
        <f t="shared" si="144"/>
        <v>263.03901319069001</v>
      </c>
      <c r="E30" s="1472">
        <f t="shared" si="150"/>
        <v>433.65745506782821</v>
      </c>
      <c r="F30" s="1472">
        <f t="shared" si="150"/>
        <v>233.23005080045735</v>
      </c>
      <c r="G30" s="3302"/>
      <c r="H30" s="1477">
        <v>2</v>
      </c>
      <c r="I30" s="1477">
        <v>2.4</v>
      </c>
      <c r="J30" s="1477">
        <v>2.0299999999999998</v>
      </c>
      <c r="K30" s="1477">
        <v>2.59</v>
      </c>
      <c r="L30" s="1478">
        <v>1.52</v>
      </c>
      <c r="N30" s="1467">
        <f t="shared" si="146"/>
        <v>2.4E-2</v>
      </c>
      <c r="O30" s="1468">
        <f t="shared" si="141"/>
        <v>2.0299999999999999E-2</v>
      </c>
      <c r="P30" s="1468">
        <f t="shared" si="141"/>
        <v>2.5899999999999999E-2</v>
      </c>
      <c r="Q30" s="1468">
        <f t="shared" si="141"/>
        <v>1.52E-2</v>
      </c>
      <c r="R30" s="1469"/>
      <c r="S30" s="1467"/>
      <c r="T30" s="1468"/>
      <c r="U30" s="1468"/>
      <c r="V30" s="1468"/>
      <c r="X30" s="1454">
        <f>1+N30</f>
        <v>1.024</v>
      </c>
      <c r="Y30" s="1454">
        <f>1+O30</f>
        <v>1.0203</v>
      </c>
      <c r="Z30" s="1454">
        <f t="shared" si="151"/>
        <v>1.0203</v>
      </c>
      <c r="AA30" s="1454">
        <f>1+P30</f>
        <v>1.0259</v>
      </c>
      <c r="AB30" s="1454">
        <f>1+Q30</f>
        <v>1.0152000000000001</v>
      </c>
      <c r="AD30" s="1455">
        <f>ROUND(AVERAGE(I30:I$31)/100,4)</f>
        <v>2.69E-2</v>
      </c>
      <c r="AE30" s="1455">
        <f>ROUND(AVERAGE(J30:J$31)/100,4)</f>
        <v>2.1899999999999999E-2</v>
      </c>
      <c r="AF30" s="1455">
        <f t="shared" ref="AF30" si="152">AE30</f>
        <v>2.1899999999999999E-2</v>
      </c>
      <c r="AG30" s="1455">
        <f>ROUND(AVERAGE(K30:K$31)/100,4)</f>
        <v>2.9399999999999999E-2</v>
      </c>
      <c r="AH30" s="1455">
        <f>ROUND(AVERAGE(L30:L$31)/100,4)</f>
        <v>1.44E-2</v>
      </c>
    </row>
    <row r="31" spans="1:34" s="1493" customFormat="1" ht="13.8" thickBot="1">
      <c r="A31" s="1489" t="s">
        <v>144</v>
      </c>
      <c r="B31" s="1490">
        <f t="shared" si="149"/>
        <v>307.34512863658733</v>
      </c>
      <c r="C31" s="1490">
        <f t="shared" si="149"/>
        <v>257.80556031626975</v>
      </c>
      <c r="D31" s="1490">
        <f t="shared" si="144"/>
        <v>257.80556031626975</v>
      </c>
      <c r="E31" s="1490">
        <f t="shared" si="150"/>
        <v>422.70928459677179</v>
      </c>
      <c r="F31" s="1490">
        <f t="shared" si="150"/>
        <v>229.73803270336617</v>
      </c>
      <c r="G31" s="3303"/>
      <c r="H31" s="1491">
        <v>1</v>
      </c>
      <c r="I31" s="1491">
        <v>2.97</v>
      </c>
      <c r="J31" s="1491">
        <v>2.34</v>
      </c>
      <c r="K31" s="1491">
        <v>3.28</v>
      </c>
      <c r="L31" s="1492">
        <v>1.36</v>
      </c>
      <c r="N31" s="1494">
        <f t="shared" si="146"/>
        <v>2.9700000000000001E-2</v>
      </c>
      <c r="O31" s="1495">
        <f t="shared" si="141"/>
        <v>2.3399999999999997E-2</v>
      </c>
      <c r="P31" s="1495">
        <f t="shared" si="141"/>
        <v>3.2799999999999996E-2</v>
      </c>
      <c r="Q31" s="1495">
        <f t="shared" si="141"/>
        <v>1.3600000000000001E-2</v>
      </c>
      <c r="R31" s="1496"/>
      <c r="S31" s="1497">
        <f>B31/B32-1</f>
        <v>2.7910129219355539E-2</v>
      </c>
      <c r="T31" s="1498">
        <f>C31/C32-1</f>
        <v>2.3037937762975247E-2</v>
      </c>
      <c r="U31" s="1498">
        <f>E31/E32-1</f>
        <v>3.3519033243940788E-2</v>
      </c>
      <c r="V31" s="1498">
        <f>F31/F32-1</f>
        <v>1.2061818076502862E-2</v>
      </c>
      <c r="W31" s="1499" t="s">
        <v>1157</v>
      </c>
      <c r="X31" s="1500">
        <v>1</v>
      </c>
      <c r="Y31" s="1500">
        <v>1</v>
      </c>
      <c r="Z31" s="1500">
        <v>1</v>
      </c>
      <c r="AA31" s="1500">
        <v>1</v>
      </c>
      <c r="AB31" s="1500">
        <v>1</v>
      </c>
      <c r="AD31" s="1721">
        <f>I31/100</f>
        <v>2.9700000000000001E-2</v>
      </c>
      <c r="AE31" s="1721">
        <f>J31/100</f>
        <v>2.3399999999999997E-2</v>
      </c>
      <c r="AF31" s="1721">
        <f>AE31</f>
        <v>2.3399999999999997E-2</v>
      </c>
      <c r="AG31" s="1721">
        <f>K31/100</f>
        <v>3.2799999999999996E-2</v>
      </c>
      <c r="AH31" s="1721">
        <f>L31/100</f>
        <v>1.3600000000000001E-2</v>
      </c>
    </row>
    <row r="32" spans="1:34" ht="13.8" thickBot="1">
      <c r="A32" s="1456" t="s">
        <v>1158</v>
      </c>
      <c r="B32" s="1464">
        <v>299</v>
      </c>
      <c r="C32" s="1464">
        <v>252</v>
      </c>
      <c r="D32" s="1464">
        <f t="shared" si="144"/>
        <v>252</v>
      </c>
      <c r="E32" s="1464">
        <v>409</v>
      </c>
      <c r="F32" s="1465">
        <v>227</v>
      </c>
      <c r="G32" s="3306">
        <v>2013</v>
      </c>
      <c r="H32" s="1501">
        <v>4</v>
      </c>
      <c r="I32" s="1501">
        <v>1.83</v>
      </c>
      <c r="J32" s="1501">
        <v>1.68</v>
      </c>
      <c r="K32" s="1501">
        <v>1.97</v>
      </c>
      <c r="L32" s="1502">
        <v>0.87</v>
      </c>
      <c r="N32" s="1479">
        <f t="shared" si="146"/>
        <v>1.83E-2</v>
      </c>
      <c r="O32" s="1480">
        <f t="shared" si="141"/>
        <v>1.6799999999999999E-2</v>
      </c>
      <c r="P32" s="1480">
        <f t="shared" si="141"/>
        <v>1.9699999999999999E-2</v>
      </c>
      <c r="Q32" s="1480">
        <f t="shared" si="141"/>
        <v>8.6999999999999994E-3</v>
      </c>
      <c r="R32" s="1469"/>
      <c r="S32" s="1470"/>
      <c r="T32" s="1471"/>
      <c r="U32" s="1471"/>
      <c r="V32" s="1471"/>
      <c r="X32" s="1471"/>
      <c r="Y32" s="1471"/>
      <c r="Z32" s="1471"/>
    </row>
    <row r="33" spans="1:26">
      <c r="A33" s="1456" t="s">
        <v>1159</v>
      </c>
      <c r="B33" s="1472">
        <f t="shared" ref="B33:C35" si="153">B32/(1+N32)</f>
        <v>293.62663262299913</v>
      </c>
      <c r="C33" s="1472">
        <f t="shared" si="153"/>
        <v>247.83634933123525</v>
      </c>
      <c r="D33" s="1472">
        <f t="shared" si="144"/>
        <v>247.83634933123525</v>
      </c>
      <c r="E33" s="1472">
        <f t="shared" ref="E33:F35" si="154">E32/(1+P32)</f>
        <v>401.09836226341076</v>
      </c>
      <c r="F33" s="1472">
        <f t="shared" si="154"/>
        <v>225.04213343908003</v>
      </c>
      <c r="G33" s="3307"/>
      <c r="H33" s="1482">
        <v>3</v>
      </c>
      <c r="I33" s="1482">
        <v>1.86</v>
      </c>
      <c r="J33" s="1482">
        <v>1.72</v>
      </c>
      <c r="K33" s="1482">
        <v>1.98</v>
      </c>
      <c r="L33" s="1483">
        <v>0.88</v>
      </c>
      <c r="N33" s="1467">
        <f t="shared" si="146"/>
        <v>1.8600000000000002E-2</v>
      </c>
      <c r="O33" s="1484">
        <f t="shared" si="141"/>
        <v>1.72E-2</v>
      </c>
      <c r="P33" s="1484">
        <f t="shared" si="141"/>
        <v>1.9799999999999998E-2</v>
      </c>
      <c r="Q33" s="1484">
        <f t="shared" si="141"/>
        <v>8.8000000000000005E-3</v>
      </c>
      <c r="R33" s="1469"/>
      <c r="S33" s="1467"/>
      <c r="T33" s="1468"/>
      <c r="U33" s="1468"/>
      <c r="V33" s="1468"/>
    </row>
    <row r="34" spans="1:26">
      <c r="A34" s="1456" t="s">
        <v>1160</v>
      </c>
      <c r="B34" s="1472">
        <f t="shared" si="153"/>
        <v>288.2649053828776</v>
      </c>
      <c r="C34" s="1472">
        <f t="shared" si="153"/>
        <v>243.64564425013293</v>
      </c>
      <c r="D34" s="1472">
        <f t="shared" si="144"/>
        <v>243.64564425013293</v>
      </c>
      <c r="E34" s="1472">
        <f t="shared" si="154"/>
        <v>393.31080825986544</v>
      </c>
      <c r="F34" s="1472">
        <f t="shared" si="154"/>
        <v>223.07903790551154</v>
      </c>
      <c r="G34" s="3307"/>
      <c r="H34" s="1460">
        <v>2</v>
      </c>
      <c r="I34" s="1460">
        <v>2.04</v>
      </c>
      <c r="J34" s="1460">
        <v>2.33</v>
      </c>
      <c r="K34" s="1460">
        <v>2.0699999999999998</v>
      </c>
      <c r="L34" s="1474">
        <v>0.69</v>
      </c>
      <c r="N34" s="1467">
        <f t="shared" si="146"/>
        <v>2.0400000000000001E-2</v>
      </c>
      <c r="O34" s="1484">
        <f t="shared" si="141"/>
        <v>2.3300000000000001E-2</v>
      </c>
      <c r="P34" s="1484">
        <f t="shared" si="141"/>
        <v>2.07E-2</v>
      </c>
      <c r="Q34" s="1484">
        <f t="shared" si="141"/>
        <v>6.8999999999999999E-3</v>
      </c>
      <c r="R34" s="1469"/>
      <c r="S34" s="1467"/>
      <c r="T34" s="1468"/>
      <c r="U34" s="1468"/>
      <c r="V34" s="1468"/>
      <c r="X34" s="1503"/>
      <c r="Y34" s="1504"/>
    </row>
    <row r="35" spans="1:26">
      <c r="A35" s="1456" t="s">
        <v>1161</v>
      </c>
      <c r="B35" s="1472">
        <f t="shared" si="153"/>
        <v>282.50186729015837</v>
      </c>
      <c r="C35" s="1472">
        <f t="shared" si="153"/>
        <v>238.09796174155468</v>
      </c>
      <c r="D35" s="1472">
        <f t="shared" si="144"/>
        <v>238.09796174155468</v>
      </c>
      <c r="E35" s="1472">
        <f t="shared" si="154"/>
        <v>385.33438646014054</v>
      </c>
      <c r="F35" s="1472">
        <f t="shared" si="154"/>
        <v>221.55034055567739</v>
      </c>
      <c r="G35" s="3308"/>
      <c r="H35" s="1459">
        <v>1</v>
      </c>
      <c r="I35" s="1459">
        <v>1.67</v>
      </c>
      <c r="J35" s="1459">
        <v>1.31</v>
      </c>
      <c r="K35" s="1459">
        <v>1.85</v>
      </c>
      <c r="L35" s="1473">
        <v>0.96</v>
      </c>
      <c r="N35" s="1475">
        <f t="shared" si="146"/>
        <v>1.67E-2</v>
      </c>
      <c r="O35" s="1476">
        <f t="shared" si="146"/>
        <v>1.3100000000000001E-2</v>
      </c>
      <c r="P35" s="1476">
        <f t="shared" si="146"/>
        <v>1.8500000000000003E-2</v>
      </c>
      <c r="Q35" s="1476">
        <f t="shared" si="146"/>
        <v>9.5999999999999992E-3</v>
      </c>
      <c r="R35" s="1469"/>
      <c r="S35" s="1475">
        <f>B35/B36-1</f>
        <v>1.6193767230785472E-2</v>
      </c>
      <c r="T35" s="1476">
        <f>C35/C36-1</f>
        <v>1.7512657015190891E-2</v>
      </c>
      <c r="U35" s="1476">
        <f>E35/E36-1</f>
        <v>1.6713420739157048E-2</v>
      </c>
      <c r="V35" s="1476">
        <f>F35/F36-1</f>
        <v>7.0470025258062563E-3</v>
      </c>
      <c r="X35" s="1505"/>
      <c r="Y35" s="1455"/>
      <c r="Z35" s="1455"/>
    </row>
    <row r="36" spans="1:26" ht="13.8" thickBot="1">
      <c r="A36" s="1456" t="s">
        <v>1162</v>
      </c>
      <c r="B36" s="1506">
        <v>278</v>
      </c>
      <c r="C36" s="1506">
        <v>234</v>
      </c>
      <c r="D36" s="1506">
        <f t="shared" si="144"/>
        <v>234</v>
      </c>
      <c r="E36" s="1506">
        <v>379</v>
      </c>
      <c r="F36" s="1507">
        <v>220</v>
      </c>
      <c r="G36" s="3301">
        <v>2012</v>
      </c>
      <c r="H36" s="1477">
        <v>4</v>
      </c>
      <c r="I36" s="1477">
        <v>0.91</v>
      </c>
      <c r="J36" s="1477">
        <v>0.68</v>
      </c>
      <c r="K36" s="1477">
        <v>0.98</v>
      </c>
      <c r="L36" s="1478">
        <v>0.9</v>
      </c>
      <c r="N36" s="1467">
        <f t="shared" si="146"/>
        <v>9.1000000000000004E-3</v>
      </c>
      <c r="O36" s="1468">
        <f t="shared" si="146"/>
        <v>6.8000000000000005E-3</v>
      </c>
      <c r="P36" s="1468">
        <f t="shared" si="146"/>
        <v>9.7999999999999997E-3</v>
      </c>
      <c r="Q36" s="1468">
        <f t="shared" si="146"/>
        <v>9.0000000000000011E-3</v>
      </c>
      <c r="R36" s="1469"/>
      <c r="S36" s="1470"/>
      <c r="T36" s="1471"/>
      <c r="U36" s="1471"/>
      <c r="V36" s="1471"/>
      <c r="X36" s="1471"/>
      <c r="Y36" s="1471"/>
      <c r="Z36" s="1471"/>
    </row>
    <row r="37" spans="1:26">
      <c r="A37" s="1456" t="s">
        <v>1163</v>
      </c>
      <c r="B37" s="1472">
        <f>B36/(1+N36)</f>
        <v>275.49301357645425</v>
      </c>
      <c r="C37" s="1472">
        <f>C36/(1+O36)</f>
        <v>232.41954707985698</v>
      </c>
      <c r="D37" s="1472">
        <f t="shared" si="144"/>
        <v>232.41954707985698</v>
      </c>
      <c r="E37" s="1472">
        <f t="shared" ref="E37:F39" si="155">E36/(1+P36)</f>
        <v>375.32184591008121</v>
      </c>
      <c r="F37" s="1472">
        <f t="shared" si="155"/>
        <v>218.03766105054513</v>
      </c>
      <c r="G37" s="3302"/>
      <c r="H37" s="1482">
        <v>3</v>
      </c>
      <c r="I37" s="1482">
        <v>0.09</v>
      </c>
      <c r="J37" s="1482">
        <v>0.28999999999999998</v>
      </c>
      <c r="K37" s="1482">
        <v>-0.01</v>
      </c>
      <c r="L37" s="1483">
        <v>0.57999999999999996</v>
      </c>
      <c r="N37" s="1467">
        <f t="shared" si="146"/>
        <v>8.9999999999999998E-4</v>
      </c>
      <c r="O37" s="1468">
        <f t="shared" si="146"/>
        <v>2.8999999999999998E-3</v>
      </c>
      <c r="P37" s="1468">
        <f t="shared" si="146"/>
        <v>-1E-4</v>
      </c>
      <c r="Q37" s="1468">
        <f t="shared" si="146"/>
        <v>5.7999999999999996E-3</v>
      </c>
      <c r="R37" s="1469"/>
      <c r="S37" s="1467"/>
      <c r="T37" s="1468"/>
      <c r="U37" s="1468"/>
      <c r="V37" s="1468"/>
    </row>
    <row r="38" spans="1:26">
      <c r="A38" s="1456" t="s">
        <v>1164</v>
      </c>
      <c r="B38" s="1472">
        <f>B37/(1+N37)</f>
        <v>275.24529281292263</v>
      </c>
      <c r="C38" s="1472">
        <f>C37/(1+O37)</f>
        <v>231.74747938962707</v>
      </c>
      <c r="D38" s="1472">
        <f t="shared" si="144"/>
        <v>231.74747938962707</v>
      </c>
      <c r="E38" s="1472">
        <f t="shared" si="155"/>
        <v>375.35938184826603</v>
      </c>
      <c r="F38" s="1472">
        <f t="shared" si="155"/>
        <v>216.78033510692495</v>
      </c>
      <c r="G38" s="3302"/>
      <c r="H38" s="1460">
        <v>2</v>
      </c>
      <c r="I38" s="1460">
        <v>0.02</v>
      </c>
      <c r="J38" s="1460">
        <v>0.12</v>
      </c>
      <c r="K38" s="1460">
        <v>-0.08</v>
      </c>
      <c r="L38" s="1474">
        <v>1.24</v>
      </c>
      <c r="N38" s="1467">
        <f t="shared" si="146"/>
        <v>2.0000000000000001E-4</v>
      </c>
      <c r="O38" s="1468">
        <f t="shared" si="146"/>
        <v>1.1999999999999999E-3</v>
      </c>
      <c r="P38" s="1468">
        <f t="shared" si="146"/>
        <v>-8.0000000000000004E-4</v>
      </c>
      <c r="Q38" s="1468">
        <f t="shared" si="146"/>
        <v>1.24E-2</v>
      </c>
      <c r="R38" s="1469"/>
      <c r="S38" s="1467"/>
      <c r="T38" s="1468"/>
      <c r="U38" s="1468"/>
      <c r="V38" s="1468"/>
    </row>
    <row r="39" spans="1:26" ht="13.8" thickBot="1">
      <c r="A39" s="1456" t="s">
        <v>1165</v>
      </c>
      <c r="B39" s="1472">
        <f>B38/(1+N38)</f>
        <v>275.19025476197027</v>
      </c>
      <c r="C39" s="1508">
        <v>232</v>
      </c>
      <c r="D39" s="1508">
        <f t="shared" si="144"/>
        <v>232</v>
      </c>
      <c r="E39" s="1472">
        <f t="shared" si="155"/>
        <v>375.65990977608692</v>
      </c>
      <c r="F39" s="1472">
        <f t="shared" si="155"/>
        <v>214.12518283971252</v>
      </c>
      <c r="G39" s="3303"/>
      <c r="H39" s="1459">
        <v>1</v>
      </c>
      <c r="I39" s="1459">
        <v>0.02</v>
      </c>
      <c r="J39" s="1459">
        <v>0.13</v>
      </c>
      <c r="K39" s="1459">
        <v>-0.04</v>
      </c>
      <c r="L39" s="1473">
        <v>0.46</v>
      </c>
      <c r="N39" s="1467">
        <f t="shared" si="146"/>
        <v>2.0000000000000001E-4</v>
      </c>
      <c r="O39" s="1468">
        <f t="shared" si="146"/>
        <v>1.2999999999999999E-3</v>
      </c>
      <c r="P39" s="1468">
        <f t="shared" si="146"/>
        <v>-4.0000000000000002E-4</v>
      </c>
      <c r="Q39" s="1468">
        <f t="shared" si="146"/>
        <v>4.5999999999999999E-3</v>
      </c>
      <c r="R39" s="1469"/>
      <c r="S39" s="1475">
        <f>B39/B40-1</f>
        <v>6.9183549807361189E-4</v>
      </c>
      <c r="T39" s="1476">
        <f>C39/C40-1</f>
        <v>0</v>
      </c>
      <c r="U39" s="1476">
        <f>E39/E40-1</f>
        <v>-9.0449527636460303E-4</v>
      </c>
      <c r="V39" s="1476">
        <f>F39/F40-1</f>
        <v>5.2825485432512753E-3</v>
      </c>
      <c r="X39" s="1455"/>
      <c r="Y39" s="1455"/>
      <c r="Z39" s="1455"/>
    </row>
    <row r="40" spans="1:26" ht="13.8" thickBot="1">
      <c r="A40" s="1456" t="s">
        <v>1166</v>
      </c>
      <c r="B40" s="1464">
        <v>275</v>
      </c>
      <c r="C40" s="1464">
        <v>232</v>
      </c>
      <c r="D40" s="1464">
        <f t="shared" si="144"/>
        <v>232</v>
      </c>
      <c r="E40" s="1464">
        <v>376</v>
      </c>
      <c r="F40" s="1465">
        <v>213</v>
      </c>
      <c r="G40" s="3301">
        <v>2011</v>
      </c>
      <c r="H40" s="1477">
        <v>4</v>
      </c>
      <c r="I40" s="1477">
        <v>-0.2</v>
      </c>
      <c r="J40" s="1477">
        <v>0.04</v>
      </c>
      <c r="K40" s="1477">
        <v>-0.34</v>
      </c>
      <c r="L40" s="1478">
        <v>0.46</v>
      </c>
      <c r="N40" s="1479">
        <f t="shared" si="146"/>
        <v>-2E-3</v>
      </c>
      <c r="O40" s="1480">
        <f t="shared" si="146"/>
        <v>4.0000000000000002E-4</v>
      </c>
      <c r="P40" s="1480">
        <f t="shared" si="146"/>
        <v>-3.4000000000000002E-3</v>
      </c>
      <c r="Q40" s="1480">
        <f t="shared" si="146"/>
        <v>4.5999999999999999E-3</v>
      </c>
      <c r="R40" s="1469"/>
      <c r="S40" s="1470"/>
      <c r="T40" s="1471"/>
      <c r="U40" s="1471"/>
      <c r="V40" s="1471"/>
      <c r="X40" s="1471"/>
      <c r="Y40" s="1471"/>
      <c r="Z40" s="1471"/>
    </row>
    <row r="41" spans="1:26">
      <c r="A41" s="1456" t="s">
        <v>1167</v>
      </c>
      <c r="B41" s="1472">
        <f t="shared" ref="B41:C43" si="156">B40/(1+N40)</f>
        <v>275.55110220440883</v>
      </c>
      <c r="C41" s="1472">
        <f t="shared" si="156"/>
        <v>231.90723710515795</v>
      </c>
      <c r="D41" s="1472">
        <f t="shared" si="144"/>
        <v>231.90723710515795</v>
      </c>
      <c r="E41" s="1472">
        <f t="shared" ref="E41:F43" si="157">E40/(1+P40)</f>
        <v>377.28276138872161</v>
      </c>
      <c r="F41" s="1472">
        <f t="shared" si="157"/>
        <v>212.02468644236512</v>
      </c>
      <c r="G41" s="3302">
        <v>2011</v>
      </c>
      <c r="H41" s="1482">
        <v>3</v>
      </c>
      <c r="I41" s="1482">
        <v>0.13</v>
      </c>
      <c r="J41" s="1482">
        <v>0.75</v>
      </c>
      <c r="K41" s="1482">
        <v>-0.08</v>
      </c>
      <c r="L41" s="1483">
        <v>0.53</v>
      </c>
      <c r="N41" s="1467">
        <f t="shared" si="146"/>
        <v>1.2999999999999999E-3</v>
      </c>
      <c r="O41" s="1484">
        <f t="shared" si="146"/>
        <v>7.4999999999999997E-3</v>
      </c>
      <c r="P41" s="1484">
        <f t="shared" si="146"/>
        <v>-8.0000000000000004E-4</v>
      </c>
      <c r="Q41" s="1484">
        <f t="shared" si="146"/>
        <v>5.3E-3</v>
      </c>
      <c r="R41" s="1469"/>
      <c r="S41" s="1467"/>
      <c r="T41" s="1468"/>
      <c r="U41" s="1468"/>
      <c r="V41" s="1468"/>
    </row>
    <row r="42" spans="1:26">
      <c r="A42" s="1456" t="s">
        <v>1168</v>
      </c>
      <c r="B42" s="1472">
        <f t="shared" si="156"/>
        <v>275.19335084830601</v>
      </c>
      <c r="C42" s="1472">
        <f t="shared" si="156"/>
        <v>230.18088050139744</v>
      </c>
      <c r="D42" s="1472">
        <f t="shared" si="144"/>
        <v>230.18088050139744</v>
      </c>
      <c r="E42" s="1472">
        <f t="shared" si="157"/>
        <v>377.58482925212331</v>
      </c>
      <c r="F42" s="1472">
        <f t="shared" si="157"/>
        <v>210.90687997847917</v>
      </c>
      <c r="G42" s="3302">
        <v>2011</v>
      </c>
      <c r="H42" s="1460">
        <v>2</v>
      </c>
      <c r="I42" s="1460">
        <v>-0.4</v>
      </c>
      <c r="J42" s="1460">
        <v>0.17</v>
      </c>
      <c r="K42" s="1460">
        <v>-0.57999999999999996</v>
      </c>
      <c r="L42" s="1474">
        <v>-0.2</v>
      </c>
      <c r="N42" s="1467">
        <f t="shared" si="146"/>
        <v>-4.0000000000000001E-3</v>
      </c>
      <c r="O42" s="1484">
        <f t="shared" si="146"/>
        <v>1.7000000000000001E-3</v>
      </c>
      <c r="P42" s="1484">
        <f t="shared" si="146"/>
        <v>-5.7999999999999996E-3</v>
      </c>
      <c r="Q42" s="1484">
        <f t="shared" si="146"/>
        <v>-2E-3</v>
      </c>
      <c r="R42" s="1469"/>
      <c r="S42" s="1467"/>
      <c r="T42" s="1468"/>
      <c r="U42" s="1468"/>
      <c r="V42" s="1468"/>
    </row>
    <row r="43" spans="1:26" ht="13.8" thickBot="1">
      <c r="A43" s="1456" t="s">
        <v>1169</v>
      </c>
      <c r="B43" s="1472">
        <f t="shared" si="156"/>
        <v>276.29854502841971</v>
      </c>
      <c r="C43" s="1472">
        <f t="shared" si="156"/>
        <v>229.79023709833027</v>
      </c>
      <c r="D43" s="1472">
        <f t="shared" si="144"/>
        <v>229.79023709833027</v>
      </c>
      <c r="E43" s="1472">
        <f t="shared" si="157"/>
        <v>379.78759731655936</v>
      </c>
      <c r="F43" s="1472">
        <f t="shared" si="157"/>
        <v>211.32953905659235</v>
      </c>
      <c r="G43" s="3303">
        <v>2011</v>
      </c>
      <c r="H43" s="1459">
        <v>1</v>
      </c>
      <c r="I43" s="1459">
        <v>2.65</v>
      </c>
      <c r="J43" s="1459">
        <v>3.76</v>
      </c>
      <c r="K43" s="1459">
        <v>1.89</v>
      </c>
      <c r="L43" s="1473">
        <v>7.95</v>
      </c>
      <c r="N43" s="1475">
        <f t="shared" si="146"/>
        <v>2.6499999999999999E-2</v>
      </c>
      <c r="O43" s="1476">
        <f t="shared" si="146"/>
        <v>3.7599999999999995E-2</v>
      </c>
      <c r="P43" s="1476">
        <f t="shared" si="146"/>
        <v>1.89E-2</v>
      </c>
      <c r="Q43" s="1476">
        <f t="shared" si="146"/>
        <v>7.9500000000000001E-2</v>
      </c>
      <c r="R43" s="1469"/>
      <c r="S43" s="1475">
        <f>B43/B44-1</f>
        <v>2.713213765211786E-2</v>
      </c>
      <c r="T43" s="1476">
        <f>C43/C44-1</f>
        <v>3.9774828499231862E-2</v>
      </c>
      <c r="U43" s="1476">
        <f>E43/E44-1</f>
        <v>1.8197311840641772E-2</v>
      </c>
      <c r="V43" s="1476">
        <f>F43/F44-1</f>
        <v>7.8211933962205826E-2</v>
      </c>
      <c r="X43" s="1455"/>
      <c r="Y43" s="1455"/>
      <c r="Z43" s="1455"/>
    </row>
    <row r="44" spans="1:26" ht="13.8" thickBot="1">
      <c r="A44" s="1456" t="s">
        <v>1170</v>
      </c>
      <c r="B44" s="1464">
        <v>269</v>
      </c>
      <c r="C44" s="1464">
        <v>221</v>
      </c>
      <c r="D44" s="1464">
        <f t="shared" si="144"/>
        <v>221</v>
      </c>
      <c r="E44" s="1464">
        <v>373</v>
      </c>
      <c r="F44" s="1465">
        <v>196</v>
      </c>
      <c r="G44" s="3301">
        <v>2010</v>
      </c>
      <c r="H44" s="1477">
        <v>4</v>
      </c>
      <c r="I44" s="1477">
        <v>5.72</v>
      </c>
      <c r="J44" s="1477">
        <v>6.57</v>
      </c>
      <c r="K44" s="1477">
        <v>5.72</v>
      </c>
      <c r="L44" s="1478">
        <v>2.72</v>
      </c>
      <c r="N44" s="1467">
        <f t="shared" si="146"/>
        <v>5.7200000000000001E-2</v>
      </c>
      <c r="O44" s="1468">
        <f t="shared" si="146"/>
        <v>6.5700000000000008E-2</v>
      </c>
      <c r="P44" s="1468">
        <f t="shared" si="146"/>
        <v>5.7200000000000001E-2</v>
      </c>
      <c r="Q44" s="1468">
        <f t="shared" si="146"/>
        <v>2.7200000000000002E-2</v>
      </c>
      <c r="R44" s="1469"/>
      <c r="S44" s="1470"/>
      <c r="T44" s="1471"/>
      <c r="U44" s="1471"/>
      <c r="V44" s="1471"/>
      <c r="X44" s="1471"/>
      <c r="Y44" s="1471"/>
      <c r="Z44" s="1471"/>
    </row>
    <row r="45" spans="1:26">
      <c r="A45" s="1456" t="s">
        <v>1171</v>
      </c>
      <c r="B45" s="1472">
        <f t="shared" ref="B45:C47" si="158">B44/(1+N44)</f>
        <v>254.44570563753314</v>
      </c>
      <c r="C45" s="1472">
        <f t="shared" si="158"/>
        <v>207.37543398705074</v>
      </c>
      <c r="D45" s="1472">
        <f t="shared" si="144"/>
        <v>207.37543398705074</v>
      </c>
      <c r="E45" s="1472">
        <f t="shared" ref="E45:F47" si="159">E44/(1+P44)</f>
        <v>352.81876655315932</v>
      </c>
      <c r="F45" s="1472">
        <f t="shared" si="159"/>
        <v>190.809968847352</v>
      </c>
      <c r="G45" s="3302">
        <v>2010</v>
      </c>
      <c r="H45" s="1482">
        <v>3</v>
      </c>
      <c r="I45" s="1482">
        <v>4.7300000000000004</v>
      </c>
      <c r="J45" s="1482">
        <v>3.9</v>
      </c>
      <c r="K45" s="1482">
        <v>5.03</v>
      </c>
      <c r="L45" s="1483">
        <v>4.21</v>
      </c>
      <c r="N45" s="1467">
        <f t="shared" si="146"/>
        <v>4.7300000000000002E-2</v>
      </c>
      <c r="O45" s="1468">
        <f t="shared" si="146"/>
        <v>3.9E-2</v>
      </c>
      <c r="P45" s="1468">
        <f t="shared" si="146"/>
        <v>5.0300000000000004E-2</v>
      </c>
      <c r="Q45" s="1468">
        <f t="shared" si="146"/>
        <v>4.2099999999999999E-2</v>
      </c>
      <c r="R45" s="1469"/>
      <c r="S45" s="1467"/>
      <c r="T45" s="1468"/>
      <c r="U45" s="1468"/>
      <c r="V45" s="1468"/>
    </row>
    <row r="46" spans="1:26">
      <c r="A46" s="1456" t="s">
        <v>1172</v>
      </c>
      <c r="B46" s="1472">
        <f t="shared" si="158"/>
        <v>242.95398227588385</v>
      </c>
      <c r="C46" s="1472">
        <f t="shared" si="158"/>
        <v>199.59137053614126</v>
      </c>
      <c r="D46" s="1472">
        <f t="shared" si="144"/>
        <v>199.59137053614126</v>
      </c>
      <c r="E46" s="1472">
        <f t="shared" si="159"/>
        <v>335.92189522342125</v>
      </c>
      <c r="F46" s="1472">
        <f t="shared" si="159"/>
        <v>183.10139991109489</v>
      </c>
      <c r="G46" s="3302">
        <v>2010</v>
      </c>
      <c r="H46" s="1460">
        <v>2</v>
      </c>
      <c r="I46" s="1460">
        <v>4.6900000000000004</v>
      </c>
      <c r="J46" s="1460">
        <v>3.55</v>
      </c>
      <c r="K46" s="1460">
        <v>5.07</v>
      </c>
      <c r="L46" s="1474">
        <v>4.2300000000000004</v>
      </c>
      <c r="N46" s="1467">
        <f t="shared" si="146"/>
        <v>4.6900000000000004E-2</v>
      </c>
      <c r="O46" s="1468">
        <f t="shared" si="146"/>
        <v>3.5499999999999997E-2</v>
      </c>
      <c r="P46" s="1468">
        <f t="shared" si="146"/>
        <v>5.0700000000000002E-2</v>
      </c>
      <c r="Q46" s="1468">
        <f t="shared" si="146"/>
        <v>4.2300000000000004E-2</v>
      </c>
      <c r="R46" s="1469"/>
      <c r="S46" s="1467"/>
      <c r="T46" s="1468"/>
      <c r="U46" s="1468"/>
      <c r="V46" s="1468"/>
    </row>
    <row r="47" spans="1:26" ht="13.8" thickBot="1">
      <c r="A47" s="1456" t="s">
        <v>1173</v>
      </c>
      <c r="B47" s="1472">
        <f t="shared" si="158"/>
        <v>232.06990378821649</v>
      </c>
      <c r="C47" s="1472">
        <f t="shared" si="158"/>
        <v>192.74878854286936</v>
      </c>
      <c r="D47" s="1472">
        <f t="shared" si="144"/>
        <v>192.74878854286936</v>
      </c>
      <c r="E47" s="1472">
        <f t="shared" si="159"/>
        <v>319.71247284992984</v>
      </c>
      <c r="F47" s="1472">
        <f t="shared" si="159"/>
        <v>175.67053622862409</v>
      </c>
      <c r="G47" s="3303">
        <v>2010</v>
      </c>
      <c r="H47" s="1459">
        <v>1</v>
      </c>
      <c r="I47" s="1459">
        <v>5.4</v>
      </c>
      <c r="J47" s="1459">
        <v>3.2</v>
      </c>
      <c r="K47" s="1459">
        <v>6.16</v>
      </c>
      <c r="L47" s="1473">
        <v>4.51</v>
      </c>
      <c r="N47" s="1467">
        <f t="shared" si="146"/>
        <v>5.4000000000000006E-2</v>
      </c>
      <c r="O47" s="1468">
        <f t="shared" si="146"/>
        <v>3.2000000000000001E-2</v>
      </c>
      <c r="P47" s="1468">
        <f t="shared" si="146"/>
        <v>6.1600000000000002E-2</v>
      </c>
      <c r="Q47" s="1468">
        <f t="shared" si="146"/>
        <v>4.5100000000000001E-2</v>
      </c>
      <c r="R47" s="1469"/>
      <c r="S47" s="1475">
        <f>B47/B48-1</f>
        <v>5.4863199037347599E-2</v>
      </c>
      <c r="T47" s="1476">
        <f>C47/C48-1</f>
        <v>3.0742184721226584E-2</v>
      </c>
      <c r="U47" s="1476">
        <f>E47/E48-1</f>
        <v>6.2167683886810154E-2</v>
      </c>
      <c r="V47" s="1476">
        <f>F47/F48-1</f>
        <v>4.5657953741810031E-2</v>
      </c>
      <c r="X47" s="1455"/>
      <c r="Y47" s="1455"/>
      <c r="Z47" s="1455"/>
    </row>
    <row r="48" spans="1:26" ht="13.8" thickBot="1">
      <c r="A48" s="1456" t="s">
        <v>1174</v>
      </c>
      <c r="B48" s="1464">
        <v>220</v>
      </c>
      <c r="C48" s="1464">
        <v>187</v>
      </c>
      <c r="D48" s="1464">
        <f t="shared" si="144"/>
        <v>187</v>
      </c>
      <c r="E48" s="1464">
        <v>301</v>
      </c>
      <c r="F48" s="1465">
        <v>168</v>
      </c>
      <c r="G48" s="3301">
        <v>2009</v>
      </c>
      <c r="H48" s="1477">
        <v>4</v>
      </c>
      <c r="I48" s="1477">
        <v>2.2999999999999998</v>
      </c>
      <c r="J48" s="1477">
        <v>1.04</v>
      </c>
      <c r="K48" s="1477">
        <v>2.84</v>
      </c>
      <c r="L48" s="1478">
        <v>0.67</v>
      </c>
      <c r="N48" s="1479">
        <f t="shared" si="146"/>
        <v>2.3E-2</v>
      </c>
      <c r="O48" s="1480">
        <f t="shared" si="146"/>
        <v>1.04E-2</v>
      </c>
      <c r="P48" s="1480">
        <f t="shared" si="146"/>
        <v>2.8399999999999998E-2</v>
      </c>
      <c r="Q48" s="1480">
        <f t="shared" si="146"/>
        <v>6.7000000000000002E-3</v>
      </c>
      <c r="R48" s="1469"/>
      <c r="S48" s="1470"/>
      <c r="T48" s="1471"/>
      <c r="U48" s="1471"/>
      <c r="V48" s="1471"/>
      <c r="X48" s="1471"/>
      <c r="Y48" s="1471"/>
      <c r="Z48" s="1471"/>
    </row>
    <row r="49" spans="1:26">
      <c r="A49" s="1456" t="s">
        <v>1175</v>
      </c>
      <c r="B49" s="1472">
        <f t="shared" ref="B49:C51" si="160">B48/(1+N48)</f>
        <v>215.05376344086022</v>
      </c>
      <c r="C49" s="1472">
        <f t="shared" si="160"/>
        <v>185.0752177355503</v>
      </c>
      <c r="D49" s="1472">
        <f t="shared" si="144"/>
        <v>185.0752177355503</v>
      </c>
      <c r="E49" s="1472">
        <f t="shared" ref="E49:F51" si="161">E48/(1+P48)</f>
        <v>292.68767016725008</v>
      </c>
      <c r="F49" s="1472">
        <f t="shared" si="161"/>
        <v>166.88189132810174</v>
      </c>
      <c r="G49" s="3302">
        <v>2009</v>
      </c>
      <c r="H49" s="1482">
        <v>3</v>
      </c>
      <c r="I49" s="1482">
        <v>2.1</v>
      </c>
      <c r="J49" s="1482">
        <v>1.86</v>
      </c>
      <c r="K49" s="1482">
        <v>2.29</v>
      </c>
      <c r="L49" s="1483">
        <v>0.85</v>
      </c>
      <c r="N49" s="1467">
        <f t="shared" si="146"/>
        <v>2.1000000000000001E-2</v>
      </c>
      <c r="O49" s="1484">
        <f t="shared" si="146"/>
        <v>1.8600000000000002E-2</v>
      </c>
      <c r="P49" s="1484">
        <f t="shared" si="146"/>
        <v>2.29E-2</v>
      </c>
      <c r="Q49" s="1484">
        <f t="shared" si="146"/>
        <v>8.5000000000000006E-3</v>
      </c>
      <c r="R49" s="1469"/>
      <c r="S49" s="1467"/>
      <c r="T49" s="1468"/>
      <c r="U49" s="1468"/>
      <c r="V49" s="1468"/>
    </row>
    <row r="50" spans="1:26">
      <c r="A50" s="1456" t="s">
        <v>1176</v>
      </c>
      <c r="B50" s="1472">
        <f t="shared" si="160"/>
        <v>210.630522469011</v>
      </c>
      <c r="C50" s="1472">
        <f t="shared" si="160"/>
        <v>181.69567812247232</v>
      </c>
      <c r="D50" s="1472">
        <f t="shared" si="144"/>
        <v>181.69567812247232</v>
      </c>
      <c r="E50" s="1472">
        <f t="shared" si="161"/>
        <v>286.13517466736738</v>
      </c>
      <c r="F50" s="1472">
        <f t="shared" si="161"/>
        <v>165.47535084591149</v>
      </c>
      <c r="G50" s="3302">
        <v>2009</v>
      </c>
      <c r="H50" s="1460">
        <v>2</v>
      </c>
      <c r="I50" s="1460">
        <v>0.86</v>
      </c>
      <c r="J50" s="1460">
        <v>-1.1299999999999999</v>
      </c>
      <c r="K50" s="1460">
        <v>1.79</v>
      </c>
      <c r="L50" s="1474">
        <v>-2.0699999999999998</v>
      </c>
      <c r="N50" s="1467">
        <f t="shared" si="146"/>
        <v>8.6E-3</v>
      </c>
      <c r="O50" s="1484">
        <f t="shared" si="146"/>
        <v>-1.1299999999999999E-2</v>
      </c>
      <c r="P50" s="1484">
        <f t="shared" si="146"/>
        <v>1.7899999999999999E-2</v>
      </c>
      <c r="Q50" s="1484">
        <f t="shared" si="146"/>
        <v>-2.07E-2</v>
      </c>
      <c r="R50" s="1469"/>
      <c r="S50" s="1467"/>
      <c r="T50" s="1468"/>
      <c r="U50" s="1468"/>
      <c r="V50" s="1468"/>
    </row>
    <row r="51" spans="1:26">
      <c r="A51" s="1456" t="s">
        <v>1177</v>
      </c>
      <c r="B51" s="1472">
        <f t="shared" si="160"/>
        <v>208.83454537875372</v>
      </c>
      <c r="C51" s="1472">
        <f t="shared" si="160"/>
        <v>183.77230517090351</v>
      </c>
      <c r="D51" s="1472">
        <f t="shared" si="144"/>
        <v>183.77230517090351</v>
      </c>
      <c r="E51" s="1472">
        <f t="shared" si="161"/>
        <v>281.10342338870947</v>
      </c>
      <c r="F51" s="1472">
        <f t="shared" si="161"/>
        <v>168.97309388942256</v>
      </c>
      <c r="G51" s="3303">
        <v>2009</v>
      </c>
      <c r="H51" s="1459">
        <v>1</v>
      </c>
      <c r="I51" s="1459">
        <v>-2.64</v>
      </c>
      <c r="J51" s="1459">
        <v>-2.5299999999999998</v>
      </c>
      <c r="K51" s="1459">
        <v>-3.02</v>
      </c>
      <c r="L51" s="1473">
        <v>1.52</v>
      </c>
      <c r="N51" s="1475">
        <f t="shared" si="146"/>
        <v>-2.64E-2</v>
      </c>
      <c r="O51" s="1476">
        <f t="shared" si="146"/>
        <v>-2.53E-2</v>
      </c>
      <c r="P51" s="1476">
        <f t="shared" si="146"/>
        <v>-3.0200000000000001E-2</v>
      </c>
      <c r="Q51" s="1476">
        <f t="shared" si="146"/>
        <v>1.52E-2</v>
      </c>
      <c r="R51" s="1469"/>
      <c r="S51" s="1475">
        <f>B51/B52-1</f>
        <v>-2.4137638417038754E-2</v>
      </c>
      <c r="T51" s="1476">
        <f>C51/C52-1</f>
        <v>-2.248773845264096E-2</v>
      </c>
      <c r="U51" s="1476">
        <f>E51/E52-1</f>
        <v>-2.7323794502735366E-2</v>
      </c>
      <c r="V51" s="1476">
        <f>F51/F52-1</f>
        <v>1.7910204153148035E-2</v>
      </c>
      <c r="X51" s="1455"/>
      <c r="Y51" s="1455"/>
      <c r="Z51" s="1455"/>
    </row>
    <row r="52" spans="1:26" ht="13.8" thickBot="1">
      <c r="A52" s="1456" t="s">
        <v>1178</v>
      </c>
      <c r="B52" s="1506">
        <v>214</v>
      </c>
      <c r="C52" s="1506">
        <v>188</v>
      </c>
      <c r="D52" s="1506">
        <f t="shared" si="144"/>
        <v>188</v>
      </c>
      <c r="E52" s="1506">
        <v>289</v>
      </c>
      <c r="F52" s="1507">
        <v>166</v>
      </c>
      <c r="G52" s="3301">
        <v>2008</v>
      </c>
      <c r="H52" s="1477">
        <v>4</v>
      </c>
      <c r="I52" s="1477">
        <v>1.73</v>
      </c>
      <c r="J52" s="1477">
        <v>0.03</v>
      </c>
      <c r="K52" s="1477">
        <v>2.59</v>
      </c>
      <c r="L52" s="1478">
        <v>-1.66</v>
      </c>
      <c r="N52" s="1467">
        <f t="shared" si="146"/>
        <v>1.7299999999999999E-2</v>
      </c>
      <c r="O52" s="1468">
        <f t="shared" si="146"/>
        <v>2.9999999999999997E-4</v>
      </c>
      <c r="P52" s="1468">
        <f t="shared" si="146"/>
        <v>2.5899999999999999E-2</v>
      </c>
      <c r="Q52" s="1468">
        <f t="shared" si="146"/>
        <v>-1.66E-2</v>
      </c>
      <c r="R52" s="1469"/>
      <c r="S52" s="1470"/>
      <c r="T52" s="1471"/>
      <c r="U52" s="1471"/>
      <c r="V52" s="1471"/>
      <c r="X52" s="1471"/>
      <c r="Y52" s="1471"/>
      <c r="Z52" s="1471"/>
    </row>
    <row r="53" spans="1:26">
      <c r="A53" s="1456" t="s">
        <v>1179</v>
      </c>
      <c r="B53" s="1472">
        <f t="shared" ref="B53:C55" si="162">B52/(1+N52)</f>
        <v>210.36075887152265</v>
      </c>
      <c r="C53" s="1472">
        <f t="shared" si="162"/>
        <v>187.94361691492554</v>
      </c>
      <c r="D53" s="1472">
        <f t="shared" si="144"/>
        <v>187.94361691492554</v>
      </c>
      <c r="E53" s="1472">
        <f t="shared" ref="E53:F55" si="163">E52/(1+P52)</f>
        <v>281.70386977288234</v>
      </c>
      <c r="F53" s="1472">
        <f t="shared" si="163"/>
        <v>168.80211511083994</v>
      </c>
      <c r="G53" s="3302">
        <v>2008</v>
      </c>
      <c r="H53" s="1482">
        <v>3</v>
      </c>
      <c r="I53" s="1482">
        <v>1.96</v>
      </c>
      <c r="J53" s="1482">
        <v>2.36</v>
      </c>
      <c r="K53" s="1482">
        <v>1.82</v>
      </c>
      <c r="L53" s="1483">
        <v>2.2200000000000002</v>
      </c>
      <c r="N53" s="1467">
        <f t="shared" si="146"/>
        <v>1.9599999999999999E-2</v>
      </c>
      <c r="O53" s="1468">
        <f t="shared" si="146"/>
        <v>2.3599999999999999E-2</v>
      </c>
      <c r="P53" s="1468">
        <f t="shared" si="146"/>
        <v>1.8200000000000001E-2</v>
      </c>
      <c r="Q53" s="1468">
        <f t="shared" si="146"/>
        <v>2.2200000000000001E-2</v>
      </c>
      <c r="R53" s="1469"/>
      <c r="S53" s="1467"/>
      <c r="T53" s="1468"/>
      <c r="U53" s="1468"/>
      <c r="V53" s="1468"/>
    </row>
    <row r="54" spans="1:26">
      <c r="A54" s="1456" t="s">
        <v>1180</v>
      </c>
      <c r="B54" s="1472">
        <f t="shared" si="162"/>
        <v>206.31694671589116</v>
      </c>
      <c r="C54" s="1472">
        <f t="shared" si="162"/>
        <v>183.61041121036101</v>
      </c>
      <c r="D54" s="1472">
        <f t="shared" si="144"/>
        <v>183.61041121036101</v>
      </c>
      <c r="E54" s="1472">
        <f t="shared" si="163"/>
        <v>276.66850301795557</v>
      </c>
      <c r="F54" s="1472">
        <f t="shared" si="163"/>
        <v>165.1360938278614</v>
      </c>
      <c r="G54" s="3302">
        <v>2008</v>
      </c>
      <c r="H54" s="1460">
        <v>2</v>
      </c>
      <c r="I54" s="1460">
        <v>4.93</v>
      </c>
      <c r="J54" s="1460">
        <v>7.38</v>
      </c>
      <c r="K54" s="1460">
        <v>3.98</v>
      </c>
      <c r="L54" s="1474">
        <v>6.86</v>
      </c>
      <c r="N54" s="1467">
        <f t="shared" si="146"/>
        <v>4.9299999999999997E-2</v>
      </c>
      <c r="O54" s="1468">
        <f t="shared" si="146"/>
        <v>7.3800000000000004E-2</v>
      </c>
      <c r="P54" s="1468">
        <f t="shared" si="146"/>
        <v>3.9800000000000002E-2</v>
      </c>
      <c r="Q54" s="1468">
        <f t="shared" si="146"/>
        <v>6.8600000000000008E-2</v>
      </c>
      <c r="R54" s="1469"/>
      <c r="S54" s="1467"/>
      <c r="T54" s="1468"/>
      <c r="U54" s="1468"/>
      <c r="V54" s="1468"/>
    </row>
    <row r="55" spans="1:26" s="1512" customFormat="1" ht="13.8" thickBot="1">
      <c r="A55" s="1456" t="s">
        <v>1181</v>
      </c>
      <c r="B55" s="1509">
        <f t="shared" si="162"/>
        <v>196.62341248059772</v>
      </c>
      <c r="C55" s="1509">
        <f t="shared" si="162"/>
        <v>170.99125648199012</v>
      </c>
      <c r="D55" s="1509">
        <f t="shared" si="144"/>
        <v>170.99125648199012</v>
      </c>
      <c r="E55" s="1509">
        <f t="shared" si="163"/>
        <v>266.07857570490052</v>
      </c>
      <c r="F55" s="1509">
        <f t="shared" si="163"/>
        <v>154.53499328828505</v>
      </c>
      <c r="G55" s="3303">
        <v>2008</v>
      </c>
      <c r="H55" s="1510">
        <v>1</v>
      </c>
      <c r="I55" s="1510">
        <v>4.1399999999999997</v>
      </c>
      <c r="J55" s="1510">
        <v>3.45</v>
      </c>
      <c r="K55" s="1510">
        <v>4.95</v>
      </c>
      <c r="L55" s="1511">
        <v>4.82</v>
      </c>
      <c r="N55" s="1513">
        <f t="shared" si="146"/>
        <v>4.1399999999999999E-2</v>
      </c>
      <c r="O55" s="1514">
        <f t="shared" si="146"/>
        <v>3.4500000000000003E-2</v>
      </c>
      <c r="P55" s="1514">
        <f t="shared" si="146"/>
        <v>4.9500000000000002E-2</v>
      </c>
      <c r="Q55" s="1514">
        <f t="shared" si="146"/>
        <v>4.82E-2</v>
      </c>
      <c r="R55" s="1515"/>
      <c r="S55" s="1513">
        <f>B55/B56-1</f>
        <v>4.5869215322328349E-2</v>
      </c>
      <c r="T55" s="1514">
        <f>C55/C56-1</f>
        <v>3.6310645345394743E-2</v>
      </c>
      <c r="U55" s="1514">
        <f>E55/E56-1</f>
        <v>4.7553447657088688E-2</v>
      </c>
      <c r="V55" s="1514">
        <f>F55/F56-1</f>
        <v>4.4155360055980086E-2</v>
      </c>
      <c r="X55" s="1516"/>
      <c r="Y55" s="1516"/>
      <c r="Z55" s="1516"/>
    </row>
    <row r="56" spans="1:26" ht="13.8" thickBot="1">
      <c r="A56" s="1456" t="s">
        <v>1182</v>
      </c>
      <c r="B56" s="1464">
        <v>188</v>
      </c>
      <c r="C56" s="1464">
        <v>165</v>
      </c>
      <c r="D56" s="1464">
        <f t="shared" si="144"/>
        <v>165</v>
      </c>
      <c r="E56" s="1464">
        <v>254</v>
      </c>
      <c r="F56" s="1465">
        <v>148</v>
      </c>
      <c r="G56" s="3301">
        <v>2007</v>
      </c>
      <c r="H56" s="1517">
        <v>4</v>
      </c>
      <c r="I56" s="1517">
        <v>5.51</v>
      </c>
      <c r="J56" s="1517">
        <v>4.8899999999999997</v>
      </c>
      <c r="K56" s="1517">
        <v>6.43</v>
      </c>
      <c r="L56" s="1518">
        <v>5.36</v>
      </c>
      <c r="N56" s="1519">
        <f t="shared" ref="N56:O59" si="164">B56/B57-1</f>
        <v>4.1339718365245526E-2</v>
      </c>
      <c r="O56" s="1520">
        <f t="shared" si="164"/>
        <v>4.0324492593776018E-2</v>
      </c>
      <c r="P56" s="1520">
        <f t="shared" ref="P56:Q59" si="165">E56/E57-1</f>
        <v>6.1625555347990968E-2</v>
      </c>
      <c r="Q56" s="1520">
        <f t="shared" si="165"/>
        <v>4.6757569250590603E-2</v>
      </c>
      <c r="R56" s="1469"/>
      <c r="S56" s="1470"/>
      <c r="T56" s="1471"/>
      <c r="U56" s="1471"/>
      <c r="V56" s="1471"/>
      <c r="X56" s="1471"/>
      <c r="Y56" s="1471"/>
      <c r="Z56" s="1471"/>
    </row>
    <row r="57" spans="1:26">
      <c r="A57" s="1456" t="s">
        <v>1183</v>
      </c>
      <c r="B57" s="1472">
        <f t="shared" ref="B57:C59" si="166">B58+(B$56-B$60)*I57/SUM(I$56:I$59)</f>
        <v>180.5366651097618</v>
      </c>
      <c r="C57" s="1472">
        <f t="shared" si="166"/>
        <v>158.60435967302453</v>
      </c>
      <c r="D57" s="1472">
        <f t="shared" si="144"/>
        <v>158.60435967302453</v>
      </c>
      <c r="E57" s="1472">
        <f t="shared" ref="E57:F59" si="167">E58+(E$56-E$60)*K57/SUM(K$56:K$59)</f>
        <v>239.25573260785075</v>
      </c>
      <c r="F57" s="1472">
        <f t="shared" si="167"/>
        <v>141.38899430740037</v>
      </c>
      <c r="G57" s="3302">
        <v>2007</v>
      </c>
      <c r="H57" s="1482">
        <v>3</v>
      </c>
      <c r="I57" s="1482">
        <v>8.65</v>
      </c>
      <c r="J57" s="1482">
        <v>8.06</v>
      </c>
      <c r="K57" s="1482">
        <v>9.94</v>
      </c>
      <c r="L57" s="1483">
        <v>5.8</v>
      </c>
      <c r="N57" s="1519">
        <f t="shared" si="164"/>
        <v>6.940217571740015E-2</v>
      </c>
      <c r="O57" s="1520">
        <f t="shared" si="164"/>
        <v>7.1197482471153428E-2</v>
      </c>
      <c r="P57" s="1520">
        <f t="shared" si="165"/>
        <v>0.10529679922579582</v>
      </c>
      <c r="Q57" s="1520">
        <f t="shared" si="165"/>
        <v>5.3292245059512133E-2</v>
      </c>
      <c r="R57" s="1469"/>
      <c r="S57" s="1467"/>
      <c r="T57" s="1468"/>
      <c r="U57" s="1468"/>
      <c r="V57" s="1468"/>
      <c r="X57" s="1521"/>
      <c r="Y57" s="1521"/>
      <c r="Z57" s="1521"/>
    </row>
    <row r="58" spans="1:26">
      <c r="A58" s="1456" t="s">
        <v>1184</v>
      </c>
      <c r="B58" s="1472">
        <f t="shared" si="166"/>
        <v>168.82017748715555</v>
      </c>
      <c r="C58" s="1472">
        <f t="shared" si="166"/>
        <v>148.06267029972753</v>
      </c>
      <c r="D58" s="1472">
        <f t="shared" si="144"/>
        <v>148.06267029972753</v>
      </c>
      <c r="E58" s="1472">
        <f t="shared" si="167"/>
        <v>216.46288379323747</v>
      </c>
      <c r="F58" s="1472">
        <f t="shared" si="167"/>
        <v>134.23529411764704</v>
      </c>
      <c r="G58" s="3302">
        <v>2007</v>
      </c>
      <c r="H58" s="1460">
        <v>2</v>
      </c>
      <c r="I58" s="1460">
        <v>3.67</v>
      </c>
      <c r="J58" s="1460">
        <v>2.3199999999999998</v>
      </c>
      <c r="K58" s="1460">
        <v>5.0199999999999996</v>
      </c>
      <c r="L58" s="1474">
        <v>6.71</v>
      </c>
      <c r="N58" s="1519">
        <f t="shared" si="164"/>
        <v>3.0339138143848032E-2</v>
      </c>
      <c r="O58" s="1520">
        <f t="shared" si="164"/>
        <v>2.0922341588790472E-2</v>
      </c>
      <c r="P58" s="1520">
        <f t="shared" si="165"/>
        <v>5.6164796592717003E-2</v>
      </c>
      <c r="Q58" s="1520">
        <f t="shared" si="165"/>
        <v>6.5704536723887319E-2</v>
      </c>
      <c r="R58" s="1469"/>
      <c r="S58" s="1467"/>
      <c r="T58" s="1468"/>
      <c r="U58" s="1468"/>
      <c r="V58" s="1468"/>
      <c r="X58" s="1521"/>
      <c r="Y58" s="1521"/>
      <c r="Z58" s="1521"/>
    </row>
    <row r="59" spans="1:26">
      <c r="A59" s="1456" t="s">
        <v>1185</v>
      </c>
      <c r="B59" s="1472">
        <f t="shared" si="166"/>
        <v>163.84913591779542</v>
      </c>
      <c r="C59" s="1472">
        <f t="shared" si="166"/>
        <v>145.0283378746594</v>
      </c>
      <c r="D59" s="1472">
        <f t="shared" si="144"/>
        <v>145.0283378746594</v>
      </c>
      <c r="E59" s="1472">
        <f t="shared" si="167"/>
        <v>204.95180722891567</v>
      </c>
      <c r="F59" s="1472">
        <f t="shared" si="167"/>
        <v>125.95920303605313</v>
      </c>
      <c r="G59" s="3303">
        <v>2007</v>
      </c>
      <c r="H59" s="1459">
        <v>1</v>
      </c>
      <c r="I59" s="1459">
        <v>3.58</v>
      </c>
      <c r="J59" s="1459">
        <v>3.08</v>
      </c>
      <c r="K59" s="1459">
        <v>4.34</v>
      </c>
      <c r="L59" s="1473">
        <v>3.21</v>
      </c>
      <c r="N59" s="1522">
        <f t="shared" si="164"/>
        <v>3.0497710174814063E-2</v>
      </c>
      <c r="O59" s="1523">
        <f t="shared" si="164"/>
        <v>2.8569772160704998E-2</v>
      </c>
      <c r="P59" s="1523">
        <f t="shared" si="165"/>
        <v>5.1034908866234296E-2</v>
      </c>
      <c r="Q59" s="1523">
        <f t="shared" si="165"/>
        <v>3.245248390207478E-2</v>
      </c>
      <c r="R59" s="1469"/>
      <c r="S59" s="1475">
        <f>B59/B60-1</f>
        <v>3.0497710174814063E-2</v>
      </c>
      <c r="T59" s="1476">
        <f>C59/C60-1</f>
        <v>2.8569772160704998E-2</v>
      </c>
      <c r="U59" s="1476">
        <f>E59/E60-1</f>
        <v>5.1034908866234296E-2</v>
      </c>
      <c r="V59" s="1476">
        <f>F59/F60-1</f>
        <v>3.245248390207478E-2</v>
      </c>
      <c r="X59" s="1521"/>
      <c r="Y59" s="1521"/>
      <c r="Z59" s="1521"/>
    </row>
    <row r="60" spans="1:26" ht="13.8" thickBot="1">
      <c r="A60" s="1456" t="s">
        <v>1186</v>
      </c>
      <c r="B60" s="1485">
        <v>159</v>
      </c>
      <c r="C60" s="1485">
        <v>141</v>
      </c>
      <c r="D60" s="1485">
        <f t="shared" si="144"/>
        <v>141</v>
      </c>
      <c r="E60" s="1485">
        <v>195</v>
      </c>
      <c r="F60" s="1486">
        <v>122</v>
      </c>
      <c r="G60" s="3301">
        <v>2006</v>
      </c>
      <c r="H60" s="1477">
        <v>4</v>
      </c>
      <c r="I60" s="1477">
        <v>3.79</v>
      </c>
      <c r="J60" s="1477">
        <v>2.21</v>
      </c>
      <c r="K60" s="1477">
        <v>5.65</v>
      </c>
      <c r="L60" s="1478">
        <v>5.41</v>
      </c>
      <c r="N60" s="1519">
        <f t="shared" ref="N60:O63" si="168">I60/SUM(I$60:I$63)*(B$60/B$64-1)</f>
        <v>7.245466462748526E-2</v>
      </c>
      <c r="O60" s="1520">
        <f t="shared" si="168"/>
        <v>2.3237230038062766E-2</v>
      </c>
      <c r="P60" s="1520">
        <f t="shared" ref="P60:Q63" si="169">K60/SUM(K$60:K$63)*(E$60/E$64-1)</f>
        <v>0.16146893866323722</v>
      </c>
      <c r="Q60" s="1520">
        <f t="shared" si="169"/>
        <v>5.0755230321793784E-2</v>
      </c>
      <c r="R60" s="1469"/>
      <c r="S60" s="1470"/>
      <c r="T60" s="1471"/>
      <c r="U60" s="1471"/>
      <c r="V60" s="1471"/>
      <c r="X60" s="1521"/>
      <c r="Y60" s="1521"/>
      <c r="Z60" s="1521"/>
    </row>
    <row r="61" spans="1:26">
      <c r="A61" s="1456" t="s">
        <v>1187</v>
      </c>
      <c r="B61" s="1472">
        <f t="shared" ref="B61:C63" si="170">B62+(B$60-B$64)*I61/SUM(I$60:I$63)</f>
        <v>149.00125628140702</v>
      </c>
      <c r="C61" s="1472">
        <f t="shared" si="170"/>
        <v>137.95592286501378</v>
      </c>
      <c r="D61" s="1472">
        <f t="shared" si="144"/>
        <v>137.95592286501378</v>
      </c>
      <c r="E61" s="1472">
        <f t="shared" ref="E61:F63" si="171">E62+(E$60-E$64)*K61/SUM(K$60:K$63)</f>
        <v>169.97231450719823</v>
      </c>
      <c r="F61" s="1472">
        <f t="shared" si="171"/>
        <v>116.21390374331551</v>
      </c>
      <c r="G61" s="3302">
        <v>2006</v>
      </c>
      <c r="H61" s="1482">
        <v>3</v>
      </c>
      <c r="I61" s="1482">
        <v>0.92</v>
      </c>
      <c r="J61" s="1482">
        <v>1.08</v>
      </c>
      <c r="K61" s="1482">
        <v>0.73</v>
      </c>
      <c r="L61" s="1483">
        <v>1.08</v>
      </c>
      <c r="N61" s="1519">
        <f t="shared" si="168"/>
        <v>1.7587939698492462E-2</v>
      </c>
      <c r="O61" s="1520">
        <f t="shared" si="168"/>
        <v>1.1355750425840628E-2</v>
      </c>
      <c r="P61" s="1520">
        <f t="shared" si="169"/>
        <v>2.0862358446754544E-2</v>
      </c>
      <c r="Q61" s="1520">
        <f t="shared" si="169"/>
        <v>1.0132282578103011E-2</v>
      </c>
      <c r="R61" s="1469"/>
      <c r="S61" s="1467"/>
      <c r="T61" s="1468"/>
      <c r="U61" s="1468"/>
      <c r="V61" s="1468"/>
      <c r="X61" s="1521"/>
      <c r="Y61" s="1521"/>
      <c r="Z61" s="1521"/>
    </row>
    <row r="62" spans="1:26">
      <c r="A62" s="1456" t="s">
        <v>1188</v>
      </c>
      <c r="B62" s="1472">
        <f t="shared" si="170"/>
        <v>146.57412060301507</v>
      </c>
      <c r="C62" s="1472">
        <f t="shared" si="170"/>
        <v>136.46831955922866</v>
      </c>
      <c r="D62" s="1472">
        <f t="shared" si="144"/>
        <v>136.46831955922866</v>
      </c>
      <c r="E62" s="1472">
        <f t="shared" si="171"/>
        <v>166.73864894795128</v>
      </c>
      <c r="F62" s="1472">
        <f t="shared" si="171"/>
        <v>115.05882352941177</v>
      </c>
      <c r="G62" s="3302">
        <v>2006</v>
      </c>
      <c r="H62" s="1460">
        <v>2</v>
      </c>
      <c r="I62" s="1460">
        <v>0.96</v>
      </c>
      <c r="J62" s="1460">
        <v>0.25</v>
      </c>
      <c r="K62" s="1460">
        <v>1.9</v>
      </c>
      <c r="L62" s="1474">
        <v>0.95</v>
      </c>
      <c r="N62" s="1519">
        <f t="shared" si="168"/>
        <v>1.8352632728861701E-2</v>
      </c>
      <c r="O62" s="1520">
        <f t="shared" si="168"/>
        <v>2.6286459319075526E-3</v>
      </c>
      <c r="P62" s="1520">
        <f t="shared" si="169"/>
        <v>5.4299289107991269E-2</v>
      </c>
      <c r="Q62" s="1520">
        <f t="shared" si="169"/>
        <v>8.9126559714794995E-3</v>
      </c>
      <c r="R62" s="1469"/>
      <c r="S62" s="1467"/>
      <c r="T62" s="1468"/>
      <c r="U62" s="1468"/>
      <c r="V62" s="1468"/>
      <c r="X62" s="1521"/>
      <c r="Y62" s="1521"/>
      <c r="Z62" s="1521"/>
    </row>
    <row r="63" spans="1:26">
      <c r="A63" s="1456" t="s">
        <v>1189</v>
      </c>
      <c r="B63" s="1472">
        <f t="shared" si="170"/>
        <v>144.04145728643215</v>
      </c>
      <c r="C63" s="1472">
        <f t="shared" si="170"/>
        <v>136.12396694214877</v>
      </c>
      <c r="D63" s="1472">
        <f t="shared" si="144"/>
        <v>136.12396694214877</v>
      </c>
      <c r="E63" s="1472">
        <f t="shared" si="171"/>
        <v>158.32225913621264</v>
      </c>
      <c r="F63" s="1472">
        <f t="shared" si="171"/>
        <v>114.04278074866311</v>
      </c>
      <c r="G63" s="3303">
        <v>2006</v>
      </c>
      <c r="H63" s="1459">
        <v>1</v>
      </c>
      <c r="I63" s="1459">
        <v>2.29</v>
      </c>
      <c r="J63" s="1459">
        <v>3.72</v>
      </c>
      <c r="K63" s="1459">
        <v>0.75</v>
      </c>
      <c r="L63" s="1473">
        <v>0.04</v>
      </c>
      <c r="N63" s="1522">
        <f t="shared" si="168"/>
        <v>4.3778675988638847E-2</v>
      </c>
      <c r="O63" s="1523">
        <f t="shared" si="168"/>
        <v>3.9114251466784385E-2</v>
      </c>
      <c r="P63" s="1523">
        <f t="shared" si="169"/>
        <v>2.1433929911049188E-2</v>
      </c>
      <c r="Q63" s="1523">
        <f t="shared" si="169"/>
        <v>3.7526972511492629E-4</v>
      </c>
      <c r="R63" s="1469"/>
      <c r="S63" s="1475">
        <f>B63/B64-1</f>
        <v>4.3778675988638716E-2</v>
      </c>
      <c r="T63" s="1476">
        <f>C63/C64-1</f>
        <v>3.91142514667846E-2</v>
      </c>
      <c r="U63" s="1476">
        <f>E63/E64-1</f>
        <v>2.143392991104931E-2</v>
      </c>
      <c r="V63" s="1476">
        <f>F63/F64-1</f>
        <v>3.7526972511492396E-4</v>
      </c>
      <c r="X63" s="1521"/>
      <c r="Y63" s="1521"/>
      <c r="Z63" s="1521"/>
    </row>
    <row r="64" spans="1:26" ht="13.8" thickBot="1">
      <c r="A64" s="1456" t="s">
        <v>1190</v>
      </c>
      <c r="B64" s="1485">
        <v>138</v>
      </c>
      <c r="C64" s="1485">
        <v>131</v>
      </c>
      <c r="D64" s="1485">
        <f t="shared" si="144"/>
        <v>131</v>
      </c>
      <c r="E64" s="1485">
        <v>155</v>
      </c>
      <c r="F64" s="1486">
        <v>114</v>
      </c>
      <c r="G64" s="3301">
        <v>2005</v>
      </c>
      <c r="H64" s="1477">
        <v>4</v>
      </c>
      <c r="I64" s="1477">
        <v>3.29</v>
      </c>
      <c r="J64" s="1477">
        <v>1.44</v>
      </c>
      <c r="K64" s="1477">
        <v>0.66</v>
      </c>
      <c r="L64" s="1478">
        <v>7.78</v>
      </c>
      <c r="N64" s="1519">
        <f t="shared" ref="N64:O67" si="172">I64/SUM(I$64:I$67)*(B$64/B$68-1)</f>
        <v>9.9404603216919935E-2</v>
      </c>
      <c r="O64" s="1520">
        <f t="shared" si="172"/>
        <v>4.7636550760861554E-2</v>
      </c>
      <c r="P64" s="1520">
        <f t="shared" ref="P64:Q67" si="173">K64/SUM(K$64:K$67)*(E$64/E$68-1)</f>
        <v>8.3756345177664976E-2</v>
      </c>
      <c r="Q64" s="1520">
        <f t="shared" si="173"/>
        <v>5.2148766661559584E-2</v>
      </c>
      <c r="R64" s="1469"/>
      <c r="S64" s="1470"/>
      <c r="T64" s="1471"/>
      <c r="U64" s="1471"/>
      <c r="V64" s="1471"/>
      <c r="X64" s="1521"/>
      <c r="Y64" s="1521"/>
      <c r="Z64" s="1521"/>
    </row>
    <row r="65" spans="1:26">
      <c r="A65" s="1456" t="s">
        <v>1191</v>
      </c>
      <c r="B65" s="1472">
        <f t="shared" ref="B65:C67" si="174">B66+(B$64-B$68)*I65/SUM(I$64:I$67)</f>
        <v>125.9720430107527</v>
      </c>
      <c r="C65" s="1472">
        <f t="shared" si="174"/>
        <v>125.1883408071749</v>
      </c>
      <c r="D65" s="1472">
        <f t="shared" si="144"/>
        <v>125.1883408071749</v>
      </c>
      <c r="E65" s="1472">
        <f t="shared" ref="E65:F67" si="175">E66+(E$64-E$68)*K65/SUM(K$64:K$67)</f>
        <v>144.61421319796952</v>
      </c>
      <c r="F65" s="1472">
        <f t="shared" si="175"/>
        <v>108.42008196721311</v>
      </c>
      <c r="G65" s="3302">
        <v>2005</v>
      </c>
      <c r="H65" s="1482">
        <v>3</v>
      </c>
      <c r="I65" s="1482">
        <v>0.46</v>
      </c>
      <c r="J65" s="1482">
        <v>0.32</v>
      </c>
      <c r="K65" s="1482">
        <v>0.42</v>
      </c>
      <c r="L65" s="1483">
        <v>0.64</v>
      </c>
      <c r="N65" s="1519">
        <f t="shared" si="172"/>
        <v>1.3898515951301874E-2</v>
      </c>
      <c r="O65" s="1520">
        <f t="shared" si="172"/>
        <v>1.0585900169080346E-2</v>
      </c>
      <c r="P65" s="1520">
        <f t="shared" si="173"/>
        <v>5.3299492385786795E-2</v>
      </c>
      <c r="Q65" s="1520">
        <f t="shared" si="173"/>
        <v>4.2898728359123568E-3</v>
      </c>
      <c r="R65" s="1469"/>
      <c r="S65" s="1467"/>
      <c r="T65" s="1468"/>
      <c r="U65" s="1468"/>
      <c r="V65" s="1468"/>
      <c r="X65" s="1521"/>
      <c r="Y65" s="1521"/>
      <c r="Z65" s="1521"/>
    </row>
    <row r="66" spans="1:26">
      <c r="A66" s="1456" t="s">
        <v>1192</v>
      </c>
      <c r="B66" s="1472">
        <f t="shared" si="174"/>
        <v>124.29032258064517</v>
      </c>
      <c r="C66" s="1472">
        <f t="shared" si="174"/>
        <v>123.8968609865471</v>
      </c>
      <c r="D66" s="1472">
        <f t="shared" si="144"/>
        <v>123.8968609865471</v>
      </c>
      <c r="E66" s="1472">
        <f t="shared" si="175"/>
        <v>138.00507614213197</v>
      </c>
      <c r="F66" s="1472">
        <f t="shared" si="175"/>
        <v>107.96106557377048</v>
      </c>
      <c r="G66" s="3302">
        <v>2005</v>
      </c>
      <c r="H66" s="1460">
        <v>2</v>
      </c>
      <c r="I66" s="1460">
        <v>0.47</v>
      </c>
      <c r="J66" s="1460">
        <v>0.1</v>
      </c>
      <c r="K66" s="1460">
        <v>0.52</v>
      </c>
      <c r="L66" s="1474">
        <v>0.79</v>
      </c>
      <c r="N66" s="1519">
        <f t="shared" si="172"/>
        <v>1.420065760241713E-2</v>
      </c>
      <c r="O66" s="1520">
        <f t="shared" si="172"/>
        <v>3.3080938028376083E-3</v>
      </c>
      <c r="P66" s="1520">
        <f t="shared" si="173"/>
        <v>6.598984771573603E-2</v>
      </c>
      <c r="Q66" s="1520">
        <f t="shared" si="173"/>
        <v>5.2953117818293153E-3</v>
      </c>
      <c r="R66" s="1469"/>
      <c r="S66" s="1467"/>
      <c r="T66" s="1468"/>
      <c r="U66" s="1468"/>
      <c r="V66" s="1468"/>
      <c r="X66" s="1521"/>
      <c r="Y66" s="1521"/>
      <c r="Z66" s="1521"/>
    </row>
    <row r="67" spans="1:26">
      <c r="A67" s="1456" t="s">
        <v>1193</v>
      </c>
      <c r="B67" s="1472">
        <f t="shared" si="174"/>
        <v>122.57204301075269</v>
      </c>
      <c r="C67" s="1472">
        <f t="shared" si="174"/>
        <v>123.4932735426009</v>
      </c>
      <c r="D67" s="1472">
        <f t="shared" si="144"/>
        <v>123.4932735426009</v>
      </c>
      <c r="E67" s="1472">
        <f t="shared" si="175"/>
        <v>129.82233502538071</v>
      </c>
      <c r="F67" s="1472">
        <f t="shared" si="175"/>
        <v>107.39446721311475</v>
      </c>
      <c r="G67" s="3303">
        <v>2005</v>
      </c>
      <c r="H67" s="1459">
        <v>1</v>
      </c>
      <c r="I67" s="1459">
        <v>0.43</v>
      </c>
      <c r="J67" s="1459">
        <v>0.37</v>
      </c>
      <c r="K67" s="1459">
        <v>0.37</v>
      </c>
      <c r="L67" s="1473">
        <v>0.55000000000000004</v>
      </c>
      <c r="N67" s="1522">
        <f t="shared" si="172"/>
        <v>1.2992090997956099E-2</v>
      </c>
      <c r="O67" s="1523">
        <f t="shared" si="172"/>
        <v>1.2239947070499151E-2</v>
      </c>
      <c r="P67" s="1523">
        <f t="shared" si="173"/>
        <v>4.6954314720812178E-2</v>
      </c>
      <c r="Q67" s="1523">
        <f t="shared" si="173"/>
        <v>3.6866094683621815E-3</v>
      </c>
      <c r="R67" s="1469"/>
      <c r="S67" s="1475">
        <f>B67/B68-1</f>
        <v>1.2992090997956174E-2</v>
      </c>
      <c r="T67" s="1476">
        <f>C67/C68-1</f>
        <v>1.2239947070499246E-2</v>
      </c>
      <c r="U67" s="1476">
        <f>E67/E68-1</f>
        <v>4.695431472081224E-2</v>
      </c>
      <c r="V67" s="1476">
        <f>F67/F68-1</f>
        <v>3.6866094683620787E-3</v>
      </c>
      <c r="X67" s="1521"/>
      <c r="Y67" s="1521"/>
      <c r="Z67" s="1521"/>
    </row>
    <row r="68" spans="1:26" ht="13.8" thickBot="1">
      <c r="A68" s="1456" t="s">
        <v>1194</v>
      </c>
      <c r="B68" s="1506">
        <v>121</v>
      </c>
      <c r="C68" s="1506">
        <v>122</v>
      </c>
      <c r="D68" s="1506">
        <f t="shared" si="144"/>
        <v>122</v>
      </c>
      <c r="E68" s="1506">
        <v>124</v>
      </c>
      <c r="F68" s="1507">
        <v>107</v>
      </c>
      <c r="G68" s="3301">
        <v>2004</v>
      </c>
      <c r="H68" s="1477">
        <v>4</v>
      </c>
      <c r="I68" s="1477">
        <v>0.33</v>
      </c>
      <c r="J68" s="1477">
        <v>0.5</v>
      </c>
      <c r="K68" s="1477">
        <v>0.5</v>
      </c>
      <c r="L68" s="1478">
        <v>0</v>
      </c>
      <c r="N68" s="1519">
        <f t="shared" ref="N68:O71" si="176">I68/SUM(I$68:I$71)*(B$68/B$72-1)</f>
        <v>1.3391770148526898E-2</v>
      </c>
      <c r="O68" s="1520">
        <f t="shared" si="176"/>
        <v>1.063264221158958E-2</v>
      </c>
      <c r="P68" s="1520">
        <f t="shared" ref="P68:Q71" si="177">K68/SUM(K$68:K$71)*(E$68/E$72-1)</f>
        <v>2.2244466688911134E-2</v>
      </c>
      <c r="Q68" s="1520">
        <f t="shared" si="177"/>
        <v>0</v>
      </c>
      <c r="R68" s="1469"/>
      <c r="S68" s="1470"/>
      <c r="T68" s="1471"/>
      <c r="U68" s="1471"/>
      <c r="V68" s="1471"/>
      <c r="X68" s="1521"/>
      <c r="Y68" s="1521"/>
      <c r="Z68" s="1521"/>
    </row>
    <row r="69" spans="1:26">
      <c r="A69" s="1456" t="s">
        <v>1195</v>
      </c>
      <c r="B69" s="1472">
        <f t="shared" ref="B69:C71" si="178">B70+(B$68-B$72)*I69/SUM(I$68:I$71)</f>
        <v>119.51351351351352</v>
      </c>
      <c r="C69" s="1472">
        <f t="shared" si="178"/>
        <v>120.7878787878788</v>
      </c>
      <c r="D69" s="1472">
        <f t="shared" si="144"/>
        <v>120.7878787878788</v>
      </c>
      <c r="E69" s="1472">
        <f t="shared" ref="E69:F71" si="179">E70+(E$68-E$72)*K69/SUM(K$68:K$71)</f>
        <v>121.5975975975976</v>
      </c>
      <c r="F69" s="1472">
        <f t="shared" si="179"/>
        <v>107</v>
      </c>
      <c r="G69" s="3302">
        <v>2004</v>
      </c>
      <c r="H69" s="1482">
        <v>3</v>
      </c>
      <c r="I69" s="1482">
        <v>0.56000000000000005</v>
      </c>
      <c r="J69" s="1482">
        <v>0.8</v>
      </c>
      <c r="K69" s="1482">
        <v>0.83</v>
      </c>
      <c r="L69" s="1483">
        <v>0.06</v>
      </c>
      <c r="N69" s="1519">
        <f t="shared" si="176"/>
        <v>2.2725428130833527E-2</v>
      </c>
      <c r="O69" s="1520">
        <f t="shared" si="176"/>
        <v>1.7012227538543329E-2</v>
      </c>
      <c r="P69" s="1520">
        <f t="shared" si="177"/>
        <v>3.6925814703592477E-2</v>
      </c>
      <c r="Q69" s="1520">
        <f t="shared" si="177"/>
        <v>2.8846153846153744E-2</v>
      </c>
      <c r="R69" s="1469"/>
      <c r="S69" s="1467"/>
      <c r="T69" s="1468"/>
      <c r="U69" s="1468"/>
      <c r="V69" s="1468"/>
      <c r="X69" s="1521"/>
      <c r="Y69" s="1521"/>
      <c r="Z69" s="1521"/>
    </row>
    <row r="70" spans="1:26">
      <c r="A70" s="1456" t="s">
        <v>1196</v>
      </c>
      <c r="B70" s="1472">
        <f t="shared" si="178"/>
        <v>116.99099099099099</v>
      </c>
      <c r="C70" s="1472">
        <f t="shared" si="178"/>
        <v>118.84848484848486</v>
      </c>
      <c r="D70" s="1472">
        <f t="shared" si="144"/>
        <v>118.84848484848486</v>
      </c>
      <c r="E70" s="1472">
        <f t="shared" si="179"/>
        <v>117.60960960960961</v>
      </c>
      <c r="F70" s="1472">
        <f t="shared" si="179"/>
        <v>104</v>
      </c>
      <c r="G70" s="3302">
        <v>2004</v>
      </c>
      <c r="H70" s="1460">
        <v>2</v>
      </c>
      <c r="I70" s="1460">
        <v>1</v>
      </c>
      <c r="J70" s="1460">
        <v>1.5</v>
      </c>
      <c r="K70" s="1460">
        <v>1.5</v>
      </c>
      <c r="L70" s="1474">
        <v>0</v>
      </c>
      <c r="N70" s="1519">
        <f t="shared" si="176"/>
        <v>4.0581121662202721E-2</v>
      </c>
      <c r="O70" s="1520">
        <f t="shared" si="176"/>
        <v>3.1897926634768738E-2</v>
      </c>
      <c r="P70" s="1520">
        <f t="shared" si="177"/>
        <v>6.6733400066733395E-2</v>
      </c>
      <c r="Q70" s="1520">
        <f t="shared" si="177"/>
        <v>0</v>
      </c>
      <c r="R70" s="1469"/>
      <c r="S70" s="1467"/>
      <c r="T70" s="1468"/>
      <c r="U70" s="1468"/>
      <c r="V70" s="1468"/>
      <c r="X70" s="1521"/>
      <c r="Y70" s="1521"/>
      <c r="Z70" s="1521"/>
    </row>
    <row r="71" spans="1:26" s="1512" customFormat="1" ht="13.8" thickBot="1">
      <c r="A71" s="1456" t="s">
        <v>1197</v>
      </c>
      <c r="B71" s="1509">
        <f t="shared" si="178"/>
        <v>112.48648648648648</v>
      </c>
      <c r="C71" s="1509">
        <f t="shared" si="178"/>
        <v>115.21212121212122</v>
      </c>
      <c r="D71" s="1509">
        <f t="shared" si="144"/>
        <v>115.21212121212122</v>
      </c>
      <c r="E71" s="1509">
        <f t="shared" si="179"/>
        <v>110.4024024024024</v>
      </c>
      <c r="F71" s="1509">
        <f t="shared" si="179"/>
        <v>104</v>
      </c>
      <c r="G71" s="3303">
        <v>2004</v>
      </c>
      <c r="H71" s="1510">
        <v>1</v>
      </c>
      <c r="I71" s="1510">
        <v>0.33</v>
      </c>
      <c r="J71" s="1510">
        <v>0.5</v>
      </c>
      <c r="K71" s="1510">
        <v>0.5</v>
      </c>
      <c r="L71" s="1511">
        <v>0</v>
      </c>
      <c r="N71" s="1524">
        <f t="shared" si="176"/>
        <v>1.3391770148526898E-2</v>
      </c>
      <c r="O71" s="1525">
        <f t="shared" si="176"/>
        <v>1.063264221158958E-2</v>
      </c>
      <c r="P71" s="1525">
        <f t="shared" si="177"/>
        <v>2.2244466688911134E-2</v>
      </c>
      <c r="Q71" s="1525">
        <f t="shared" si="177"/>
        <v>0</v>
      </c>
      <c r="R71" s="1515"/>
      <c r="S71" s="1513">
        <f>B71/B72-1</f>
        <v>1.3391770148526883E-2</v>
      </c>
      <c r="T71" s="1514">
        <f>C71/C72-1</f>
        <v>1.063264221158966E-2</v>
      </c>
      <c r="U71" s="1514">
        <f>E71/E72-1</f>
        <v>2.2244466688911224E-2</v>
      </c>
      <c r="V71" s="1514">
        <f>F71/F72-1</f>
        <v>0</v>
      </c>
      <c r="X71" s="1526"/>
      <c r="Y71" s="1526"/>
      <c r="Z71" s="1526"/>
    </row>
    <row r="72" spans="1:26" ht="13.8" thickBot="1">
      <c r="A72" s="1456" t="s">
        <v>1198</v>
      </c>
      <c r="B72" s="1527">
        <v>111</v>
      </c>
      <c r="C72" s="1527">
        <v>114</v>
      </c>
      <c r="D72" s="1527">
        <f t="shared" si="144"/>
        <v>114</v>
      </c>
      <c r="E72" s="1527">
        <v>108</v>
      </c>
      <c r="F72" s="1528">
        <v>104</v>
      </c>
      <c r="G72" s="3301">
        <v>2003</v>
      </c>
      <c r="H72" s="1517">
        <v>4</v>
      </c>
      <c r="I72" s="1529"/>
      <c r="J72" s="1529"/>
      <c r="K72" s="1529"/>
      <c r="L72" s="1529"/>
      <c r="N72" s="1530"/>
      <c r="O72" s="1529"/>
      <c r="P72" s="1529"/>
      <c r="Q72" s="1529"/>
      <c r="S72" s="1530"/>
      <c r="T72" s="1529"/>
      <c r="U72" s="1529"/>
      <c r="V72" s="1529"/>
      <c r="X72" s="1521"/>
      <c r="Y72" s="1521"/>
      <c r="Z72" s="1521"/>
    </row>
    <row r="73" spans="1:26">
      <c r="A73" s="1456" t="s">
        <v>1199</v>
      </c>
      <c r="B73" s="1531">
        <f t="shared" ref="B73:C75" si="180">B74+(B$72-B$76)/4</f>
        <v>109.75</v>
      </c>
      <c r="C73" s="1531">
        <f t="shared" si="180"/>
        <v>112.25</v>
      </c>
      <c r="D73" s="1531">
        <f t="shared" si="144"/>
        <v>112.25</v>
      </c>
      <c r="E73" s="1531">
        <f t="shared" ref="E73:F75" si="181">E74+(E$72-E$76)/4</f>
        <v>107.25</v>
      </c>
      <c r="F73" s="1531">
        <f t="shared" si="181"/>
        <v>103.5</v>
      </c>
      <c r="G73" s="3302">
        <v>2003</v>
      </c>
      <c r="H73" s="1482">
        <v>3</v>
      </c>
      <c r="I73" s="1529"/>
      <c r="J73" s="1529"/>
      <c r="K73" s="1529"/>
      <c r="L73" s="1529"/>
      <c r="X73" s="1521"/>
      <c r="Y73" s="1521"/>
      <c r="Z73" s="1521"/>
    </row>
    <row r="74" spans="1:26">
      <c r="A74" s="1456" t="s">
        <v>1200</v>
      </c>
      <c r="B74" s="1531">
        <f t="shared" si="180"/>
        <v>108.5</v>
      </c>
      <c r="C74" s="1531">
        <f t="shared" si="180"/>
        <v>110.5</v>
      </c>
      <c r="D74" s="1531">
        <f t="shared" si="144"/>
        <v>110.5</v>
      </c>
      <c r="E74" s="1531">
        <f t="shared" si="181"/>
        <v>106.5</v>
      </c>
      <c r="F74" s="1531">
        <f t="shared" si="181"/>
        <v>103</v>
      </c>
      <c r="G74" s="3302">
        <v>2003</v>
      </c>
      <c r="H74" s="1460">
        <v>2</v>
      </c>
      <c r="I74" s="1529"/>
      <c r="J74" s="1529"/>
      <c r="K74" s="1529"/>
      <c r="L74" s="1529"/>
      <c r="X74" s="1521"/>
      <c r="Y74" s="1521"/>
      <c r="Z74" s="1521"/>
    </row>
    <row r="75" spans="1:26" ht="13.8" thickBot="1">
      <c r="A75" s="1456" t="s">
        <v>1201</v>
      </c>
      <c r="B75" s="1531">
        <f t="shared" si="180"/>
        <v>107.25</v>
      </c>
      <c r="C75" s="1531">
        <f t="shared" si="180"/>
        <v>108.75</v>
      </c>
      <c r="D75" s="1531">
        <f t="shared" si="144"/>
        <v>108.75</v>
      </c>
      <c r="E75" s="1531">
        <f t="shared" si="181"/>
        <v>105.75</v>
      </c>
      <c r="F75" s="1531">
        <f t="shared" si="181"/>
        <v>102.5</v>
      </c>
      <c r="G75" s="3303">
        <v>2003</v>
      </c>
      <c r="H75" s="1532">
        <v>1</v>
      </c>
      <c r="I75" s="1529"/>
      <c r="J75" s="1529"/>
      <c r="K75" s="1529"/>
      <c r="L75" s="1529"/>
      <c r="S75" s="1467"/>
      <c r="T75" s="1468"/>
      <c r="U75" s="1468"/>
      <c r="X75" s="1521"/>
      <c r="Y75" s="1521"/>
      <c r="Z75" s="1521"/>
    </row>
    <row r="76" spans="1:26" ht="13.8" thickBot="1">
      <c r="A76" s="1456" t="s">
        <v>1202</v>
      </c>
      <c r="B76" s="1533">
        <v>106</v>
      </c>
      <c r="C76" s="1533">
        <v>107</v>
      </c>
      <c r="D76" s="1533">
        <f t="shared" si="144"/>
        <v>107</v>
      </c>
      <c r="E76" s="1533">
        <v>105</v>
      </c>
      <c r="F76" s="1534">
        <v>102</v>
      </c>
      <c r="G76" s="3301">
        <v>2002</v>
      </c>
      <c r="H76" s="1477">
        <v>4</v>
      </c>
      <c r="I76" s="1529"/>
      <c r="J76" s="1529"/>
      <c r="K76" s="1529"/>
      <c r="L76" s="1529"/>
      <c r="N76" s="1530"/>
      <c r="O76" s="1529"/>
      <c r="P76" s="1529"/>
      <c r="Q76" s="1529"/>
      <c r="S76" s="1530"/>
      <c r="T76" s="1529"/>
      <c r="U76" s="1529"/>
      <c r="V76" s="1529"/>
      <c r="X76" s="1521"/>
      <c r="Y76" s="1521"/>
      <c r="Z76" s="1521"/>
    </row>
    <row r="77" spans="1:26">
      <c r="A77" s="1456" t="s">
        <v>1203</v>
      </c>
      <c r="B77" s="1531">
        <f t="shared" ref="B77:C79" si="182">B78+(B$76-B$80)/4</f>
        <v>105</v>
      </c>
      <c r="C77" s="1531">
        <f t="shared" si="182"/>
        <v>106</v>
      </c>
      <c r="D77" s="1531">
        <f t="shared" si="144"/>
        <v>106</v>
      </c>
      <c r="E77" s="1531">
        <f t="shared" ref="E77:F79" si="183">E78+(E$76-E$80)/4</f>
        <v>104.5</v>
      </c>
      <c r="F77" s="1531">
        <f t="shared" si="183"/>
        <v>101.5</v>
      </c>
      <c r="G77" s="3302">
        <v>2002</v>
      </c>
      <c r="H77" s="1482">
        <v>3</v>
      </c>
      <c r="I77" s="1529"/>
      <c r="J77" s="1529"/>
      <c r="K77" s="1529"/>
      <c r="L77" s="1529"/>
      <c r="X77" s="1521"/>
      <c r="Y77" s="1521"/>
      <c r="Z77" s="1521"/>
    </row>
    <row r="78" spans="1:26">
      <c r="A78" s="1456" t="s">
        <v>1204</v>
      </c>
      <c r="B78" s="1531">
        <f t="shared" si="182"/>
        <v>104</v>
      </c>
      <c r="C78" s="1531">
        <f t="shared" si="182"/>
        <v>105</v>
      </c>
      <c r="D78" s="1531">
        <f t="shared" si="144"/>
        <v>105</v>
      </c>
      <c r="E78" s="1531">
        <f t="shared" si="183"/>
        <v>104</v>
      </c>
      <c r="F78" s="1531">
        <f t="shared" si="183"/>
        <v>101</v>
      </c>
      <c r="G78" s="3302">
        <v>2002</v>
      </c>
      <c r="H78" s="1460">
        <v>2</v>
      </c>
      <c r="I78" s="1529"/>
      <c r="J78" s="1529"/>
      <c r="K78" s="1529"/>
      <c r="L78" s="1529"/>
      <c r="X78" s="1521"/>
      <c r="Y78" s="1521"/>
      <c r="Z78" s="1521"/>
    </row>
    <row r="79" spans="1:26" s="1493" customFormat="1" ht="13.8" thickBot="1">
      <c r="A79" s="1489" t="s">
        <v>1205</v>
      </c>
      <c r="B79" s="1535">
        <f t="shared" si="182"/>
        <v>103</v>
      </c>
      <c r="C79" s="1535">
        <f t="shared" si="182"/>
        <v>104</v>
      </c>
      <c r="D79" s="1535">
        <f t="shared" si="144"/>
        <v>104</v>
      </c>
      <c r="E79" s="1535">
        <f t="shared" si="183"/>
        <v>103.5</v>
      </c>
      <c r="F79" s="1535">
        <f t="shared" si="183"/>
        <v>100.5</v>
      </c>
      <c r="G79" s="3303">
        <v>2002</v>
      </c>
      <c r="H79" s="1536">
        <v>1</v>
      </c>
      <c r="I79" s="1537"/>
      <c r="J79" s="1537"/>
      <c r="K79" s="1537"/>
      <c r="L79" s="1537"/>
      <c r="N79" s="1538"/>
      <c r="S79" s="1538"/>
      <c r="X79" s="1539"/>
      <c r="Y79" s="1539"/>
      <c r="Z79" s="1539"/>
    </row>
    <row r="80" spans="1:26" ht="13.8" thickBot="1">
      <c r="B80" s="1540">
        <v>102</v>
      </c>
      <c r="C80" s="1541">
        <v>103</v>
      </c>
      <c r="D80" s="1541">
        <f t="shared" si="144"/>
        <v>103</v>
      </c>
      <c r="E80" s="1541">
        <v>103</v>
      </c>
      <c r="F80" s="1542">
        <v>100</v>
      </c>
      <c r="I80" s="1529"/>
      <c r="J80" s="1529"/>
      <c r="K80" s="1529"/>
      <c r="L80" s="1529"/>
      <c r="N80" s="1530"/>
      <c r="O80" s="1529"/>
      <c r="P80" s="1529"/>
      <c r="Q80" s="1529"/>
      <c r="S80" s="1530"/>
      <c r="T80" s="1529"/>
      <c r="U80" s="1529"/>
      <c r="V80" s="1529"/>
      <c r="X80" s="1471"/>
      <c r="Y80" s="1471"/>
      <c r="Z80" s="1471"/>
    </row>
    <row r="82" spans="1:22" s="1544" customFormat="1">
      <c r="A82" s="1543" t="s">
        <v>1206</v>
      </c>
      <c r="G82" s="1545"/>
      <c r="N82" s="1545"/>
      <c r="S82" s="1545"/>
    </row>
    <row r="83" spans="1:22" s="1544" customFormat="1">
      <c r="A83" s="1544" t="s">
        <v>1207</v>
      </c>
      <c r="G83" s="1545"/>
      <c r="N83" s="1545"/>
      <c r="S83" s="1545"/>
    </row>
    <row r="84" spans="1:22" s="1544" customFormat="1">
      <c r="A84" s="1544" t="s">
        <v>1208</v>
      </c>
      <c r="G84" s="1545"/>
      <c r="I84" s="1546"/>
      <c r="J84" s="1546"/>
      <c r="K84" s="1546"/>
      <c r="L84" s="1546"/>
      <c r="N84" s="1547"/>
      <c r="O84" s="1546"/>
      <c r="P84" s="1546"/>
      <c r="Q84" s="1546"/>
      <c r="S84" s="1547"/>
      <c r="T84" s="1546"/>
      <c r="U84" s="1546"/>
      <c r="V84" s="1546"/>
    </row>
    <row r="85" spans="1:22" s="1544" customFormat="1">
      <c r="A85" s="1544" t="s">
        <v>1209</v>
      </c>
      <c r="G85" s="1545"/>
      <c r="N85" s="1545"/>
      <c r="S85" s="1545"/>
    </row>
    <row r="92" spans="1:22" ht="13.8" thickBot="1"/>
    <row r="93" spans="1:22">
      <c r="G93" s="1466"/>
      <c r="S93" s="1548" t="s">
        <v>1210</v>
      </c>
      <c r="T93" s="1549" t="s">
        <v>1211</v>
      </c>
      <c r="U93" s="1549" t="s">
        <v>1212</v>
      </c>
      <c r="V93" s="1549" t="s">
        <v>1213</v>
      </c>
    </row>
    <row r="94" spans="1:22">
      <c r="G94" s="1466"/>
      <c r="N94" s="1470"/>
      <c r="O94" s="1471"/>
      <c r="P94" s="1471"/>
      <c r="Q94" s="1471"/>
      <c r="S94" s="1550">
        <v>2006</v>
      </c>
      <c r="T94" s="1551">
        <v>15.1</v>
      </c>
      <c r="U94" s="1551">
        <v>7.43</v>
      </c>
      <c r="V94" s="1551">
        <v>26.26</v>
      </c>
    </row>
    <row r="95" spans="1:22">
      <c r="G95" s="1466"/>
      <c r="N95" s="1470"/>
      <c r="O95" s="1471"/>
      <c r="P95" s="1471"/>
      <c r="Q95" s="1471"/>
      <c r="S95" s="1552">
        <v>2005</v>
      </c>
      <c r="T95" s="1553">
        <v>13.9</v>
      </c>
      <c r="U95" s="1553">
        <v>7.49</v>
      </c>
      <c r="V95" s="1553">
        <v>24.92</v>
      </c>
    </row>
    <row r="96" spans="1:22">
      <c r="G96" s="1466"/>
      <c r="N96" s="1470"/>
      <c r="O96" s="1471"/>
      <c r="P96" s="1471"/>
      <c r="Q96" s="1471"/>
      <c r="S96" s="1550">
        <v>2004</v>
      </c>
      <c r="T96" s="1551">
        <v>9.48</v>
      </c>
      <c r="U96" s="1551">
        <v>7.2</v>
      </c>
      <c r="V96" s="1551">
        <v>14.68</v>
      </c>
    </row>
    <row r="97" spans="7:22">
      <c r="G97" s="1466"/>
      <c r="N97" s="1470"/>
      <c r="O97" s="1471"/>
      <c r="P97" s="1471"/>
      <c r="Q97" s="1471"/>
      <c r="S97" s="1552">
        <v>2003</v>
      </c>
      <c r="T97" s="1553">
        <v>4.5</v>
      </c>
      <c r="U97" s="1553">
        <v>6.12</v>
      </c>
      <c r="V97" s="1553">
        <v>2.34</v>
      </c>
    </row>
    <row r="98" spans="7:22" ht="13.8" thickBot="1">
      <c r="G98" s="1466"/>
      <c r="N98" s="1470"/>
      <c r="O98" s="1471"/>
      <c r="P98" s="1471"/>
      <c r="Q98" s="1471"/>
      <c r="S98" s="1554">
        <v>2002</v>
      </c>
      <c r="T98" s="1555">
        <v>3.59</v>
      </c>
      <c r="U98" s="1555">
        <v>4.54</v>
      </c>
      <c r="V98" s="1555">
        <v>2.5499999999999998</v>
      </c>
    </row>
    <row r="99" spans="7:22">
      <c r="G99" s="1466"/>
      <c r="N99" s="1470"/>
      <c r="O99" s="1471"/>
      <c r="P99" s="1471"/>
      <c r="Q99" s="1471"/>
    </row>
    <row r="100" spans="7:22">
      <c r="G100" s="1466"/>
      <c r="N100" s="1470"/>
      <c r="O100" s="1471"/>
      <c r="P100" s="1471"/>
      <c r="Q100" s="1471"/>
    </row>
    <row r="101" spans="7:22">
      <c r="G101" s="1466"/>
      <c r="N101" s="1470"/>
      <c r="O101" s="1471"/>
      <c r="P101" s="1471"/>
      <c r="Q101" s="1471"/>
    </row>
    <row r="102" spans="7:22">
      <c r="G102" s="1466"/>
      <c r="N102" s="1470"/>
      <c r="O102" s="1471"/>
      <c r="P102" s="1471"/>
      <c r="Q102" s="1471"/>
    </row>
    <row r="103" spans="7:22">
      <c r="G103" s="1466"/>
      <c r="N103" s="1470"/>
      <c r="O103" s="1471"/>
      <c r="P103" s="1471"/>
      <c r="Q103" s="1471"/>
    </row>
    <row r="104" spans="7:22">
      <c r="G104" s="1466"/>
      <c r="N104" s="1470"/>
      <c r="O104" s="1471"/>
      <c r="P104" s="1471"/>
      <c r="Q104" s="1471"/>
    </row>
    <row r="105" spans="7:22">
      <c r="G105" s="1466"/>
      <c r="N105" s="1470"/>
      <c r="O105" s="1471"/>
      <c r="P105" s="1471"/>
      <c r="Q105" s="1471"/>
    </row>
    <row r="106" spans="7:22">
      <c r="G106" s="1466"/>
      <c r="N106" s="1470"/>
      <c r="O106" s="1471"/>
      <c r="P106" s="1471"/>
      <c r="Q106" s="1471"/>
    </row>
    <row r="107" spans="7:22">
      <c r="G107" s="1466"/>
      <c r="N107" s="1470"/>
      <c r="O107" s="1471"/>
      <c r="P107" s="1471"/>
      <c r="Q107" s="1471"/>
    </row>
    <row r="108" spans="7:22">
      <c r="G108" s="1466"/>
      <c r="N108" s="1470"/>
      <c r="O108" s="1471"/>
      <c r="P108" s="1471"/>
      <c r="Q108" s="1471"/>
    </row>
    <row r="109" spans="7:22">
      <c r="G109" s="1466"/>
      <c r="N109" s="1470"/>
      <c r="O109" s="1471"/>
      <c r="P109" s="1471"/>
      <c r="Q109" s="1471"/>
      <c r="S109" s="1466"/>
    </row>
    <row r="110" spans="7:22">
      <c r="G110" s="1466"/>
      <c r="N110" s="1470"/>
      <c r="O110" s="1471"/>
      <c r="P110" s="1471"/>
      <c r="Q110" s="1471"/>
      <c r="S110" s="1466"/>
    </row>
    <row r="111" spans="7:22">
      <c r="G111" s="1466"/>
      <c r="N111" s="1470"/>
      <c r="O111" s="1471"/>
      <c r="P111" s="1471"/>
      <c r="Q111" s="1471"/>
      <c r="S111" s="1466"/>
    </row>
    <row r="112" spans="7:22">
      <c r="G112" s="1466"/>
      <c r="N112" s="1470"/>
      <c r="O112" s="1471"/>
      <c r="P112" s="1471"/>
      <c r="Q112" s="1471"/>
      <c r="S112" s="1466"/>
    </row>
    <row r="113" spans="7:19">
      <c r="G113" s="1466"/>
      <c r="N113" s="1470"/>
      <c r="O113" s="1471"/>
      <c r="P113" s="1471"/>
      <c r="Q113" s="1471"/>
      <c r="S113" s="1466"/>
    </row>
    <row r="114" spans="7:19">
      <c r="G114" s="1466"/>
      <c r="N114" s="1470"/>
      <c r="O114" s="1471"/>
      <c r="P114" s="1471"/>
      <c r="Q114" s="1471"/>
      <c r="S114" s="146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2995</v>
      </c>
      <c r="C1" s="3311" t="s">
        <v>2996</v>
      </c>
      <c r="D1" s="3312"/>
      <c r="E1" s="3312"/>
      <c r="F1" s="3312"/>
      <c r="G1" s="3312"/>
      <c r="H1" s="3312"/>
      <c r="I1" s="3312"/>
      <c r="J1" s="3312"/>
      <c r="K1" s="3312"/>
      <c r="L1" s="3312"/>
      <c r="M1" s="3312"/>
      <c r="N1" s="3312"/>
      <c r="O1" s="3312"/>
      <c r="P1" s="3312"/>
      <c r="Q1" s="3312"/>
      <c r="R1" s="3312"/>
      <c r="S1" s="3313"/>
      <c r="T1" s="1199" t="s">
        <v>2997</v>
      </c>
    </row>
    <row r="2" spans="1:45" s="707" customFormat="1">
      <c r="A2" s="1200"/>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8"/>
      <c r="G3" s="1698"/>
      <c r="H3" s="1698"/>
      <c r="I3" s="1698"/>
      <c r="J3" s="1698"/>
      <c r="K3" s="1698"/>
      <c r="L3" s="1699"/>
      <c r="M3" s="1700"/>
      <c r="N3" s="1700"/>
      <c r="O3" s="1698"/>
      <c r="P3" s="1698"/>
      <c r="Q3" s="1698"/>
      <c r="R3" s="1698"/>
      <c r="S3" s="170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3"/>
      <c r="B4" s="1204"/>
      <c r="C4" s="1205"/>
      <c r="D4" s="1206"/>
      <c r="E4" s="1206"/>
      <c r="F4" s="1702"/>
      <c r="G4" s="1702"/>
      <c r="H4" s="1702"/>
      <c r="I4" s="1702"/>
      <c r="J4" s="1702"/>
      <c r="K4" s="1702"/>
      <c r="L4" s="1702"/>
      <c r="M4" s="1703"/>
      <c r="N4" s="1703"/>
      <c r="O4" s="1702"/>
      <c r="P4" s="1702"/>
      <c r="Q4" s="1702"/>
      <c r="R4" s="1702"/>
      <c r="S4" s="1704"/>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55" t="s">
        <v>2999</v>
      </c>
      <c r="C5" s="1211"/>
      <c r="D5" s="1212"/>
      <c r="E5" s="1212"/>
      <c r="F5" s="1705"/>
      <c r="G5" s="1705"/>
      <c r="H5" s="1705"/>
      <c r="I5" s="1705"/>
      <c r="J5" s="1705"/>
      <c r="K5" s="1705"/>
      <c r="L5" s="1706"/>
      <c r="M5" s="1707"/>
      <c r="N5" s="1707"/>
      <c r="O5" s="1705"/>
      <c r="P5" s="1705"/>
      <c r="Q5" s="1705"/>
      <c r="R5" s="1705"/>
      <c r="S5" s="1708"/>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56" t="s">
        <v>3000</v>
      </c>
      <c r="C7" s="1116"/>
      <c r="D7" s="1110"/>
      <c r="E7" s="1110"/>
      <c r="F7" s="1710"/>
      <c r="G7" s="1710"/>
      <c r="H7" s="1710"/>
      <c r="I7" s="1710"/>
      <c r="J7" s="1710"/>
      <c r="K7" s="1710"/>
      <c r="L7" s="1710"/>
      <c r="M7" s="1711"/>
      <c r="N7" s="1712"/>
      <c r="O7" s="1713"/>
      <c r="P7" s="1714"/>
      <c r="Q7" s="1715"/>
      <c r="R7" s="1716"/>
      <c r="S7" s="171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56" t="s">
        <v>3001</v>
      </c>
      <c r="C9" s="1116"/>
      <c r="D9" s="1110"/>
      <c r="E9" s="1110"/>
      <c r="F9" s="1710"/>
      <c r="G9" s="1710"/>
      <c r="H9" s="1710"/>
      <c r="I9" s="1710"/>
      <c r="J9" s="1710"/>
      <c r="K9" s="1710"/>
      <c r="L9" s="1718"/>
      <c r="M9" s="1711"/>
      <c r="N9" s="1712"/>
      <c r="O9" s="1713"/>
      <c r="P9" s="1714"/>
      <c r="Q9" s="1715"/>
      <c r="R9" s="1716"/>
      <c r="S9" s="171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55" t="s">
        <v>3002</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55" t="s">
        <v>3003</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55" t="s">
        <v>3004</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6" t="s">
        <v>3005</v>
      </c>
      <c r="B17" s="2897" t="s">
        <v>3006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8"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898" t="s">
        <v>3007</v>
      </c>
      <c r="E19" s="1778"/>
      <c r="F19" s="1778"/>
      <c r="G19" s="1778"/>
      <c r="H19" s="1275"/>
      <c r="I19" s="168"/>
      <c r="J19" s="168"/>
      <c r="K19" s="168"/>
      <c r="L19" s="168"/>
      <c r="M19" s="168"/>
      <c r="N19" s="168"/>
      <c r="O19" s="168"/>
      <c r="P19" s="168"/>
      <c r="Q19" s="168"/>
      <c r="R19" s="788"/>
      <c r="S19" s="138"/>
    </row>
    <row r="20" spans="1:45" ht="16.2" thickBot="1">
      <c r="A20" s="715" t="s">
        <v>3008</v>
      </c>
      <c r="B20" s="338" t="e">
        <f ca="1">IF(D20="——",S22,S22-F20)</f>
        <v>#REF!</v>
      </c>
      <c r="C20" s="168"/>
      <c r="D20" s="2899" t="s">
        <v>3009</v>
      </c>
      <c r="E20" s="1779"/>
      <c r="F20" s="1199" t="e">
        <f ca="1">SUMIF(INDIRECT("'"&amp;H20&amp;"'"&amp;"!A:A"),"承租人权益价值",INDIRECT("'"&amp;H20&amp;"'"&amp;"!c:c"))</f>
        <v>#REF!</v>
      </c>
      <c r="G20" s="1199" t="s">
        <v>3010</v>
      </c>
      <c r="H20" s="2900"/>
      <c r="I20" s="168"/>
      <c r="J20" s="168"/>
      <c r="K20" s="168"/>
      <c r="L20" s="168"/>
      <c r="M20" s="168"/>
      <c r="N20" s="168"/>
      <c r="O20" s="168"/>
      <c r="P20" s="168"/>
      <c r="Q20" s="168"/>
      <c r="R20" s="788"/>
      <c r="S20" s="138"/>
    </row>
    <row r="21" spans="1:45" ht="15.6">
      <c r="A21" s="715" t="s">
        <v>3011</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88" t="s">
        <v>33</v>
      </c>
      <c r="D22" s="3089"/>
      <c r="E22" s="3089"/>
      <c r="F22" s="3089"/>
      <c r="G22" s="3089"/>
      <c r="H22" s="3089"/>
      <c r="I22" s="3089"/>
      <c r="J22" s="3089"/>
      <c r="K22" s="3089"/>
      <c r="L22" s="3089"/>
      <c r="M22" s="3089"/>
      <c r="N22" s="3089"/>
      <c r="O22" s="3089"/>
      <c r="P22" s="3089"/>
      <c r="Q22" s="331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46660</v>
      </c>
      <c r="C2" s="2" t="s">
        <v>133</v>
      </c>
      <c r="D2" s="243"/>
      <c r="E2" s="243"/>
      <c r="F2" s="243"/>
      <c r="G2" s="243"/>
    </row>
    <row r="3" spans="1:7" s="244" customFormat="1" ht="18" customHeight="1" thickBot="1">
      <c r="A3" s="247" t="s">
        <v>85</v>
      </c>
      <c r="B3" s="248">
        <f ca="1">ROUND(B2*10000/'数据-汇总表'!E3,0)</f>
        <v>17358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538</v>
      </c>
      <c r="D10" s="1027">
        <f>'数据-汇总表'!E6</f>
        <v>26881.280000000002</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538</v>
      </c>
      <c r="D19" s="1031">
        <f>'数据-汇总表'!E3</f>
        <v>26881.280000000002</v>
      </c>
      <c r="E19" s="255">
        <f>'数据-取费表'!B31</f>
        <v>200</v>
      </c>
      <c r="F19" s="275"/>
      <c r="G19" s="1" t="s">
        <v>1070</v>
      </c>
    </row>
    <row r="20" spans="1:7" s="258" customFormat="1" ht="13.5" customHeight="1">
      <c r="A20" s="943" t="s">
        <v>1053</v>
      </c>
      <c r="B20" s="254" t="s">
        <v>104</v>
      </c>
      <c r="C20" s="276">
        <f>ROUND((C5+C19)*F20,0)</f>
        <v>529</v>
      </c>
      <c r="D20" s="276"/>
      <c r="E20" s="276"/>
      <c r="F20" s="277">
        <f>'数据-取费表'!B37</f>
        <v>2.5000000000000001E-2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2081</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1057</v>
      </c>
      <c r="C23" s="1350">
        <f ca="1">ROUND(IF('数据-取费表'!B22&lt;=1,C5*F22*'数据-取费表'!B23,C5*(POWER((1+F22),'数据-取费表'!B23)-1)),0)</f>
        <v>2004</v>
      </c>
      <c r="D23" s="282"/>
      <c r="E23" s="282"/>
      <c r="F23" s="283"/>
      <c r="G23" s="284" t="s">
        <v>108</v>
      </c>
    </row>
    <row r="24" spans="1:7" s="258" customFormat="1" ht="13.5" customHeight="1">
      <c r="A24" s="946" t="s">
        <v>792</v>
      </c>
      <c r="B24" s="259" t="s">
        <v>1052</v>
      </c>
      <c r="C24" s="1350">
        <f ca="1">ROUND(IF('数据-取费表'!B22&lt;=1,C19*F22*('数据-取费表'!B19/2+'数据-取费表'!B21),C19*(POWER((1+F22),('数据-取费表'!B19/2+'数据-取费表'!B21))-1)),0)</f>
        <v>52</v>
      </c>
      <c r="D24" s="282"/>
      <c r="E24" s="282"/>
      <c r="F24" s="283"/>
      <c r="G24" s="284" t="s">
        <v>109</v>
      </c>
    </row>
    <row r="25" spans="1:7" s="258" customFormat="1" ht="24">
      <c r="A25" s="946" t="s">
        <v>793</v>
      </c>
      <c r="B25" s="259" t="s">
        <v>1054</v>
      </c>
      <c r="C25" s="1350">
        <f ca="1">ROUND(IF('数据-取费表'!B22&lt;=1,C20*F22*'数据-取费表'!B23/2,C20*(POWER((1+F22),'数据-取费表'!B23/2)-1)),0)</f>
        <v>25</v>
      </c>
      <c r="D25" s="282"/>
      <c r="E25" s="285"/>
      <c r="F25" s="283"/>
      <c r="G25" s="286" t="s">
        <v>110</v>
      </c>
    </row>
    <row r="26" spans="1:7" s="258" customFormat="1">
      <c r="A26" s="946" t="s">
        <v>795</v>
      </c>
      <c r="B26" s="259" t="s">
        <v>1056</v>
      </c>
      <c r="C26" s="282">
        <f ca="1">ROUND(IF('数据-取费表'!B22&lt;=1,F21*F22*'数据-取费表'!B23/2,F21*(POWER((1+F22),'数据-取费表'!B23/2)-1)),4)</f>
        <v>1E-3</v>
      </c>
      <c r="D26" s="282"/>
      <c r="E26" s="285"/>
      <c r="F26" s="283"/>
      <c r="G26" s="287"/>
    </row>
    <row r="27" spans="1:7" s="258" customFormat="1" ht="26.4">
      <c r="A27" s="943" t="s">
        <v>787</v>
      </c>
      <c r="B27" s="288" t="s">
        <v>112</v>
      </c>
      <c r="C27" s="289">
        <f>C28</f>
        <v>2818</v>
      </c>
      <c r="D27" s="279">
        <f>C29</f>
        <v>2.5999999999999999E-3</v>
      </c>
      <c r="E27" s="280" t="s">
        <v>126</v>
      </c>
      <c r="F27" s="290">
        <f>'数据-取费表'!Q16</f>
        <v>0.13</v>
      </c>
      <c r="G27" s="291" t="s">
        <v>1065</v>
      </c>
    </row>
    <row r="28" spans="1:7" s="258" customFormat="1" ht="13.5" customHeight="1">
      <c r="A28" s="946" t="s">
        <v>794</v>
      </c>
      <c r="B28" s="292" t="s">
        <v>1058</v>
      </c>
      <c r="C28" s="293">
        <f>ROUND((C5+C19+C20)*F27*'数据-取费表'!B21/'数据-取费表'!B20,0)</f>
        <v>2818</v>
      </c>
      <c r="D28" s="279"/>
      <c r="E28" s="280"/>
      <c r="F28" s="290"/>
      <c r="G28" s="291"/>
    </row>
    <row r="29" spans="1:7" s="258" customFormat="1" ht="13.5" customHeight="1">
      <c r="A29" s="946" t="s">
        <v>792</v>
      </c>
      <c r="B29" s="292" t="s">
        <v>1059</v>
      </c>
      <c r="C29" s="282">
        <f>ROUND(C21*F27*'数据-取费表'!B21/'数据-取费表'!B20,4)</f>
        <v>2.5999999999999999E-3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28791</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14090</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12725</v>
      </c>
      <c r="D34" s="261"/>
      <c r="E34" s="264"/>
      <c r="F34" s="301">
        <f>IF('数据-取费表'!B24=0,1,'数据-取费表'!N16)</f>
        <v>1</v>
      </c>
      <c r="G34" s="263" t="s">
        <v>116</v>
      </c>
    </row>
    <row r="35" spans="1:7" ht="13.5" customHeight="1">
      <c r="A35" s="946" t="s">
        <v>796</v>
      </c>
      <c r="B35" s="259" t="s">
        <v>60</v>
      </c>
      <c r="C35" s="264">
        <f>ROUND(C34*F35,0)</f>
        <v>636</v>
      </c>
      <c r="D35" s="264"/>
      <c r="E35" s="264"/>
      <c r="F35" s="303">
        <f>'数据-取费表'!B33</f>
        <v>0.05</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538</v>
      </c>
      <c r="D37" s="261">
        <f>'数据-汇总表'!E3</f>
        <v>26881.280000000002</v>
      </c>
      <c r="E37" s="293">
        <f>'数据-取费表'!B35</f>
        <v>200</v>
      </c>
      <c r="F37" s="303"/>
      <c r="G37" s="305" t="s">
        <v>119</v>
      </c>
    </row>
    <row r="38" spans="1:7" ht="13.5" customHeight="1">
      <c r="A38" s="946" t="s">
        <v>799</v>
      </c>
      <c r="B38" s="259" t="s">
        <v>63</v>
      </c>
      <c r="C38" s="264">
        <f>ROUND(C34*F38,0)</f>
        <v>191</v>
      </c>
      <c r="D38" s="264"/>
      <c r="E38" s="264"/>
      <c r="F38" s="303">
        <f>'数据-取费表'!B36</f>
        <v>1.4999999999999999E-2</v>
      </c>
      <c r="G38" s="263" t="s">
        <v>117</v>
      </c>
    </row>
    <row r="39" spans="1:7" s="258" customFormat="1" ht="13.5" customHeight="1">
      <c r="A39" s="943" t="s">
        <v>783</v>
      </c>
      <c r="B39" s="254" t="s">
        <v>104</v>
      </c>
      <c r="C39" s="276">
        <f>ROUND(C33*F20,0)</f>
        <v>352</v>
      </c>
      <c r="D39" s="276"/>
      <c r="E39" s="276"/>
      <c r="F39" s="277"/>
      <c r="G39" s="1284" t="s">
        <v>1067</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686</v>
      </c>
      <c r="D41" s="279">
        <f ca="1">C44</f>
        <v>1E-3</v>
      </c>
      <c r="E41" s="280" t="s">
        <v>129</v>
      </c>
      <c r="F41" s="281"/>
      <c r="G41" s="1284" t="str">
        <f>IF('数据-取费表'!B22&lt;=1,"单利计息","复利计息")</f>
        <v>复利计息</v>
      </c>
    </row>
    <row r="42" spans="1:7" ht="13.5" customHeight="1">
      <c r="A42" s="946" t="s">
        <v>794</v>
      </c>
      <c r="B42" s="259" t="s">
        <v>1057</v>
      </c>
      <c r="C42" s="282">
        <f ca="1">ROUND(IF('数据-取费表'!B22&lt;=1,C33*F22*'数据-取费表'!B21/2,C33*(POWER((1+F22),'数据-取费表'!B21/2)-1)),0)</f>
        <v>669</v>
      </c>
      <c r="D42" s="282"/>
      <c r="E42" s="282"/>
      <c r="F42" s="283"/>
      <c r="G42" s="3175" t="s">
        <v>121</v>
      </c>
    </row>
    <row r="43" spans="1:7" ht="13.5" customHeight="1">
      <c r="A43" s="946" t="s">
        <v>792</v>
      </c>
      <c r="B43" s="259" t="s">
        <v>1060</v>
      </c>
      <c r="C43" s="282">
        <f ca="1">ROUND(IF('数据-取费表'!B22&lt;=1,C39*F22*'数据-取费表'!B21/2,C39*(POWER((1+F22),'数据-取费表'!B21/2)-1)),0)</f>
        <v>17</v>
      </c>
      <c r="D43" s="282"/>
      <c r="E43" s="282"/>
      <c r="F43" s="283"/>
      <c r="G43" s="3176"/>
    </row>
    <row r="44" spans="1:7" ht="13.5" customHeight="1">
      <c r="A44" s="946" t="s">
        <v>793</v>
      </c>
      <c r="B44" s="259" t="s">
        <v>1062</v>
      </c>
      <c r="C44" s="282">
        <f ca="1">ROUND(IF('数据-取费表'!B22&lt;=1,C40*F22*'数据-取费表'!B21/2,C40*(POWER((1+F22),'数据-取费表'!B21/2)-1)),4)</f>
        <v>1E-3</v>
      </c>
      <c r="D44" s="282"/>
      <c r="E44" s="282"/>
      <c r="F44" s="283"/>
      <c r="G44" s="3177"/>
    </row>
    <row r="45" spans="1:7" s="258" customFormat="1" ht="13.5" customHeight="1">
      <c r="A45" s="943" t="s">
        <v>786</v>
      </c>
      <c r="B45" s="288" t="s">
        <v>112</v>
      </c>
      <c r="C45" s="289">
        <f>C46</f>
        <v>1877</v>
      </c>
      <c r="D45" s="279">
        <f>C47</f>
        <v>2.5999999999999999E-3</v>
      </c>
      <c r="E45" s="280" t="s">
        <v>129</v>
      </c>
      <c r="F45" s="290"/>
      <c r="G45" s="291" t="s">
        <v>1068</v>
      </c>
    </row>
    <row r="46" spans="1:7" s="258" customFormat="1" ht="13.5" customHeight="1">
      <c r="A46" s="946" t="s">
        <v>794</v>
      </c>
      <c r="B46" s="292" t="s">
        <v>1061</v>
      </c>
      <c r="C46" s="293">
        <f>ROUND((C33+C39)*F27,0)</f>
        <v>1877</v>
      </c>
      <c r="D46" s="307"/>
      <c r="E46" s="280"/>
      <c r="F46" s="290"/>
      <c r="G46" s="291"/>
    </row>
    <row r="47" spans="1:7" s="258" customFormat="1" ht="13.5" customHeight="1">
      <c r="A47" s="946" t="s">
        <v>792</v>
      </c>
      <c r="B47" s="292" t="s">
        <v>1063</v>
      </c>
      <c r="C47" s="282">
        <f>ROUND(C40*F27,4)</f>
        <v>2.5999999999999999E-3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18422</v>
      </c>
      <c r="D49" s="276"/>
      <c r="E49" s="276"/>
      <c r="F49" s="308"/>
      <c r="G49" s="278" t="s">
        <v>1069</v>
      </c>
    </row>
    <row r="50" spans="1:7" s="302" customFormat="1" ht="24">
      <c r="A50" s="943" t="s">
        <v>789</v>
      </c>
      <c r="B50" s="254" t="s">
        <v>124</v>
      </c>
      <c r="C50" s="276"/>
      <c r="D50" s="276"/>
      <c r="E50" s="276"/>
      <c r="F50" s="308">
        <f>IF('数据-取费表'!B24=0,'数据-取费表'!N16,1)</f>
        <v>0.97</v>
      </c>
      <c r="G50" s="291" t="s">
        <v>125</v>
      </c>
    </row>
    <row r="51" spans="1:7" ht="16.5" customHeight="1">
      <c r="A51" s="943" t="s">
        <v>790</v>
      </c>
      <c r="B51" s="254" t="s">
        <v>132</v>
      </c>
      <c r="C51" s="276">
        <f ca="1">ROUND(C49*F50,0)</f>
        <v>17869</v>
      </c>
      <c r="D51" s="276"/>
      <c r="E51" s="276"/>
      <c r="F51" s="308"/>
      <c r="G51" s="278" t="s">
        <v>64</v>
      </c>
    </row>
    <row r="52" spans="1:7" s="252" customFormat="1" ht="16.8" thickBot="1">
      <c r="A52" s="309" t="s">
        <v>65</v>
      </c>
      <c r="B52" s="310"/>
      <c r="C52" s="311">
        <f ca="1">C31+C51</f>
        <v>46660</v>
      </c>
      <c r="D52" s="310"/>
      <c r="E52" s="310"/>
      <c r="F52" s="310"/>
      <c r="G52" s="312"/>
    </row>
    <row r="55" spans="1:7" ht="15">
      <c r="B55" s="314" t="s">
        <v>66</v>
      </c>
      <c r="C55" s="315"/>
    </row>
    <row r="56" spans="1:7">
      <c r="B56" s="317" t="s">
        <v>67</v>
      </c>
      <c r="C56" s="318">
        <f ca="1">ROUND(C51/C52,3)</f>
        <v>0.38300000000000001</v>
      </c>
    </row>
    <row r="57" spans="1:7">
      <c r="B57" s="317" t="s">
        <v>68</v>
      </c>
      <c r="C57" s="319">
        <f ca="1">1-C56</f>
        <v>0.61699999999999999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0" customWidth="1"/>
    <col min="2" max="5" width="10.21875" style="808" customWidth="1"/>
    <col min="6" max="6" width="9" style="808"/>
    <col min="7" max="8" width="9" style="823"/>
    <col min="9" max="16384" width="9" style="808"/>
  </cols>
  <sheetData>
    <row r="1" spans="1:19">
      <c r="A1" s="3314" t="s">
        <v>156</v>
      </c>
      <c r="B1" s="3314"/>
      <c r="C1" s="3314"/>
      <c r="D1" s="3314"/>
      <c r="E1" s="3314"/>
      <c r="F1" s="331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5" thickBot="1">
      <c r="A2" s="3315" t="s">
        <v>169</v>
      </c>
      <c r="B2" s="3315"/>
      <c r="C2" s="3315"/>
      <c r="D2" s="3315"/>
      <c r="E2" s="3315"/>
      <c r="F2" s="331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1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0" customWidth="1"/>
    <col min="2" max="2" width="10.21875" style="808" customWidth="1"/>
  </cols>
  <sheetData>
    <row r="1" spans="1:6">
      <c r="A1" s="3314" t="s">
        <v>867</v>
      </c>
      <c r="B1" s="3314"/>
    </row>
    <row r="2" spans="1:6" ht="15" thickBot="1">
      <c r="A2" s="1052"/>
      <c r="B2" s="1052"/>
    </row>
    <row r="3" spans="1:6" ht="15" thickBot="1">
      <c r="A3" s="1052"/>
      <c r="B3" s="1052"/>
      <c r="C3" s="1056" t="s">
        <v>870</v>
      </c>
      <c r="D3" s="1056" t="s">
        <v>871</v>
      </c>
      <c r="E3" s="1056" t="s">
        <v>872</v>
      </c>
      <c r="F3" s="1056" t="s">
        <v>873</v>
      </c>
    </row>
    <row r="4" spans="1:6" ht="15" thickBot="1">
      <c r="A4" s="1054" t="s">
        <v>868</v>
      </c>
      <c r="B4" s="1055" t="s">
        <v>869</v>
      </c>
      <c r="C4" s="1056"/>
      <c r="D4" s="1056"/>
      <c r="E4" s="1056"/>
      <c r="F4" s="1056"/>
    </row>
    <row r="5" spans="1:6" ht="15" thickBot="1">
      <c r="A5" s="835" t="s">
        <v>874</v>
      </c>
      <c r="B5" s="836" t="s">
        <v>875</v>
      </c>
      <c r="C5" s="1057">
        <v>8.8999999999999996E-2</v>
      </c>
      <c r="D5" s="1057">
        <v>7.3999999999999996E-2</v>
      </c>
      <c r="E5" s="1057">
        <v>7.4999999999999997E-2</v>
      </c>
      <c r="F5" s="1058">
        <v>0.1</v>
      </c>
    </row>
    <row r="6" spans="1:6" ht="15" thickBot="1">
      <c r="A6" s="835" t="s">
        <v>212</v>
      </c>
      <c r="B6" s="829" t="s">
        <v>876</v>
      </c>
      <c r="C6" s="1059">
        <v>0.1</v>
      </c>
      <c r="D6" s="1059">
        <v>9.0999999999999998E-2</v>
      </c>
      <c r="E6" s="1059">
        <v>9.0999999999999998E-2</v>
      </c>
      <c r="F6" s="1060">
        <v>0.1</v>
      </c>
    </row>
    <row r="7" spans="1:6" ht="15" thickBot="1">
      <c r="A7" s="835" t="s">
        <v>212</v>
      </c>
      <c r="B7" s="839" t="s">
        <v>201</v>
      </c>
      <c r="C7" s="1059">
        <v>8.5999999999999993E-2</v>
      </c>
      <c r="D7" s="1059">
        <v>9.6000000000000002E-2</v>
      </c>
      <c r="E7" s="1059">
        <v>7.5999999999999998E-2</v>
      </c>
      <c r="F7" s="1060">
        <v>0.1</v>
      </c>
    </row>
    <row r="8" spans="1:6" ht="15" thickBot="1">
      <c r="A8" s="835" t="s">
        <v>212</v>
      </c>
      <c r="B8" s="829" t="s">
        <v>213</v>
      </c>
      <c r="C8" s="1059">
        <v>9.9000000000000005E-2</v>
      </c>
      <c r="D8" s="1059">
        <v>9.8000000000000004E-2</v>
      </c>
      <c r="E8" s="1059">
        <v>9.8000000000000004E-2</v>
      </c>
      <c r="F8" s="1060">
        <v>0.1</v>
      </c>
    </row>
    <row r="9" spans="1:6" ht="15" thickBot="1">
      <c r="A9" s="845" t="s">
        <v>212</v>
      </c>
      <c r="B9" s="840" t="s">
        <v>225</v>
      </c>
      <c r="C9" s="1061">
        <v>0.05</v>
      </c>
      <c r="D9" s="1069"/>
      <c r="E9" s="1069"/>
      <c r="F9" s="1070"/>
    </row>
    <row r="10" spans="1:6" ht="15" thickBot="1">
      <c r="A10" s="835" t="s">
        <v>269</v>
      </c>
      <c r="B10" s="836" t="s">
        <v>877</v>
      </c>
      <c r="C10" s="1057">
        <v>8.8999999999999996E-2</v>
      </c>
      <c r="D10" s="1057">
        <v>7.2999999999999995E-2</v>
      </c>
      <c r="E10" s="1057">
        <v>8.2000000000000003E-2</v>
      </c>
      <c r="F10" s="1058">
        <v>0.1</v>
      </c>
    </row>
    <row r="11" spans="1:6" ht="15" thickBot="1">
      <c r="A11" s="835" t="s">
        <v>269</v>
      </c>
      <c r="B11" s="839" t="s">
        <v>188</v>
      </c>
      <c r="C11" s="1059">
        <v>8.8999999999999996E-2</v>
      </c>
      <c r="D11" s="1059">
        <v>7.2999999999999995E-2</v>
      </c>
      <c r="E11" s="1059">
        <v>8.2000000000000003E-2</v>
      </c>
      <c r="F11" s="1060">
        <v>0.1</v>
      </c>
    </row>
    <row r="12" spans="1:6" ht="15" thickBot="1">
      <c r="A12" s="835" t="s">
        <v>269</v>
      </c>
      <c r="B12" s="839" t="s">
        <v>138</v>
      </c>
      <c r="C12" s="1059">
        <v>6.0999999999999999E-2</v>
      </c>
      <c r="D12" s="1059">
        <v>7.0999999999999994E-2</v>
      </c>
      <c r="E12" s="1059">
        <v>9.6000000000000002E-2</v>
      </c>
      <c r="F12" s="1060">
        <v>0.1</v>
      </c>
    </row>
    <row r="13" spans="1:6" ht="15" thickBot="1">
      <c r="A13" s="835" t="s">
        <v>269</v>
      </c>
      <c r="B13" s="839" t="s">
        <v>214</v>
      </c>
      <c r="C13" s="1059">
        <v>6.9000000000000006E-2</v>
      </c>
      <c r="D13" s="1059">
        <v>6.5000000000000002E-2</v>
      </c>
      <c r="E13" s="1059">
        <v>6.6000000000000003E-2</v>
      </c>
      <c r="F13" s="1060">
        <v>0.1</v>
      </c>
    </row>
    <row r="14" spans="1:6" ht="15" thickBot="1">
      <c r="A14" s="835" t="s">
        <v>269</v>
      </c>
      <c r="B14" s="839" t="s">
        <v>226</v>
      </c>
      <c r="C14" s="1059">
        <v>0.1</v>
      </c>
      <c r="D14" s="1059">
        <v>6.5000000000000002E-2</v>
      </c>
      <c r="E14" s="1059">
        <v>7.0000000000000007E-2</v>
      </c>
      <c r="F14" s="1060">
        <v>0.1</v>
      </c>
    </row>
    <row r="15" spans="1:6" ht="15" thickBot="1">
      <c r="A15" s="835" t="s">
        <v>269</v>
      </c>
      <c r="B15" s="839" t="s">
        <v>237</v>
      </c>
      <c r="C15" s="1059">
        <v>9.8000000000000004E-2</v>
      </c>
      <c r="D15" s="1059">
        <v>8.8999999999999996E-2</v>
      </c>
      <c r="E15" s="1059">
        <v>8.8999999999999996E-2</v>
      </c>
      <c r="F15" s="1060">
        <v>0.1</v>
      </c>
    </row>
    <row r="16" spans="1:6" ht="15" thickBot="1">
      <c r="A16" s="835" t="s">
        <v>269</v>
      </c>
      <c r="B16" s="839" t="s">
        <v>248</v>
      </c>
      <c r="C16" s="1059">
        <v>7.0000000000000007E-2</v>
      </c>
      <c r="D16" s="1059">
        <v>9.2999999999999999E-2</v>
      </c>
      <c r="E16" s="1059">
        <v>9.6000000000000002E-2</v>
      </c>
      <c r="F16" s="1060">
        <v>0.1</v>
      </c>
    </row>
    <row r="17" spans="1:6" ht="15" thickBot="1">
      <c r="A17" s="835" t="s">
        <v>269</v>
      </c>
      <c r="B17" s="839" t="s">
        <v>259</v>
      </c>
      <c r="C17" s="1059">
        <v>9.5000000000000001E-2</v>
      </c>
      <c r="D17" s="1059">
        <v>0.1</v>
      </c>
      <c r="E17" s="1059">
        <v>0.1</v>
      </c>
      <c r="F17" s="1071"/>
    </row>
    <row r="18" spans="1:6" ht="15" thickBot="1">
      <c r="A18" s="835" t="s">
        <v>269</v>
      </c>
      <c r="B18" s="839" t="s">
        <v>271</v>
      </c>
      <c r="C18" s="1059">
        <v>7.3999999999999996E-2</v>
      </c>
      <c r="D18" s="1059">
        <v>9.9000000000000005E-2</v>
      </c>
      <c r="E18" s="1059">
        <v>0.1</v>
      </c>
      <c r="F18" s="1071"/>
    </row>
    <row r="19" spans="1:6" ht="15" thickBot="1">
      <c r="A19" s="835" t="s">
        <v>269</v>
      </c>
      <c r="B19" s="839" t="s">
        <v>281</v>
      </c>
      <c r="C19" s="1059">
        <v>9.9000000000000005E-2</v>
      </c>
      <c r="D19" s="1059">
        <v>7.5999999999999998E-2</v>
      </c>
      <c r="E19" s="1059">
        <v>8.6999999999999994E-2</v>
      </c>
      <c r="F19" s="1071"/>
    </row>
    <row r="20" spans="1:6" ht="15" thickBot="1">
      <c r="A20" s="835" t="s">
        <v>269</v>
      </c>
      <c r="B20" s="839" t="s">
        <v>291</v>
      </c>
      <c r="C20" s="1059">
        <v>9.8000000000000004E-2</v>
      </c>
      <c r="D20" s="1059">
        <v>8.5000000000000006E-2</v>
      </c>
      <c r="E20" s="1059">
        <v>8.2000000000000003E-2</v>
      </c>
      <c r="F20" s="1071"/>
    </row>
    <row r="21" spans="1:6" ht="15" thickBot="1">
      <c r="A21" s="835" t="s">
        <v>269</v>
      </c>
      <c r="B21" s="839" t="s">
        <v>301</v>
      </c>
      <c r="C21" s="1059">
        <v>6.6000000000000003E-2</v>
      </c>
      <c r="D21" s="1059">
        <v>6.4000000000000001E-2</v>
      </c>
      <c r="E21" s="1059">
        <v>6.5000000000000002E-2</v>
      </c>
      <c r="F21" s="1071"/>
    </row>
    <row r="22" spans="1:6" ht="15" thickBot="1">
      <c r="A22" s="835" t="s">
        <v>269</v>
      </c>
      <c r="B22" s="839" t="s">
        <v>878</v>
      </c>
      <c r="C22" s="1059">
        <v>0.08</v>
      </c>
      <c r="D22" s="1059">
        <v>9.8000000000000004E-2</v>
      </c>
      <c r="E22" s="1059">
        <v>9.8000000000000004E-2</v>
      </c>
      <c r="F22" s="1071"/>
    </row>
    <row r="23" spans="1:6" ht="15" thickBot="1">
      <c r="A23" s="835" t="s">
        <v>269</v>
      </c>
      <c r="B23" s="839" t="s">
        <v>322</v>
      </c>
      <c r="C23" s="1059">
        <v>9.9000000000000005E-2</v>
      </c>
      <c r="D23" s="1059">
        <v>9.8000000000000004E-2</v>
      </c>
      <c r="E23" s="1059">
        <v>9.0999999999999998E-2</v>
      </c>
      <c r="F23" s="1071"/>
    </row>
    <row r="24" spans="1:6" ht="15" thickBot="1">
      <c r="A24" s="835" t="s">
        <v>269</v>
      </c>
      <c r="B24" s="839" t="s">
        <v>333</v>
      </c>
      <c r="C24" s="1059">
        <v>8.8999999999999996E-2</v>
      </c>
      <c r="D24" s="1059">
        <v>9.7000000000000003E-2</v>
      </c>
      <c r="E24" s="1059">
        <v>7.0000000000000007E-2</v>
      </c>
      <c r="F24" s="1071"/>
    </row>
    <row r="25" spans="1:6" ht="15" thickBot="1">
      <c r="A25" s="835" t="s">
        <v>269</v>
      </c>
      <c r="B25" s="839" t="s">
        <v>343</v>
      </c>
      <c r="C25" s="1059">
        <v>8.8999999999999996E-2</v>
      </c>
      <c r="D25" s="1059">
        <v>0.1</v>
      </c>
      <c r="E25" s="1059">
        <v>8.1000000000000003E-2</v>
      </c>
      <c r="F25" s="1071"/>
    </row>
    <row r="26" spans="1:6" ht="15" thickBot="1">
      <c r="A26" s="835" t="s">
        <v>269</v>
      </c>
      <c r="B26" s="839" t="s">
        <v>353</v>
      </c>
      <c r="C26" s="1072"/>
      <c r="D26" s="1059">
        <v>9.6000000000000002E-2</v>
      </c>
      <c r="E26" s="1059">
        <v>9.2999999999999999E-2</v>
      </c>
      <c r="F26" s="1071"/>
    </row>
    <row r="27" spans="1:6" ht="15" thickBot="1">
      <c r="A27" s="835" t="s">
        <v>269</v>
      </c>
      <c r="B27" s="839" t="s">
        <v>363</v>
      </c>
      <c r="C27" s="1072"/>
      <c r="D27" s="1059">
        <v>7.5999999999999998E-2</v>
      </c>
      <c r="E27" s="1059">
        <v>9.1999999999999998E-2</v>
      </c>
      <c r="F27" s="1071"/>
    </row>
    <row r="28" spans="1:6" ht="15" thickBot="1">
      <c r="A28" s="845" t="s">
        <v>269</v>
      </c>
      <c r="B28" s="840" t="s">
        <v>373</v>
      </c>
      <c r="C28" s="1069"/>
      <c r="D28" s="1061">
        <v>7.5999999999999998E-2</v>
      </c>
      <c r="E28" s="1061">
        <v>9.1999999999999998E-2</v>
      </c>
      <c r="F28" s="1070"/>
    </row>
    <row r="29" spans="1:6" ht="15" thickBot="1">
      <c r="A29" s="835" t="s">
        <v>442</v>
      </c>
      <c r="B29" s="836" t="s">
        <v>879</v>
      </c>
      <c r="C29" s="1057">
        <v>6.4000000000000001E-2</v>
      </c>
      <c r="D29" s="1057">
        <v>6.5000000000000002E-2</v>
      </c>
      <c r="E29" s="1057">
        <v>6.9000000000000006E-2</v>
      </c>
      <c r="F29" s="1058">
        <v>0.1</v>
      </c>
    </row>
    <row r="30" spans="1:6" ht="15" thickBot="1">
      <c r="A30" s="835" t="s">
        <v>442</v>
      </c>
      <c r="B30" s="839" t="s">
        <v>189</v>
      </c>
      <c r="C30" s="1059">
        <v>6.4000000000000001E-2</v>
      </c>
      <c r="D30" s="1059">
        <v>9.9000000000000005E-2</v>
      </c>
      <c r="E30" s="1059">
        <v>0.1</v>
      </c>
      <c r="F30" s="1060">
        <v>0.1</v>
      </c>
    </row>
    <row r="31" spans="1:6" ht="15" thickBot="1">
      <c r="A31" s="835" t="s">
        <v>442</v>
      </c>
      <c r="B31" s="839" t="s">
        <v>202</v>
      </c>
      <c r="C31" s="1059">
        <v>0.1</v>
      </c>
      <c r="D31" s="1059">
        <v>9.5000000000000001E-2</v>
      </c>
      <c r="E31" s="1059">
        <v>8.8999999999999996E-2</v>
      </c>
      <c r="F31" s="1060">
        <v>0.1</v>
      </c>
    </row>
    <row r="32" spans="1:6" ht="15" thickBot="1">
      <c r="A32" s="835" t="s">
        <v>442</v>
      </c>
      <c r="B32" s="839" t="s">
        <v>215</v>
      </c>
      <c r="C32" s="1059">
        <v>0.05</v>
      </c>
      <c r="D32" s="1059">
        <v>0.05</v>
      </c>
      <c r="E32" s="1059">
        <v>8.7999999999999995E-2</v>
      </c>
      <c r="F32" s="1060">
        <v>0.1</v>
      </c>
    </row>
    <row r="33" spans="1:6" ht="15" thickBot="1">
      <c r="A33" s="835" t="s">
        <v>442</v>
      </c>
      <c r="B33" s="839" t="s">
        <v>227</v>
      </c>
      <c r="C33" s="1059">
        <v>7.4999999999999997E-2</v>
      </c>
      <c r="D33" s="1059">
        <v>9.4E-2</v>
      </c>
      <c r="E33" s="1059">
        <v>9.7000000000000003E-2</v>
      </c>
      <c r="F33" s="1060">
        <v>0.1</v>
      </c>
    </row>
    <row r="34" spans="1:6" ht="15" thickBot="1">
      <c r="A34" s="835" t="s">
        <v>442</v>
      </c>
      <c r="B34" s="839" t="s">
        <v>238</v>
      </c>
      <c r="C34" s="1059">
        <v>9.8000000000000004E-2</v>
      </c>
      <c r="D34" s="1059">
        <v>8.5999999999999993E-2</v>
      </c>
      <c r="E34" s="1059">
        <v>9.7000000000000003E-2</v>
      </c>
      <c r="F34" s="1060">
        <v>0.1</v>
      </c>
    </row>
    <row r="35" spans="1:6" ht="15" thickBot="1">
      <c r="A35" s="835" t="s">
        <v>442</v>
      </c>
      <c r="B35" s="839" t="s">
        <v>249</v>
      </c>
      <c r="C35" s="1059">
        <v>5.8999999999999997E-2</v>
      </c>
      <c r="D35" s="1059">
        <v>6.5000000000000002E-2</v>
      </c>
      <c r="E35" s="1059">
        <v>7.0000000000000007E-2</v>
      </c>
      <c r="F35" s="1060">
        <v>0.1</v>
      </c>
    </row>
    <row r="36" spans="1:6" ht="15" thickBot="1">
      <c r="A36" s="835" t="s">
        <v>442</v>
      </c>
      <c r="B36" s="839" t="s">
        <v>260</v>
      </c>
      <c r="C36" s="1059">
        <v>6.3E-2</v>
      </c>
      <c r="D36" s="1059">
        <v>0.1</v>
      </c>
      <c r="E36" s="1059">
        <v>0.1</v>
      </c>
      <c r="F36" s="1060">
        <v>0.1</v>
      </c>
    </row>
    <row r="37" spans="1:6" ht="15" thickBot="1">
      <c r="A37" s="835" t="s">
        <v>442</v>
      </c>
      <c r="B37" s="839" t="s">
        <v>272</v>
      </c>
      <c r="C37" s="1059">
        <v>7.3999999999999996E-2</v>
      </c>
      <c r="D37" s="1059">
        <v>0.1</v>
      </c>
      <c r="E37" s="1059">
        <v>0.1</v>
      </c>
      <c r="F37" s="1060">
        <v>0.1</v>
      </c>
    </row>
    <row r="38" spans="1:6" ht="15" thickBot="1">
      <c r="A38" s="835" t="s">
        <v>442</v>
      </c>
      <c r="B38" s="839" t="s">
        <v>282</v>
      </c>
      <c r="C38" s="1059">
        <v>0.1</v>
      </c>
      <c r="D38" s="1059">
        <v>9.6000000000000002E-2</v>
      </c>
      <c r="E38" s="1059">
        <v>9.6000000000000002E-2</v>
      </c>
      <c r="F38" s="1071"/>
    </row>
    <row r="39" spans="1:6" ht="15" thickBot="1">
      <c r="A39" s="835" t="s">
        <v>442</v>
      </c>
      <c r="B39" s="839" t="s">
        <v>292</v>
      </c>
      <c r="C39" s="1059">
        <v>0.1</v>
      </c>
      <c r="D39" s="1059">
        <v>9.6000000000000002E-2</v>
      </c>
      <c r="E39" s="1059">
        <v>9.6000000000000002E-2</v>
      </c>
      <c r="F39" s="1071"/>
    </row>
    <row r="40" spans="1:6" ht="15" thickBot="1">
      <c r="A40" s="835" t="s">
        <v>442</v>
      </c>
      <c r="B40" s="839" t="s">
        <v>302</v>
      </c>
      <c r="C40" s="1059">
        <v>9.6000000000000002E-2</v>
      </c>
      <c r="D40" s="1059">
        <v>0.1</v>
      </c>
      <c r="E40" s="1059">
        <v>9.9000000000000005E-2</v>
      </c>
      <c r="F40" s="1071"/>
    </row>
    <row r="41" spans="1:6" ht="15" thickBot="1">
      <c r="A41" s="835" t="s">
        <v>442</v>
      </c>
      <c r="B41" s="839" t="s">
        <v>312</v>
      </c>
      <c r="C41" s="1059">
        <v>9.6000000000000002E-2</v>
      </c>
      <c r="D41" s="1059">
        <v>9.8000000000000004E-2</v>
      </c>
      <c r="E41" s="1059">
        <v>9.8000000000000004E-2</v>
      </c>
      <c r="F41" s="1071"/>
    </row>
    <row r="42" spans="1:6" ht="15" thickBot="1">
      <c r="A42" s="835" t="s">
        <v>442</v>
      </c>
      <c r="B42" s="839" t="s">
        <v>323</v>
      </c>
      <c r="C42" s="1059">
        <v>0.1</v>
      </c>
      <c r="D42" s="1059">
        <v>8.7999999999999995E-2</v>
      </c>
      <c r="E42" s="1059">
        <v>0.1</v>
      </c>
      <c r="F42" s="1071"/>
    </row>
    <row r="43" spans="1:6" ht="15" thickBot="1">
      <c r="A43" s="835" t="s">
        <v>442</v>
      </c>
      <c r="B43" s="839" t="s">
        <v>334</v>
      </c>
      <c r="C43" s="1059">
        <v>9.8000000000000004E-2</v>
      </c>
      <c r="D43" s="1059">
        <v>9.7000000000000003E-2</v>
      </c>
      <c r="E43" s="1059">
        <v>9.6000000000000002E-2</v>
      </c>
      <c r="F43" s="1071"/>
    </row>
    <row r="44" spans="1:6" ht="15" thickBot="1">
      <c r="A44" s="835" t="s">
        <v>442</v>
      </c>
      <c r="B44" s="839" t="s">
        <v>344</v>
      </c>
      <c r="C44" s="1059">
        <v>8.5999999999999993E-2</v>
      </c>
      <c r="D44" s="1059">
        <v>7.9000000000000001E-2</v>
      </c>
      <c r="E44" s="1059">
        <v>7.0999999999999994E-2</v>
      </c>
      <c r="F44" s="1071"/>
    </row>
    <row r="45" spans="1:6" ht="15" thickBot="1">
      <c r="A45" s="835" t="s">
        <v>442</v>
      </c>
      <c r="B45" s="839" t="s">
        <v>354</v>
      </c>
      <c r="C45" s="1059">
        <v>9.8000000000000004E-2</v>
      </c>
      <c r="D45" s="1059">
        <v>9.6000000000000002E-2</v>
      </c>
      <c r="E45" s="1059">
        <v>9.6000000000000002E-2</v>
      </c>
      <c r="F45" s="1071"/>
    </row>
    <row r="46" spans="1:6" ht="15" thickBot="1">
      <c r="A46" s="835" t="s">
        <v>442</v>
      </c>
      <c r="B46" s="839" t="s">
        <v>364</v>
      </c>
      <c r="C46" s="1059">
        <v>8.5999999999999993E-2</v>
      </c>
      <c r="D46" s="1059">
        <v>9.8000000000000004E-2</v>
      </c>
      <c r="E46" s="1059">
        <v>8.7999999999999995E-2</v>
      </c>
      <c r="F46" s="1071"/>
    </row>
    <row r="47" spans="1:6" ht="15" thickBot="1">
      <c r="A47" s="835" t="s">
        <v>442</v>
      </c>
      <c r="B47" s="839" t="s">
        <v>374</v>
      </c>
      <c r="C47" s="1059">
        <v>9.6000000000000002E-2</v>
      </c>
      <c r="D47" s="1072"/>
      <c r="E47" s="1059">
        <v>6.9000000000000006E-2</v>
      </c>
      <c r="F47" s="1071"/>
    </row>
    <row r="48" spans="1:6" ht="15" thickBot="1">
      <c r="A48" s="845" t="s">
        <v>442</v>
      </c>
      <c r="B48" s="840" t="s">
        <v>383</v>
      </c>
      <c r="C48" s="1061">
        <v>9.8000000000000004E-2</v>
      </c>
      <c r="D48" s="1069"/>
      <c r="E48" s="1061">
        <v>9.5000000000000001E-2</v>
      </c>
      <c r="F48" s="1070"/>
    </row>
    <row r="49" spans="1:6" ht="15" thickBot="1">
      <c r="A49" s="835" t="s">
        <v>137</v>
      </c>
      <c r="B49" s="836" t="s">
        <v>880</v>
      </c>
      <c r="C49" s="1057">
        <v>9.7000000000000003E-2</v>
      </c>
      <c r="D49" s="1057">
        <v>9.5000000000000001E-2</v>
      </c>
      <c r="E49" s="1057">
        <v>9.7000000000000003E-2</v>
      </c>
      <c r="F49" s="1058">
        <v>0.1</v>
      </c>
    </row>
    <row r="50" spans="1:6" ht="15" thickBot="1">
      <c r="A50" s="835" t="s">
        <v>137</v>
      </c>
      <c r="B50" s="829" t="s">
        <v>190</v>
      </c>
      <c r="C50" s="1059">
        <v>7.4999999999999997E-2</v>
      </c>
      <c r="D50" s="1059">
        <v>9.5000000000000001E-2</v>
      </c>
      <c r="E50" s="1059">
        <v>0.1</v>
      </c>
      <c r="F50" s="1060">
        <v>0.1</v>
      </c>
    </row>
    <row r="51" spans="1:6" ht="15" thickBot="1">
      <c r="A51" s="835" t="s">
        <v>137</v>
      </c>
      <c r="B51" s="829" t="s">
        <v>203</v>
      </c>
      <c r="C51" s="1059">
        <v>9.8000000000000004E-2</v>
      </c>
      <c r="D51" s="1059">
        <v>8.8999999999999996E-2</v>
      </c>
      <c r="E51" s="1059">
        <v>0.1</v>
      </c>
      <c r="F51" s="1060">
        <v>0.1</v>
      </c>
    </row>
    <row r="52" spans="1:6" ht="15" thickBot="1">
      <c r="A52" s="835" t="s">
        <v>137</v>
      </c>
      <c r="B52" s="829" t="s">
        <v>216</v>
      </c>
      <c r="C52" s="1059">
        <v>9.8000000000000004E-2</v>
      </c>
      <c r="D52" s="1059">
        <v>9.7000000000000003E-2</v>
      </c>
      <c r="E52" s="1059">
        <v>8.1000000000000003E-2</v>
      </c>
      <c r="F52" s="1060">
        <v>0.1</v>
      </c>
    </row>
    <row r="53" spans="1:6" ht="15" thickBot="1">
      <c r="A53" s="835" t="s">
        <v>137</v>
      </c>
      <c r="B53" s="829" t="s">
        <v>228</v>
      </c>
      <c r="C53" s="1059">
        <v>9.7000000000000003E-2</v>
      </c>
      <c r="D53" s="1059">
        <v>7.5999999999999998E-2</v>
      </c>
      <c r="E53" s="1059">
        <v>7.0999999999999994E-2</v>
      </c>
      <c r="F53" s="1060">
        <v>0.1</v>
      </c>
    </row>
    <row r="54" spans="1:6" ht="15" thickBot="1">
      <c r="A54" s="835" t="s">
        <v>137</v>
      </c>
      <c r="B54" s="829" t="s">
        <v>239</v>
      </c>
      <c r="C54" s="1059">
        <v>7.5999999999999998E-2</v>
      </c>
      <c r="D54" s="1059">
        <v>0.1</v>
      </c>
      <c r="E54" s="1059">
        <v>9.9000000000000005E-2</v>
      </c>
      <c r="F54" s="1060">
        <v>0.1</v>
      </c>
    </row>
    <row r="55" spans="1:6" ht="15" thickBot="1">
      <c r="A55" s="835" t="s">
        <v>137</v>
      </c>
      <c r="B55" s="829" t="s">
        <v>250</v>
      </c>
      <c r="C55" s="1059">
        <v>0.1</v>
      </c>
      <c r="D55" s="1059">
        <v>0.1</v>
      </c>
      <c r="E55" s="1059">
        <v>9.6000000000000002E-2</v>
      </c>
      <c r="F55" s="1060">
        <v>0.1</v>
      </c>
    </row>
    <row r="56" spans="1:6" ht="15" thickBot="1">
      <c r="A56" s="835" t="s">
        <v>137</v>
      </c>
      <c r="B56" s="829" t="s">
        <v>261</v>
      </c>
      <c r="C56" s="1059">
        <v>0.1</v>
      </c>
      <c r="D56" s="1059">
        <v>9.6000000000000002E-2</v>
      </c>
      <c r="E56" s="1059">
        <v>5.1999999999999998E-2</v>
      </c>
      <c r="F56" s="1060">
        <v>0.1</v>
      </c>
    </row>
    <row r="57" spans="1:6" ht="15" thickBot="1">
      <c r="A57" s="835" t="s">
        <v>137</v>
      </c>
      <c r="B57" s="829" t="s">
        <v>273</v>
      </c>
      <c r="C57" s="1059">
        <v>9.7000000000000003E-2</v>
      </c>
      <c r="D57" s="1059">
        <v>9.6000000000000002E-2</v>
      </c>
      <c r="E57" s="1059">
        <v>9.6000000000000002E-2</v>
      </c>
      <c r="F57" s="1060">
        <v>0.1</v>
      </c>
    </row>
    <row r="58" spans="1:6" ht="15" thickBot="1">
      <c r="A58" s="835" t="s">
        <v>137</v>
      </c>
      <c r="B58" s="829" t="s">
        <v>283</v>
      </c>
      <c r="C58" s="1059">
        <v>9.6000000000000002E-2</v>
      </c>
      <c r="D58" s="1059">
        <v>9.9000000000000005E-2</v>
      </c>
      <c r="E58" s="1059">
        <v>9.6000000000000002E-2</v>
      </c>
      <c r="F58" s="1060">
        <v>0.1</v>
      </c>
    </row>
    <row r="59" spans="1:6" ht="15" thickBot="1">
      <c r="A59" s="835" t="s">
        <v>137</v>
      </c>
      <c r="B59" s="829" t="s">
        <v>293</v>
      </c>
      <c r="C59" s="1059">
        <v>7.1999999999999995E-2</v>
      </c>
      <c r="D59" s="1059">
        <v>9.6000000000000002E-2</v>
      </c>
      <c r="E59" s="1059">
        <v>7.0999999999999994E-2</v>
      </c>
      <c r="F59" s="1060">
        <v>0.1</v>
      </c>
    </row>
    <row r="60" spans="1:6" ht="15" thickBot="1">
      <c r="A60" s="835" t="s">
        <v>137</v>
      </c>
      <c r="B60" s="829" t="s">
        <v>303</v>
      </c>
      <c r="C60" s="1059">
        <v>9.6000000000000002E-2</v>
      </c>
      <c r="D60" s="1059">
        <v>8.8999999999999996E-2</v>
      </c>
      <c r="E60" s="1059">
        <v>9.6000000000000002E-2</v>
      </c>
      <c r="F60" s="1060">
        <v>0.1</v>
      </c>
    </row>
    <row r="61" spans="1:6" ht="15" thickBot="1">
      <c r="A61" s="835" t="s">
        <v>137</v>
      </c>
      <c r="B61" s="829" t="s">
        <v>313</v>
      </c>
      <c r="C61" s="1059">
        <v>8.8999999999999996E-2</v>
      </c>
      <c r="D61" s="1059">
        <v>9.8000000000000004E-2</v>
      </c>
      <c r="E61" s="1059">
        <v>8.7999999999999995E-2</v>
      </c>
      <c r="F61" s="1071"/>
    </row>
    <row r="62" spans="1:6" ht="15" thickBot="1">
      <c r="A62" s="835" t="s">
        <v>137</v>
      </c>
      <c r="B62" s="829" t="s">
        <v>324</v>
      </c>
      <c r="C62" s="1059">
        <v>9.8000000000000004E-2</v>
      </c>
      <c r="D62" s="1059">
        <v>9.2999999999999999E-2</v>
      </c>
      <c r="E62" s="1059">
        <v>9.7000000000000003E-2</v>
      </c>
      <c r="F62" s="1071"/>
    </row>
    <row r="63" spans="1:6" ht="15" thickBot="1">
      <c r="A63" s="835" t="s">
        <v>137</v>
      </c>
      <c r="B63" s="829" t="s">
        <v>335</v>
      </c>
      <c r="C63" s="1059">
        <v>9.6000000000000002E-2</v>
      </c>
      <c r="D63" s="1059">
        <v>9.8000000000000004E-2</v>
      </c>
      <c r="E63" s="1059">
        <v>0.09</v>
      </c>
      <c r="F63" s="1071"/>
    </row>
    <row r="64" spans="1:6" ht="15" thickBot="1">
      <c r="A64" s="835" t="s">
        <v>137</v>
      </c>
      <c r="B64" s="829" t="s">
        <v>345</v>
      </c>
      <c r="C64" s="1059">
        <v>9.9000000000000005E-2</v>
      </c>
      <c r="D64" s="1059">
        <v>9.7000000000000003E-2</v>
      </c>
      <c r="E64" s="1059">
        <v>9.9000000000000005E-2</v>
      </c>
      <c r="F64" s="1071"/>
    </row>
    <row r="65" spans="1:6" ht="15" thickBot="1">
      <c r="A65" s="835" t="s">
        <v>137</v>
      </c>
      <c r="B65" s="829" t="s">
        <v>355</v>
      </c>
      <c r="C65" s="1059">
        <v>9.8000000000000004E-2</v>
      </c>
      <c r="D65" s="1059">
        <v>9.6000000000000002E-2</v>
      </c>
      <c r="E65" s="1059">
        <v>9.6000000000000002E-2</v>
      </c>
      <c r="F65" s="1071"/>
    </row>
    <row r="66" spans="1:6" ht="15" thickBot="1">
      <c r="A66" s="835" t="s">
        <v>137</v>
      </c>
      <c r="B66" s="829" t="s">
        <v>365</v>
      </c>
      <c r="C66" s="1059">
        <v>9.6000000000000002E-2</v>
      </c>
      <c r="D66" s="1059">
        <v>9.1999999999999998E-2</v>
      </c>
      <c r="E66" s="1059">
        <v>9.6000000000000002E-2</v>
      </c>
      <c r="F66" s="1071"/>
    </row>
    <row r="67" spans="1:6" ht="15" thickBot="1">
      <c r="A67" s="835" t="s">
        <v>137</v>
      </c>
      <c r="B67" s="829" t="s">
        <v>375</v>
      </c>
      <c r="C67" s="1059">
        <v>9.4E-2</v>
      </c>
      <c r="D67" s="1059">
        <v>0.1</v>
      </c>
      <c r="E67" s="1059">
        <v>8.7999999999999995E-2</v>
      </c>
      <c r="F67" s="1071"/>
    </row>
    <row r="68" spans="1:6" ht="15" thickBot="1">
      <c r="A68" s="835" t="s">
        <v>137</v>
      </c>
      <c r="B68" s="829" t="s">
        <v>384</v>
      </c>
      <c r="C68" s="1059">
        <v>0.1</v>
      </c>
      <c r="D68" s="1059">
        <v>8.7999999999999995E-2</v>
      </c>
      <c r="E68" s="1059">
        <v>9.7000000000000003E-2</v>
      </c>
      <c r="F68" s="1071"/>
    </row>
    <row r="69" spans="1:6" ht="15" thickBot="1">
      <c r="A69" s="835" t="s">
        <v>137</v>
      </c>
      <c r="B69" s="829" t="s">
        <v>393</v>
      </c>
      <c r="C69" s="1059">
        <v>6.4000000000000001E-2</v>
      </c>
      <c r="D69" s="1059">
        <v>0.1</v>
      </c>
      <c r="E69" s="1059">
        <v>0.1</v>
      </c>
      <c r="F69" s="1071"/>
    </row>
    <row r="70" spans="1:6" ht="15" thickBot="1">
      <c r="A70" s="835" t="s">
        <v>137</v>
      </c>
      <c r="B70" s="829" t="s">
        <v>401</v>
      </c>
      <c r="C70" s="1059">
        <v>9.0999999999999998E-2</v>
      </c>
      <c r="D70" s="1072"/>
      <c r="E70" s="1072"/>
      <c r="F70" s="1071"/>
    </row>
    <row r="71" spans="1:6" ht="15" thickBot="1">
      <c r="A71" s="835" t="s">
        <v>137</v>
      </c>
      <c r="B71" s="829" t="s">
        <v>408</v>
      </c>
      <c r="C71" s="1059">
        <v>0.1</v>
      </c>
      <c r="D71" s="1072"/>
      <c r="E71" s="1072"/>
      <c r="F71" s="1071"/>
    </row>
    <row r="72" spans="1:6" ht="24.6" thickBot="1">
      <c r="A72" s="835" t="s">
        <v>137</v>
      </c>
      <c r="B72" s="829" t="s">
        <v>881</v>
      </c>
      <c r="C72" s="1072"/>
      <c r="D72" s="1072"/>
      <c r="E72" s="1072"/>
      <c r="F72" s="1060">
        <v>0.05</v>
      </c>
    </row>
    <row r="73" spans="1:6" ht="24.6" thickBot="1">
      <c r="A73" s="835" t="s">
        <v>137</v>
      </c>
      <c r="B73" s="829" t="s">
        <v>882</v>
      </c>
      <c r="C73" s="1072"/>
      <c r="D73" s="1072"/>
      <c r="E73" s="1072"/>
      <c r="F73" s="1060">
        <v>0.05</v>
      </c>
    </row>
    <row r="74" spans="1:6" ht="24.6" thickBot="1">
      <c r="A74" s="835" t="s">
        <v>137</v>
      </c>
      <c r="B74" s="829" t="s">
        <v>883</v>
      </c>
      <c r="C74" s="1072"/>
      <c r="D74" s="1072"/>
      <c r="E74" s="1072"/>
      <c r="F74" s="1060">
        <v>0.05</v>
      </c>
    </row>
    <row r="75" spans="1:6" ht="24.6" thickBot="1">
      <c r="A75" s="845" t="s">
        <v>137</v>
      </c>
      <c r="B75" s="841" t="s">
        <v>884</v>
      </c>
      <c r="C75" s="1069"/>
      <c r="D75" s="1069"/>
      <c r="E75" s="1069"/>
      <c r="F75" s="1062">
        <v>0.05</v>
      </c>
    </row>
    <row r="76" spans="1:6" ht="15" thickBot="1">
      <c r="A76" s="835" t="s">
        <v>523</v>
      </c>
      <c r="B76" s="836" t="s">
        <v>885</v>
      </c>
      <c r="C76" s="1057">
        <v>0.1</v>
      </c>
      <c r="D76" s="1057">
        <v>0.1</v>
      </c>
      <c r="E76" s="1057">
        <v>0.1</v>
      </c>
      <c r="F76" s="1058">
        <v>0.1</v>
      </c>
    </row>
    <row r="77" spans="1:6" ht="15" thickBot="1">
      <c r="A77" s="835" t="s">
        <v>523</v>
      </c>
      <c r="B77" s="829" t="s">
        <v>191</v>
      </c>
      <c r="C77" s="1059">
        <v>8.7999999999999995E-2</v>
      </c>
      <c r="D77" s="1059">
        <v>8.6999999999999994E-2</v>
      </c>
      <c r="E77" s="1059">
        <v>7.9000000000000001E-2</v>
      </c>
      <c r="F77" s="1060">
        <v>0.1</v>
      </c>
    </row>
    <row r="78" spans="1:6" ht="15" thickBot="1">
      <c r="A78" s="835" t="s">
        <v>523</v>
      </c>
      <c r="B78" s="829" t="s">
        <v>204</v>
      </c>
      <c r="C78" s="1059">
        <v>8.6999999999999994E-2</v>
      </c>
      <c r="D78" s="1059">
        <v>8.4000000000000005E-2</v>
      </c>
      <c r="E78" s="1059">
        <v>9.6000000000000002E-2</v>
      </c>
      <c r="F78" s="1060">
        <v>0.1</v>
      </c>
    </row>
    <row r="79" spans="1:6" ht="15" thickBot="1">
      <c r="A79" s="835" t="s">
        <v>523</v>
      </c>
      <c r="B79" s="829" t="s">
        <v>217</v>
      </c>
      <c r="C79" s="1059">
        <v>9.8000000000000004E-2</v>
      </c>
      <c r="D79" s="1059">
        <v>9.8000000000000004E-2</v>
      </c>
      <c r="E79" s="1059">
        <v>9.0999999999999998E-2</v>
      </c>
      <c r="F79" s="1060">
        <v>0.1</v>
      </c>
    </row>
    <row r="80" spans="1:6" ht="15" thickBot="1">
      <c r="A80" s="835" t="s">
        <v>523</v>
      </c>
      <c r="B80" s="829" t="s">
        <v>229</v>
      </c>
      <c r="C80" s="1059">
        <v>9.6000000000000002E-2</v>
      </c>
      <c r="D80" s="1059">
        <v>9.6000000000000002E-2</v>
      </c>
      <c r="E80" s="1059">
        <v>0.1</v>
      </c>
      <c r="F80" s="1060">
        <v>0.1</v>
      </c>
    </row>
    <row r="81" spans="1:6" ht="15" thickBot="1">
      <c r="A81" s="835" t="s">
        <v>523</v>
      </c>
      <c r="B81" s="829" t="s">
        <v>240</v>
      </c>
      <c r="C81" s="1059">
        <v>9.9000000000000005E-2</v>
      </c>
      <c r="D81" s="1059">
        <v>9.9000000000000005E-2</v>
      </c>
      <c r="E81" s="1059">
        <v>9.8000000000000004E-2</v>
      </c>
      <c r="F81" s="1060">
        <v>0.1</v>
      </c>
    </row>
    <row r="82" spans="1:6" ht="15" thickBot="1">
      <c r="A82" s="835" t="s">
        <v>523</v>
      </c>
      <c r="B82" s="829" t="s">
        <v>251</v>
      </c>
      <c r="C82" s="1059">
        <v>9.9000000000000005E-2</v>
      </c>
      <c r="D82" s="1059">
        <v>9.9000000000000005E-2</v>
      </c>
      <c r="E82" s="1059">
        <v>9.7000000000000003E-2</v>
      </c>
      <c r="F82" s="1060">
        <v>0.1</v>
      </c>
    </row>
    <row r="83" spans="1:6" ht="15" thickBot="1">
      <c r="A83" s="835" t="s">
        <v>523</v>
      </c>
      <c r="B83" s="829" t="s">
        <v>262</v>
      </c>
      <c r="C83" s="1059">
        <v>9.8000000000000004E-2</v>
      </c>
      <c r="D83" s="1059">
        <v>9.8000000000000004E-2</v>
      </c>
      <c r="E83" s="1059">
        <v>9.8000000000000004E-2</v>
      </c>
      <c r="F83" s="1060">
        <v>0.1</v>
      </c>
    </row>
    <row r="84" spans="1:6" ht="15" thickBot="1">
      <c r="A84" s="835" t="s">
        <v>523</v>
      </c>
      <c r="B84" s="829" t="s">
        <v>274</v>
      </c>
      <c r="C84" s="1059">
        <v>9.9000000000000005E-2</v>
      </c>
      <c r="D84" s="1059">
        <v>9.9000000000000005E-2</v>
      </c>
      <c r="E84" s="1059">
        <v>9.9000000000000005E-2</v>
      </c>
      <c r="F84" s="1060">
        <v>0.1</v>
      </c>
    </row>
    <row r="85" spans="1:6" ht="15" thickBot="1">
      <c r="A85" s="835" t="s">
        <v>523</v>
      </c>
      <c r="B85" s="829" t="s">
        <v>284</v>
      </c>
      <c r="C85" s="1059">
        <v>9.9000000000000005E-2</v>
      </c>
      <c r="D85" s="1059">
        <v>9.9000000000000005E-2</v>
      </c>
      <c r="E85" s="1059">
        <v>9.9000000000000005E-2</v>
      </c>
      <c r="F85" s="1060">
        <v>0.1</v>
      </c>
    </row>
    <row r="86" spans="1:6" ht="15" thickBot="1">
      <c r="A86" s="835" t="s">
        <v>523</v>
      </c>
      <c r="B86" s="829" t="s">
        <v>294</v>
      </c>
      <c r="C86" s="1059">
        <v>0.1</v>
      </c>
      <c r="D86" s="1059">
        <v>0.1</v>
      </c>
      <c r="E86" s="1059">
        <v>7.6999999999999999E-2</v>
      </c>
      <c r="F86" s="1060">
        <v>0.1</v>
      </c>
    </row>
    <row r="87" spans="1:6" ht="15" thickBot="1">
      <c r="A87" s="835" t="s">
        <v>523</v>
      </c>
      <c r="B87" s="829" t="s">
        <v>304</v>
      </c>
      <c r="C87" s="1059">
        <v>0.1</v>
      </c>
      <c r="D87" s="1059">
        <v>0.1</v>
      </c>
      <c r="E87" s="1059">
        <v>9.8000000000000004E-2</v>
      </c>
      <c r="F87" s="1071"/>
    </row>
    <row r="88" spans="1:6" ht="15" thickBot="1">
      <c r="A88" s="835" t="s">
        <v>523</v>
      </c>
      <c r="B88" s="829" t="s">
        <v>314</v>
      </c>
      <c r="C88" s="1059">
        <v>9.1999999999999998E-2</v>
      </c>
      <c r="D88" s="1059">
        <v>8.5000000000000006E-2</v>
      </c>
      <c r="E88" s="1059">
        <v>9.6000000000000002E-2</v>
      </c>
      <c r="F88" s="1071"/>
    </row>
    <row r="89" spans="1:6" ht="15" thickBot="1">
      <c r="A89" s="835" t="s">
        <v>523</v>
      </c>
      <c r="B89" s="829" t="s">
        <v>325</v>
      </c>
      <c r="C89" s="1059">
        <v>0.1</v>
      </c>
      <c r="D89" s="1059">
        <v>0.1</v>
      </c>
      <c r="E89" s="1059">
        <v>9.7000000000000003E-2</v>
      </c>
      <c r="F89" s="1071"/>
    </row>
    <row r="90" spans="1:6" ht="15" thickBot="1">
      <c r="A90" s="835" t="s">
        <v>523</v>
      </c>
      <c r="B90" s="829" t="s">
        <v>336</v>
      </c>
      <c r="C90" s="1059">
        <v>9.8000000000000004E-2</v>
      </c>
      <c r="D90" s="1059">
        <v>9.8000000000000004E-2</v>
      </c>
      <c r="E90" s="1059">
        <v>8.7999999999999995E-2</v>
      </c>
      <c r="F90" s="1071"/>
    </row>
    <row r="91" spans="1:6" ht="15" thickBot="1">
      <c r="A91" s="835" t="s">
        <v>523</v>
      </c>
      <c r="B91" s="829" t="s">
        <v>346</v>
      </c>
      <c r="C91" s="1059">
        <v>9.9000000000000005E-2</v>
      </c>
      <c r="D91" s="1059">
        <v>9.9000000000000005E-2</v>
      </c>
      <c r="E91" s="1059">
        <v>9.0999999999999998E-2</v>
      </c>
      <c r="F91" s="1071"/>
    </row>
    <row r="92" spans="1:6" ht="15" thickBot="1">
      <c r="A92" s="835" t="s">
        <v>523</v>
      </c>
      <c r="B92" s="829" t="s">
        <v>356</v>
      </c>
      <c r="C92" s="1059">
        <v>9.6000000000000002E-2</v>
      </c>
      <c r="D92" s="1059">
        <v>9.6000000000000002E-2</v>
      </c>
      <c r="E92" s="1059">
        <v>7.2999999999999995E-2</v>
      </c>
      <c r="F92" s="1071"/>
    </row>
    <row r="93" spans="1:6" ht="15" thickBot="1">
      <c r="A93" s="835" t="s">
        <v>523</v>
      </c>
      <c r="B93" s="829" t="s">
        <v>366</v>
      </c>
      <c r="C93" s="1059">
        <v>9.6000000000000002E-2</v>
      </c>
      <c r="D93" s="1059">
        <v>9.6000000000000002E-2</v>
      </c>
      <c r="E93" s="1059">
        <v>9.9000000000000005E-2</v>
      </c>
      <c r="F93" s="1071"/>
    </row>
    <row r="94" spans="1:6" ht="15" thickBot="1">
      <c r="A94" s="835" t="s">
        <v>523</v>
      </c>
      <c r="B94" s="829" t="s">
        <v>376</v>
      </c>
      <c r="C94" s="1059">
        <v>7.5999999999999998E-2</v>
      </c>
      <c r="D94" s="1059">
        <v>7.3999999999999996E-2</v>
      </c>
      <c r="E94" s="1059">
        <v>9.7000000000000003E-2</v>
      </c>
      <c r="F94" s="1071"/>
    </row>
    <row r="95" spans="1:6" ht="15" thickBot="1">
      <c r="A95" s="835" t="s">
        <v>523</v>
      </c>
      <c r="B95" s="829" t="s">
        <v>385</v>
      </c>
      <c r="C95" s="1059">
        <v>9.9000000000000005E-2</v>
      </c>
      <c r="D95" s="1059">
        <v>9.4E-2</v>
      </c>
      <c r="E95" s="1059">
        <v>9.6000000000000002E-2</v>
      </c>
      <c r="F95" s="1071"/>
    </row>
    <row r="96" spans="1:6" ht="15" thickBot="1">
      <c r="A96" s="835" t="s">
        <v>523</v>
      </c>
      <c r="B96" s="829" t="s">
        <v>394</v>
      </c>
      <c r="C96" s="1059">
        <v>9.9000000000000005E-2</v>
      </c>
      <c r="D96" s="1059">
        <v>9.9000000000000005E-2</v>
      </c>
      <c r="E96" s="1059">
        <v>9.9000000000000005E-2</v>
      </c>
      <c r="F96" s="1071"/>
    </row>
    <row r="97" spans="1:6" ht="15" thickBot="1">
      <c r="A97" s="835" t="s">
        <v>523</v>
      </c>
      <c r="B97" s="829" t="s">
        <v>402</v>
      </c>
      <c r="C97" s="1059">
        <v>9.8000000000000004E-2</v>
      </c>
      <c r="D97" s="1059">
        <v>9.8000000000000004E-2</v>
      </c>
      <c r="E97" s="1059">
        <v>9.7000000000000003E-2</v>
      </c>
      <c r="F97" s="1071"/>
    </row>
    <row r="98" spans="1:6" ht="15" thickBot="1">
      <c r="A98" s="835" t="s">
        <v>523</v>
      </c>
      <c r="B98" s="829" t="s">
        <v>409</v>
      </c>
      <c r="C98" s="1059">
        <v>0.1</v>
      </c>
      <c r="D98" s="1059">
        <v>0.1</v>
      </c>
      <c r="E98" s="1059">
        <v>9.7000000000000003E-2</v>
      </c>
      <c r="F98" s="1071"/>
    </row>
    <row r="99" spans="1:6" ht="15" thickBot="1">
      <c r="A99" s="835" t="s">
        <v>523</v>
      </c>
      <c r="B99" s="829" t="s">
        <v>416</v>
      </c>
      <c r="C99" s="1059">
        <v>0.1</v>
      </c>
      <c r="D99" s="1059">
        <v>0.1</v>
      </c>
      <c r="E99" s="1072"/>
      <c r="F99" s="1071"/>
    </row>
    <row r="100" spans="1:6" ht="15" thickBot="1">
      <c r="A100" s="835" t="s">
        <v>523</v>
      </c>
      <c r="B100" s="829" t="s">
        <v>423</v>
      </c>
      <c r="C100" s="1059">
        <v>0.09</v>
      </c>
      <c r="D100" s="1059">
        <v>8.8999999999999996E-2</v>
      </c>
      <c r="E100" s="1072"/>
      <c r="F100" s="1071"/>
    </row>
    <row r="101" spans="1:6" ht="15" thickBot="1">
      <c r="A101" s="835" t="s">
        <v>523</v>
      </c>
      <c r="B101" s="829" t="s">
        <v>430</v>
      </c>
      <c r="C101" s="1059">
        <v>9.8000000000000004E-2</v>
      </c>
      <c r="D101" s="1059">
        <v>9.7000000000000003E-2</v>
      </c>
      <c r="E101" s="1072"/>
      <c r="F101" s="1071"/>
    </row>
    <row r="102" spans="1:6" ht="24.6" thickBot="1">
      <c r="A102" s="835" t="s">
        <v>523</v>
      </c>
      <c r="B102" s="829" t="s">
        <v>886</v>
      </c>
      <c r="C102" s="1072"/>
      <c r="D102" s="1072"/>
      <c r="E102" s="1072"/>
      <c r="F102" s="1060">
        <v>0.05</v>
      </c>
    </row>
    <row r="103" spans="1:6" ht="24.6" thickBot="1">
      <c r="A103" s="835" t="s">
        <v>523</v>
      </c>
      <c r="B103" s="829" t="s">
        <v>887</v>
      </c>
      <c r="C103" s="1072"/>
      <c r="D103" s="1072"/>
      <c r="E103" s="1072"/>
      <c r="F103" s="1060">
        <v>0.05</v>
      </c>
    </row>
    <row r="104" spans="1:6" ht="15" thickBot="1">
      <c r="A104" s="835" t="s">
        <v>523</v>
      </c>
      <c r="B104" s="829" t="s">
        <v>888</v>
      </c>
      <c r="C104" s="1072"/>
      <c r="D104" s="1072"/>
      <c r="E104" s="1072"/>
      <c r="F104" s="1060">
        <v>0.05</v>
      </c>
    </row>
    <row r="105" spans="1:6" ht="24.6" thickBot="1">
      <c r="A105" s="835" t="s">
        <v>523</v>
      </c>
      <c r="B105" s="829" t="s">
        <v>889</v>
      </c>
      <c r="C105" s="1072"/>
      <c r="D105" s="1072"/>
      <c r="E105" s="1072"/>
      <c r="F105" s="1060">
        <v>0.05</v>
      </c>
    </row>
    <row r="106" spans="1:6" ht="24.6" thickBot="1">
      <c r="A106" s="835" t="s">
        <v>523</v>
      </c>
      <c r="B106" s="829" t="s">
        <v>890</v>
      </c>
      <c r="C106" s="1072"/>
      <c r="D106" s="1072"/>
      <c r="E106" s="1072"/>
      <c r="F106" s="1060">
        <v>0.05</v>
      </c>
    </row>
    <row r="107" spans="1:6" ht="24.6" thickBot="1">
      <c r="A107" s="835" t="s">
        <v>523</v>
      </c>
      <c r="B107" s="829" t="s">
        <v>891</v>
      </c>
      <c r="C107" s="1072"/>
      <c r="D107" s="1072"/>
      <c r="E107" s="1072"/>
      <c r="F107" s="1060">
        <v>0.05</v>
      </c>
    </row>
    <row r="108" spans="1:6" ht="24.6" thickBot="1">
      <c r="A108" s="835" t="s">
        <v>523</v>
      </c>
      <c r="B108" s="829" t="s">
        <v>892</v>
      </c>
      <c r="C108" s="1072"/>
      <c r="D108" s="1072"/>
      <c r="E108" s="1072"/>
      <c r="F108" s="1060">
        <v>0.05</v>
      </c>
    </row>
    <row r="109" spans="1:6" ht="24.6" thickBot="1">
      <c r="A109" s="845" t="s">
        <v>523</v>
      </c>
      <c r="B109" s="841" t="s">
        <v>893</v>
      </c>
      <c r="C109" s="1069"/>
      <c r="D109" s="1069"/>
      <c r="E109" s="1069"/>
      <c r="F109" s="1062">
        <v>0.05</v>
      </c>
    </row>
    <row r="110" spans="1:6" ht="15" thickBot="1">
      <c r="A110" s="835" t="s">
        <v>56</v>
      </c>
      <c r="B110" s="836" t="s">
        <v>894</v>
      </c>
      <c r="C110" s="1057">
        <v>0.129</v>
      </c>
      <c r="D110" s="1057">
        <v>0.129</v>
      </c>
      <c r="E110" s="1057">
        <v>0.126</v>
      </c>
      <c r="F110" s="1058">
        <v>0.13</v>
      </c>
    </row>
    <row r="111" spans="1:6" ht="15" thickBot="1">
      <c r="A111" s="835" t="s">
        <v>56</v>
      </c>
      <c r="B111" s="829" t="s">
        <v>192</v>
      </c>
      <c r="C111" s="1059">
        <v>0.11</v>
      </c>
      <c r="D111" s="1059">
        <v>0.11</v>
      </c>
      <c r="E111" s="1059">
        <v>9.9000000000000005E-2</v>
      </c>
      <c r="F111" s="1060">
        <v>0.128</v>
      </c>
    </row>
    <row r="112" spans="1:6" ht="15" thickBot="1">
      <c r="A112" s="835" t="s">
        <v>56</v>
      </c>
      <c r="B112" s="829" t="s">
        <v>205</v>
      </c>
      <c r="C112" s="1059">
        <v>0.125</v>
      </c>
      <c r="D112" s="1059">
        <v>0.125</v>
      </c>
      <c r="E112" s="1059">
        <v>0.12</v>
      </c>
      <c r="F112" s="1060">
        <v>0.125</v>
      </c>
    </row>
    <row r="113" spans="1:6" ht="15" thickBot="1">
      <c r="A113" s="835" t="s">
        <v>56</v>
      </c>
      <c r="B113" s="829" t="s">
        <v>218</v>
      </c>
      <c r="C113" s="1059">
        <v>0.13</v>
      </c>
      <c r="D113" s="1059">
        <v>0.13</v>
      </c>
      <c r="E113" s="1059">
        <v>0.13</v>
      </c>
      <c r="F113" s="1060">
        <v>0.13</v>
      </c>
    </row>
    <row r="114" spans="1:6" ht="15" thickBot="1">
      <c r="A114" s="835" t="s">
        <v>56</v>
      </c>
      <c r="B114" s="829" t="s">
        <v>230</v>
      </c>
      <c r="C114" s="1059">
        <v>0.123</v>
      </c>
      <c r="D114" s="1059">
        <v>0.123</v>
      </c>
      <c r="E114" s="1059">
        <v>0.12</v>
      </c>
      <c r="F114" s="1060">
        <v>0.13</v>
      </c>
    </row>
    <row r="115" spans="1:6" ht="15" thickBot="1">
      <c r="A115" s="835" t="s">
        <v>56</v>
      </c>
      <c r="B115" s="829" t="s">
        <v>241</v>
      </c>
      <c r="C115" s="1059">
        <v>0.125</v>
      </c>
      <c r="D115" s="1059">
        <v>0.125</v>
      </c>
      <c r="E115" s="1059">
        <v>0.11700000000000001</v>
      </c>
      <c r="F115" s="1060">
        <v>0.13</v>
      </c>
    </row>
    <row r="116" spans="1:6" ht="15" thickBot="1">
      <c r="A116" s="835" t="s">
        <v>56</v>
      </c>
      <c r="B116" s="829" t="s">
        <v>252</v>
      </c>
      <c r="C116" s="1059">
        <v>0.11700000000000001</v>
      </c>
      <c r="D116" s="1059">
        <v>0.11700000000000001</v>
      </c>
      <c r="E116" s="1059">
        <v>8.7999999999999995E-2</v>
      </c>
      <c r="F116" s="1060">
        <v>0.13</v>
      </c>
    </row>
    <row r="117" spans="1:6" ht="15" thickBot="1">
      <c r="A117" s="835" t="s">
        <v>56</v>
      </c>
      <c r="B117" s="829" t="s">
        <v>263</v>
      </c>
      <c r="C117" s="1059">
        <v>0.13</v>
      </c>
      <c r="D117" s="1059">
        <v>0.13</v>
      </c>
      <c r="E117" s="1059">
        <v>0.129</v>
      </c>
      <c r="F117" s="1060">
        <v>0.13</v>
      </c>
    </row>
    <row r="118" spans="1:6" ht="15" thickBot="1">
      <c r="A118" s="835" t="s">
        <v>56</v>
      </c>
      <c r="B118" s="829" t="s">
        <v>275</v>
      </c>
      <c r="C118" s="1059">
        <v>0.123</v>
      </c>
      <c r="D118" s="1059">
        <v>0.123</v>
      </c>
      <c r="E118" s="1059">
        <v>0.11600000000000001</v>
      </c>
      <c r="F118" s="1060">
        <v>0.13</v>
      </c>
    </row>
    <row r="119" spans="1:6" ht="15" thickBot="1">
      <c r="A119" s="835" t="s">
        <v>56</v>
      </c>
      <c r="B119" s="829" t="s">
        <v>285</v>
      </c>
      <c r="C119" s="1059">
        <v>0.127</v>
      </c>
      <c r="D119" s="1059">
        <v>0.127</v>
      </c>
      <c r="E119" s="1059">
        <v>0.124</v>
      </c>
      <c r="F119" s="1060">
        <v>0.13</v>
      </c>
    </row>
    <row r="120" spans="1:6" ht="15" thickBot="1">
      <c r="A120" s="835" t="s">
        <v>56</v>
      </c>
      <c r="B120" s="829" t="s">
        <v>295</v>
      </c>
      <c r="C120" s="1059">
        <v>0.125</v>
      </c>
      <c r="D120" s="1059">
        <v>0.125</v>
      </c>
      <c r="E120" s="1059">
        <v>0.122</v>
      </c>
      <c r="F120" s="1060">
        <v>0.13</v>
      </c>
    </row>
    <row r="121" spans="1:6" ht="15" thickBot="1">
      <c r="A121" s="835" t="s">
        <v>56</v>
      </c>
      <c r="B121" s="829" t="s">
        <v>305</v>
      </c>
      <c r="C121" s="1059">
        <v>0.13</v>
      </c>
      <c r="D121" s="1059">
        <v>0.13</v>
      </c>
      <c r="E121" s="1059">
        <v>0.13</v>
      </c>
      <c r="F121" s="1060">
        <v>0.13</v>
      </c>
    </row>
    <row r="122" spans="1:6" ht="15" thickBot="1">
      <c r="A122" s="835" t="s">
        <v>56</v>
      </c>
      <c r="B122" s="829" t="s">
        <v>315</v>
      </c>
      <c r="C122" s="1059">
        <v>0.13</v>
      </c>
      <c r="D122" s="1059">
        <v>0.13</v>
      </c>
      <c r="E122" s="1059">
        <v>0.125</v>
      </c>
      <c r="F122" s="1060">
        <v>0.13</v>
      </c>
    </row>
    <row r="123" spans="1:6" ht="15" thickBot="1">
      <c r="A123" s="835" t="s">
        <v>56</v>
      </c>
      <c r="B123" s="829" t="s">
        <v>326</v>
      </c>
      <c r="C123" s="1059">
        <v>0.129</v>
      </c>
      <c r="D123" s="1059">
        <v>0.129</v>
      </c>
      <c r="E123" s="1059">
        <v>0.123</v>
      </c>
      <c r="F123" s="1060">
        <v>0.13</v>
      </c>
    </row>
    <row r="124" spans="1:6" ht="15" thickBot="1">
      <c r="A124" s="835" t="s">
        <v>56</v>
      </c>
      <c r="B124" s="829" t="s">
        <v>337</v>
      </c>
      <c r="C124" s="1059">
        <v>0.10199999999999999</v>
      </c>
      <c r="D124" s="1059">
        <v>0.10100000000000001</v>
      </c>
      <c r="E124" s="1059">
        <v>0.08</v>
      </c>
      <c r="F124" s="1071"/>
    </row>
    <row r="125" spans="1:6" ht="15" thickBot="1">
      <c r="A125" s="835" t="s">
        <v>56</v>
      </c>
      <c r="B125" s="829" t="s">
        <v>347</v>
      </c>
      <c r="C125" s="1059">
        <v>0.13</v>
      </c>
      <c r="D125" s="1059">
        <v>0.13</v>
      </c>
      <c r="E125" s="1059">
        <v>0.129</v>
      </c>
      <c r="F125" s="1071"/>
    </row>
    <row r="126" spans="1:6" ht="15" thickBot="1">
      <c r="A126" s="835" t="s">
        <v>56</v>
      </c>
      <c r="B126" s="829" t="s">
        <v>357</v>
      </c>
      <c r="C126" s="1059">
        <v>0.13</v>
      </c>
      <c r="D126" s="1059">
        <v>0.13</v>
      </c>
      <c r="E126" s="1059">
        <v>0.126</v>
      </c>
      <c r="F126" s="1071"/>
    </row>
    <row r="127" spans="1:6" ht="15" thickBot="1">
      <c r="A127" s="835" t="s">
        <v>56</v>
      </c>
      <c r="B127" s="829" t="s">
        <v>367</v>
      </c>
      <c r="C127" s="1059">
        <v>0.125</v>
      </c>
      <c r="D127" s="1059">
        <v>0.125</v>
      </c>
      <c r="E127" s="1059">
        <v>0.121</v>
      </c>
      <c r="F127" s="1071"/>
    </row>
    <row r="128" spans="1:6" ht="15" thickBot="1">
      <c r="A128" s="835" t="s">
        <v>56</v>
      </c>
      <c r="B128" s="829" t="s">
        <v>377</v>
      </c>
      <c r="C128" s="1059">
        <v>0.12</v>
      </c>
      <c r="D128" s="1059">
        <v>0.12</v>
      </c>
      <c r="E128" s="1059">
        <v>0.105</v>
      </c>
      <c r="F128" s="1071"/>
    </row>
    <row r="129" spans="1:6" ht="15" thickBot="1">
      <c r="A129" s="835" t="s">
        <v>56</v>
      </c>
      <c r="B129" s="829" t="s">
        <v>386</v>
      </c>
      <c r="C129" s="1059">
        <v>0.13</v>
      </c>
      <c r="D129" s="1059">
        <v>0.13</v>
      </c>
      <c r="E129" s="1059">
        <v>0.126</v>
      </c>
      <c r="F129" s="1071"/>
    </row>
    <row r="130" spans="1:6" ht="15" thickBot="1">
      <c r="A130" s="835" t="s">
        <v>56</v>
      </c>
      <c r="B130" s="829" t="s">
        <v>395</v>
      </c>
      <c r="C130" s="1059">
        <v>0.125</v>
      </c>
      <c r="D130" s="1059">
        <v>0.125</v>
      </c>
      <c r="E130" s="1059">
        <v>0.122</v>
      </c>
      <c r="F130" s="1071"/>
    </row>
    <row r="131" spans="1:6" ht="15" thickBot="1">
      <c r="A131" s="835" t="s">
        <v>56</v>
      </c>
      <c r="B131" s="829" t="s">
        <v>403</v>
      </c>
      <c r="C131" s="1059">
        <v>0.127</v>
      </c>
      <c r="D131" s="1059">
        <v>0.126</v>
      </c>
      <c r="E131" s="1059">
        <v>0.123</v>
      </c>
      <c r="F131" s="1071"/>
    </row>
    <row r="132" spans="1:6" ht="15" thickBot="1">
      <c r="A132" s="835" t="s">
        <v>56</v>
      </c>
      <c r="B132" s="829" t="s">
        <v>410</v>
      </c>
      <c r="C132" s="1059">
        <v>9.0999999999999998E-2</v>
      </c>
      <c r="D132" s="1059">
        <v>0.121</v>
      </c>
      <c r="E132" s="1059">
        <v>9.9000000000000005E-2</v>
      </c>
      <c r="F132" s="1071"/>
    </row>
    <row r="133" spans="1:6" ht="15" thickBot="1">
      <c r="A133" s="835" t="s">
        <v>56</v>
      </c>
      <c r="B133" s="829" t="s">
        <v>417</v>
      </c>
      <c r="C133" s="1059">
        <v>0.13</v>
      </c>
      <c r="D133" s="1059">
        <v>0.13</v>
      </c>
      <c r="E133" s="1059">
        <v>0.129</v>
      </c>
      <c r="F133" s="1071"/>
    </row>
    <row r="134" spans="1:6" ht="15" thickBot="1">
      <c r="A134" s="835" t="s">
        <v>56</v>
      </c>
      <c r="B134" s="829" t="s">
        <v>895</v>
      </c>
      <c r="C134" s="1059">
        <v>6.8000000000000005E-2</v>
      </c>
      <c r="D134" s="1059">
        <v>6.5000000000000002E-2</v>
      </c>
      <c r="E134" s="1059">
        <v>6.5000000000000002E-2</v>
      </c>
      <c r="F134" s="1060">
        <v>0.13</v>
      </c>
    </row>
    <row r="135" spans="1:6" ht="15" thickBot="1">
      <c r="A135" s="835" t="s">
        <v>56</v>
      </c>
      <c r="B135" s="829" t="s">
        <v>431</v>
      </c>
      <c r="C135" s="1059">
        <v>0.123</v>
      </c>
      <c r="D135" s="1059">
        <v>0.123</v>
      </c>
      <c r="E135" s="1059">
        <v>0.11</v>
      </c>
      <c r="F135" s="1071"/>
    </row>
    <row r="136" spans="1:6" ht="15" thickBot="1">
      <c r="A136" s="835" t="s">
        <v>56</v>
      </c>
      <c r="B136" s="829" t="s">
        <v>438</v>
      </c>
      <c r="C136" s="1059">
        <v>0.13</v>
      </c>
      <c r="D136" s="1059">
        <v>0.13</v>
      </c>
      <c r="E136" s="1059">
        <v>0.125</v>
      </c>
      <c r="F136" s="1071"/>
    </row>
    <row r="137" spans="1:6" ht="15" thickBot="1">
      <c r="A137" s="835" t="s">
        <v>56</v>
      </c>
      <c r="B137" s="829" t="s">
        <v>445</v>
      </c>
      <c r="C137" s="1059">
        <v>0.121</v>
      </c>
      <c r="D137" s="1059">
        <v>0.122</v>
      </c>
      <c r="E137" s="1059">
        <v>0.115</v>
      </c>
      <c r="F137" s="1071"/>
    </row>
    <row r="138" spans="1:6" ht="15" thickBot="1">
      <c r="A138" s="835" t="s">
        <v>56</v>
      </c>
      <c r="B138" s="829" t="s">
        <v>896</v>
      </c>
      <c r="C138" s="1059">
        <v>0.105</v>
      </c>
      <c r="D138" s="1059">
        <v>0.125</v>
      </c>
      <c r="E138" s="1059">
        <v>0.112</v>
      </c>
      <c r="F138" s="1071"/>
    </row>
    <row r="139" spans="1:6" ht="15" thickBot="1">
      <c r="A139" s="835" t="s">
        <v>56</v>
      </c>
      <c r="B139" s="829" t="s">
        <v>897</v>
      </c>
      <c r="C139" s="1059">
        <v>0.127</v>
      </c>
      <c r="D139" s="1059">
        <v>0.127</v>
      </c>
      <c r="E139" s="1059">
        <v>0.122</v>
      </c>
      <c r="F139" s="1060">
        <v>0.13</v>
      </c>
    </row>
    <row r="140" spans="1:6" ht="15" thickBot="1">
      <c r="A140" s="835" t="s">
        <v>56</v>
      </c>
      <c r="B140" s="829" t="s">
        <v>898</v>
      </c>
      <c r="C140" s="1059">
        <v>0.125</v>
      </c>
      <c r="D140" s="1059">
        <v>0.125</v>
      </c>
      <c r="E140" s="1059">
        <v>0.11899999999999999</v>
      </c>
      <c r="F140" s="1060">
        <v>0.13</v>
      </c>
    </row>
    <row r="141" spans="1:6" ht="15" thickBot="1">
      <c r="A141" s="835" t="s">
        <v>56</v>
      </c>
      <c r="B141" s="829" t="s">
        <v>464</v>
      </c>
      <c r="C141" s="1059">
        <v>0.125</v>
      </c>
      <c r="D141" s="1059">
        <v>0.125</v>
      </c>
      <c r="E141" s="1059">
        <v>0.11700000000000001</v>
      </c>
      <c r="F141" s="1071"/>
    </row>
    <row r="142" spans="1:6" ht="15" thickBot="1">
      <c r="A142" s="835" t="s">
        <v>56</v>
      </c>
      <c r="B142" s="829" t="s">
        <v>469</v>
      </c>
      <c r="C142" s="1059">
        <v>0.125</v>
      </c>
      <c r="D142" s="1059">
        <v>0.125</v>
      </c>
      <c r="E142" s="1059">
        <v>0.115</v>
      </c>
      <c r="F142" s="1071"/>
    </row>
    <row r="143" spans="1:6" ht="15" thickBot="1">
      <c r="A143" s="835" t="s">
        <v>56</v>
      </c>
      <c r="B143" s="829" t="s">
        <v>474</v>
      </c>
      <c r="C143" s="1059">
        <v>0.121</v>
      </c>
      <c r="D143" s="1059">
        <v>0.121</v>
      </c>
      <c r="E143" s="1059">
        <v>0.108</v>
      </c>
      <c r="F143" s="1071"/>
    </row>
    <row r="144" spans="1:6" ht="15" thickBot="1">
      <c r="A144" s="835" t="s">
        <v>56</v>
      </c>
      <c r="B144" s="1063" t="s">
        <v>899</v>
      </c>
      <c r="C144" s="1064">
        <v>0.126</v>
      </c>
      <c r="D144" s="1064">
        <v>0.126</v>
      </c>
      <c r="E144" s="1064">
        <v>0.121</v>
      </c>
      <c r="F144" s="1071"/>
    </row>
    <row r="145" spans="1:6" ht="15" thickBot="1">
      <c r="A145" s="845" t="s">
        <v>56</v>
      </c>
      <c r="B145" s="1065" t="s">
        <v>900</v>
      </c>
      <c r="C145" s="1073"/>
      <c r="D145" s="1073"/>
      <c r="E145" s="1073"/>
      <c r="F145" s="1066">
        <v>0.05</v>
      </c>
    </row>
    <row r="146" spans="1:6" ht="24.6" thickBot="1">
      <c r="A146" s="1067" t="s">
        <v>56</v>
      </c>
      <c r="B146" s="839" t="s">
        <v>901</v>
      </c>
      <c r="C146" s="1072"/>
      <c r="D146" s="1072"/>
      <c r="E146" s="1072"/>
      <c r="F146" s="1068">
        <v>0.05</v>
      </c>
    </row>
    <row r="147" spans="1:6" ht="24.6" thickBot="1">
      <c r="A147" s="835" t="s">
        <v>56</v>
      </c>
      <c r="B147" s="829" t="s">
        <v>902</v>
      </c>
      <c r="C147" s="1072"/>
      <c r="D147" s="1072"/>
      <c r="E147" s="1072"/>
      <c r="F147" s="1060">
        <v>0.05</v>
      </c>
    </row>
    <row r="148" spans="1:6" ht="24.6" thickBot="1">
      <c r="A148" s="835" t="s">
        <v>56</v>
      </c>
      <c r="B148" s="829" t="s">
        <v>903</v>
      </c>
      <c r="C148" s="1072"/>
      <c r="D148" s="1072"/>
      <c r="E148" s="1072"/>
      <c r="F148" s="1060">
        <v>0.05</v>
      </c>
    </row>
    <row r="149" spans="1:6" ht="24.6" thickBot="1">
      <c r="A149" s="835" t="s">
        <v>56</v>
      </c>
      <c r="B149" s="829" t="s">
        <v>904</v>
      </c>
      <c r="C149" s="1072"/>
      <c r="D149" s="1072"/>
      <c r="E149" s="1072"/>
      <c r="F149" s="1060">
        <v>0.05</v>
      </c>
    </row>
    <row r="150" spans="1:6" ht="24.6" thickBot="1">
      <c r="A150" s="835" t="s">
        <v>56</v>
      </c>
      <c r="B150" s="829" t="s">
        <v>905</v>
      </c>
      <c r="C150" s="1072"/>
      <c r="D150" s="1072"/>
      <c r="E150" s="1072"/>
      <c r="F150" s="1060">
        <v>0.05</v>
      </c>
    </row>
    <row r="151" spans="1:6" ht="24.6" thickBot="1">
      <c r="A151" s="835" t="s">
        <v>56</v>
      </c>
      <c r="B151" s="829" t="s">
        <v>906</v>
      </c>
      <c r="C151" s="1072"/>
      <c r="D151" s="1072"/>
      <c r="E151" s="1072"/>
      <c r="F151" s="1060">
        <v>0.05</v>
      </c>
    </row>
    <row r="152" spans="1:6" ht="24.6" thickBot="1">
      <c r="A152" s="835" t="s">
        <v>56</v>
      </c>
      <c r="B152" s="829" t="s">
        <v>507</v>
      </c>
      <c r="C152" s="1072"/>
      <c r="D152" s="1072"/>
      <c r="E152" s="1072"/>
      <c r="F152" s="1060">
        <v>0.05</v>
      </c>
    </row>
    <row r="153" spans="1:6" ht="15" thickBot="1">
      <c r="A153" s="835" t="s">
        <v>56</v>
      </c>
      <c r="B153" s="829" t="s">
        <v>907</v>
      </c>
      <c r="C153" s="1072"/>
      <c r="D153" s="1072"/>
      <c r="E153" s="1072"/>
      <c r="F153" s="1060">
        <v>0.05</v>
      </c>
    </row>
    <row r="154" spans="1:6" ht="15" thickBot="1">
      <c r="A154" s="835" t="s">
        <v>56</v>
      </c>
      <c r="B154" s="829" t="s">
        <v>908</v>
      </c>
      <c r="C154" s="1072"/>
      <c r="D154" s="1072"/>
      <c r="E154" s="1072"/>
      <c r="F154" s="1060">
        <v>0.05</v>
      </c>
    </row>
    <row r="155" spans="1:6" ht="24.6" thickBot="1">
      <c r="A155" s="835" t="s">
        <v>56</v>
      </c>
      <c r="B155" s="829" t="s">
        <v>909</v>
      </c>
      <c r="C155" s="1072"/>
      <c r="D155" s="1072"/>
      <c r="E155" s="1072"/>
      <c r="F155" s="1060">
        <v>0.05</v>
      </c>
    </row>
    <row r="156" spans="1:6" ht="24.6" thickBot="1">
      <c r="A156" s="835" t="s">
        <v>56</v>
      </c>
      <c r="B156" s="829" t="s">
        <v>910</v>
      </c>
      <c r="C156" s="1072"/>
      <c r="D156" s="1072"/>
      <c r="E156" s="1072"/>
      <c r="F156" s="1060">
        <v>0.05</v>
      </c>
    </row>
    <row r="157" spans="1:6" ht="24.6" thickBot="1">
      <c r="A157" s="845" t="s">
        <v>56</v>
      </c>
      <c r="B157" s="841" t="s">
        <v>911</v>
      </c>
      <c r="C157" s="1069"/>
      <c r="D157" s="1069"/>
      <c r="E157" s="1069"/>
      <c r="F157" s="1062">
        <v>0.05</v>
      </c>
    </row>
    <row r="158" spans="1:6" ht="15" thickBot="1">
      <c r="A158" s="835" t="s">
        <v>526</v>
      </c>
      <c r="B158" s="836" t="s">
        <v>912</v>
      </c>
      <c r="C158" s="1057">
        <v>0.13</v>
      </c>
      <c r="D158" s="1057">
        <v>0.13</v>
      </c>
      <c r="E158" s="1057">
        <v>0.13</v>
      </c>
      <c r="F158" s="1058">
        <v>0.13</v>
      </c>
    </row>
    <row r="159" spans="1:6" ht="15" thickBot="1">
      <c r="A159" s="835" t="s">
        <v>526</v>
      </c>
      <c r="B159" s="829" t="s">
        <v>193</v>
      </c>
      <c r="C159" s="1059">
        <v>0.13</v>
      </c>
      <c r="D159" s="1059">
        <v>0.13</v>
      </c>
      <c r="E159" s="1059">
        <v>0.13</v>
      </c>
      <c r="F159" s="1060">
        <v>0.13</v>
      </c>
    </row>
    <row r="160" spans="1:6" ht="15" thickBot="1">
      <c r="A160" s="835" t="s">
        <v>526</v>
      </c>
      <c r="B160" s="829" t="s">
        <v>206</v>
      </c>
      <c r="C160" s="1059">
        <v>0.13</v>
      </c>
      <c r="D160" s="1059">
        <v>0.13</v>
      </c>
      <c r="E160" s="1059">
        <v>0.129</v>
      </c>
      <c r="F160" s="1060">
        <v>0.13</v>
      </c>
    </row>
    <row r="161" spans="1:6" ht="15" thickBot="1">
      <c r="A161" s="835" t="s">
        <v>526</v>
      </c>
      <c r="B161" s="829" t="s">
        <v>219</v>
      </c>
      <c r="C161" s="1059">
        <v>0.128</v>
      </c>
      <c r="D161" s="1059">
        <v>0.128</v>
      </c>
      <c r="E161" s="1059">
        <v>0.125</v>
      </c>
      <c r="F161" s="1060">
        <v>0.13</v>
      </c>
    </row>
    <row r="162" spans="1:6" ht="15" thickBot="1">
      <c r="A162" s="835" t="s">
        <v>526</v>
      </c>
      <c r="B162" s="829" t="s">
        <v>231</v>
      </c>
      <c r="C162" s="1059">
        <v>0.122</v>
      </c>
      <c r="D162" s="1059">
        <v>0.122</v>
      </c>
      <c r="E162" s="1059">
        <v>0.126</v>
      </c>
      <c r="F162" s="1060">
        <v>0.122</v>
      </c>
    </row>
    <row r="163" spans="1:6" ht="15" thickBot="1">
      <c r="A163" s="835" t="s">
        <v>526</v>
      </c>
      <c r="B163" s="829" t="s">
        <v>242</v>
      </c>
      <c r="C163" s="1059">
        <v>0.13</v>
      </c>
      <c r="D163" s="1059">
        <v>0.13</v>
      </c>
      <c r="E163" s="1059">
        <v>0.125</v>
      </c>
      <c r="F163" s="1060">
        <v>0.13</v>
      </c>
    </row>
    <row r="164" spans="1:6" ht="15" thickBot="1">
      <c r="A164" s="835" t="s">
        <v>526</v>
      </c>
      <c r="B164" s="829" t="s">
        <v>253</v>
      </c>
      <c r="C164" s="1059">
        <v>0.13</v>
      </c>
      <c r="D164" s="1059">
        <v>0.13</v>
      </c>
      <c r="E164" s="1059">
        <v>0.13</v>
      </c>
      <c r="F164" s="1060">
        <v>0.13</v>
      </c>
    </row>
    <row r="165" spans="1:6" ht="15" thickBot="1">
      <c r="A165" s="835" t="s">
        <v>526</v>
      </c>
      <c r="B165" s="829" t="s">
        <v>264</v>
      </c>
      <c r="C165" s="1059">
        <v>0.13</v>
      </c>
      <c r="D165" s="1059">
        <v>0.13</v>
      </c>
      <c r="E165" s="1059">
        <v>0.124</v>
      </c>
      <c r="F165" s="1060">
        <v>0.13</v>
      </c>
    </row>
    <row r="166" spans="1:6" ht="15" thickBot="1">
      <c r="A166" s="835" t="s">
        <v>526</v>
      </c>
      <c r="B166" s="829" t="s">
        <v>276</v>
      </c>
      <c r="C166" s="1059">
        <v>0.13</v>
      </c>
      <c r="D166" s="1059">
        <v>0.13</v>
      </c>
      <c r="E166" s="1059">
        <v>0.13</v>
      </c>
      <c r="F166" s="1060">
        <v>0.13</v>
      </c>
    </row>
    <row r="167" spans="1:6" ht="15" thickBot="1">
      <c r="A167" s="835" t="s">
        <v>526</v>
      </c>
      <c r="B167" s="829" t="s">
        <v>286</v>
      </c>
      <c r="C167" s="1059">
        <v>0.125</v>
      </c>
      <c r="D167" s="1059">
        <v>0.125</v>
      </c>
      <c r="E167" s="1059">
        <v>0.121</v>
      </c>
      <c r="F167" s="1071"/>
    </row>
    <row r="168" spans="1:6" ht="15" thickBot="1">
      <c r="A168" s="835" t="s">
        <v>526</v>
      </c>
      <c r="B168" s="829" t="s">
        <v>296</v>
      </c>
      <c r="C168" s="1059">
        <v>0.13</v>
      </c>
      <c r="D168" s="1059">
        <v>0.13</v>
      </c>
      <c r="E168" s="1059">
        <v>0.126</v>
      </c>
      <c r="F168" s="1071"/>
    </row>
    <row r="169" spans="1:6" ht="15" thickBot="1">
      <c r="A169" s="835" t="s">
        <v>526</v>
      </c>
      <c r="B169" s="829" t="s">
        <v>306</v>
      </c>
      <c r="C169" s="1059">
        <v>0.128</v>
      </c>
      <c r="D169" s="1059">
        <v>0.129</v>
      </c>
      <c r="E169" s="1059">
        <v>0.13</v>
      </c>
      <c r="F169" s="1071"/>
    </row>
    <row r="170" spans="1:6" ht="15" thickBot="1">
      <c r="A170" s="835" t="s">
        <v>526</v>
      </c>
      <c r="B170" s="829" t="s">
        <v>316</v>
      </c>
      <c r="C170" s="1059">
        <v>0.14099999999999999</v>
      </c>
      <c r="D170" s="1059">
        <v>0.13</v>
      </c>
      <c r="E170" s="1059">
        <v>0.125</v>
      </c>
      <c r="F170" s="1071"/>
    </row>
    <row r="171" spans="1:6" ht="15" thickBot="1">
      <c r="A171" s="835" t="s">
        <v>526</v>
      </c>
      <c r="B171" s="829" t="s">
        <v>913</v>
      </c>
      <c r="C171" s="1059">
        <v>0.127</v>
      </c>
      <c r="D171" s="1059">
        <v>0.126</v>
      </c>
      <c r="E171" s="1059">
        <v>0.126</v>
      </c>
      <c r="F171" s="1060">
        <v>0.11799999999999999</v>
      </c>
    </row>
    <row r="172" spans="1:6" ht="15" thickBot="1">
      <c r="A172" s="835" t="s">
        <v>526</v>
      </c>
      <c r="B172" s="829" t="s">
        <v>914</v>
      </c>
      <c r="C172" s="1059">
        <v>0.13</v>
      </c>
      <c r="D172" s="1059">
        <v>0.13</v>
      </c>
      <c r="E172" s="1059">
        <v>0.13</v>
      </c>
      <c r="F172" s="1071"/>
    </row>
    <row r="173" spans="1:6" ht="15" thickBot="1">
      <c r="A173" s="835" t="s">
        <v>526</v>
      </c>
      <c r="B173" s="829" t="s">
        <v>348</v>
      </c>
      <c r="C173" s="1059">
        <v>0.13</v>
      </c>
      <c r="D173" s="1059">
        <v>0.13</v>
      </c>
      <c r="E173" s="1059">
        <v>0.13</v>
      </c>
      <c r="F173" s="1071"/>
    </row>
    <row r="174" spans="1:6" ht="15" thickBot="1">
      <c r="A174" s="835" t="s">
        <v>526</v>
      </c>
      <c r="B174" s="829" t="s">
        <v>915</v>
      </c>
      <c r="C174" s="1059">
        <v>0.13</v>
      </c>
      <c r="D174" s="1059">
        <v>0.13</v>
      </c>
      <c r="E174" s="1059">
        <v>0.13</v>
      </c>
      <c r="F174" s="1060">
        <v>0.13</v>
      </c>
    </row>
    <row r="175" spans="1:6" ht="15" thickBot="1">
      <c r="A175" s="835" t="s">
        <v>526</v>
      </c>
      <c r="B175" s="829" t="s">
        <v>916</v>
      </c>
      <c r="C175" s="1059">
        <v>0.13</v>
      </c>
      <c r="D175" s="1059">
        <v>0.13</v>
      </c>
      <c r="E175" s="1059">
        <v>0.13</v>
      </c>
      <c r="F175" s="1060">
        <v>0.13</v>
      </c>
    </row>
    <row r="176" spans="1:6" ht="15" thickBot="1">
      <c r="A176" s="835" t="s">
        <v>526</v>
      </c>
      <c r="B176" s="829" t="s">
        <v>378</v>
      </c>
      <c r="C176" s="1059">
        <v>0.13</v>
      </c>
      <c r="D176" s="1059">
        <v>0.13</v>
      </c>
      <c r="E176" s="1059">
        <v>0.13</v>
      </c>
      <c r="F176" s="1060">
        <v>0.13</v>
      </c>
    </row>
    <row r="177" spans="1:6" ht="15" thickBot="1">
      <c r="A177" s="835" t="s">
        <v>526</v>
      </c>
      <c r="B177" s="829" t="s">
        <v>917</v>
      </c>
      <c r="C177" s="1059">
        <v>0.13</v>
      </c>
      <c r="D177" s="1059">
        <v>0.13</v>
      </c>
      <c r="E177" s="1059">
        <v>0.13</v>
      </c>
      <c r="F177" s="1060">
        <v>0.13</v>
      </c>
    </row>
    <row r="178" spans="1:6" ht="15" thickBot="1">
      <c r="A178" s="835" t="s">
        <v>526</v>
      </c>
      <c r="B178" s="829" t="s">
        <v>396</v>
      </c>
      <c r="C178" s="1059">
        <v>0.13</v>
      </c>
      <c r="D178" s="1059">
        <v>0.13</v>
      </c>
      <c r="E178" s="1059">
        <v>0.13</v>
      </c>
      <c r="F178" s="1060">
        <v>0.127</v>
      </c>
    </row>
    <row r="179" spans="1:6" ht="15" thickBot="1">
      <c r="A179" s="835" t="s">
        <v>526</v>
      </c>
      <c r="B179" s="829" t="s">
        <v>404</v>
      </c>
      <c r="C179" s="1059">
        <v>0.13</v>
      </c>
      <c r="D179" s="1059">
        <v>0.13</v>
      </c>
      <c r="E179" s="1059">
        <v>0.13</v>
      </c>
      <c r="F179" s="1071"/>
    </row>
    <row r="180" spans="1:6" ht="15" thickBot="1">
      <c r="A180" s="835" t="s">
        <v>526</v>
      </c>
      <c r="B180" s="829" t="s">
        <v>918</v>
      </c>
      <c r="C180" s="1059">
        <v>0.13</v>
      </c>
      <c r="D180" s="1059">
        <v>0.13</v>
      </c>
      <c r="E180" s="1059">
        <v>0.125</v>
      </c>
      <c r="F180" s="1060">
        <v>0.13</v>
      </c>
    </row>
    <row r="181" spans="1:6" ht="15" thickBot="1">
      <c r="A181" s="835" t="s">
        <v>526</v>
      </c>
      <c r="B181" s="829" t="s">
        <v>418</v>
      </c>
      <c r="C181" s="1059">
        <v>0.122</v>
      </c>
      <c r="D181" s="1059">
        <v>0.123</v>
      </c>
      <c r="E181" s="1059">
        <v>0.126</v>
      </c>
      <c r="F181" s="1060">
        <v>0.121</v>
      </c>
    </row>
    <row r="182" spans="1:6" ht="15" thickBot="1">
      <c r="A182" s="835" t="s">
        <v>526</v>
      </c>
      <c r="B182" s="829" t="s">
        <v>425</v>
      </c>
      <c r="C182" s="1059">
        <v>0.125</v>
      </c>
      <c r="D182" s="1059">
        <v>0.125</v>
      </c>
      <c r="E182" s="1059">
        <v>0.11700000000000001</v>
      </c>
      <c r="F182" s="1060">
        <v>0.13</v>
      </c>
    </row>
    <row r="183" spans="1:6" ht="15" thickBot="1">
      <c r="A183" s="835" t="s">
        <v>526</v>
      </c>
      <c r="B183" s="829" t="s">
        <v>432</v>
      </c>
      <c r="C183" s="1059">
        <v>0.127</v>
      </c>
      <c r="D183" s="1059">
        <v>0.127</v>
      </c>
      <c r="E183" s="1059">
        <v>0.128</v>
      </c>
      <c r="F183" s="1071"/>
    </row>
    <row r="184" spans="1:6" ht="15" thickBot="1">
      <c r="A184" s="835" t="s">
        <v>526</v>
      </c>
      <c r="B184" s="829" t="s">
        <v>439</v>
      </c>
      <c r="C184" s="1059">
        <v>0.125</v>
      </c>
      <c r="D184" s="1059">
        <v>0.125</v>
      </c>
      <c r="E184" s="1059">
        <v>0.127</v>
      </c>
      <c r="F184" s="1071"/>
    </row>
    <row r="185" spans="1:6" ht="15" thickBot="1">
      <c r="A185" s="835" t="s">
        <v>526</v>
      </c>
      <c r="B185" s="829" t="s">
        <v>919</v>
      </c>
      <c r="C185" s="1059">
        <v>0.127</v>
      </c>
      <c r="D185" s="1059">
        <v>0.127</v>
      </c>
      <c r="E185" s="1059">
        <v>0.128</v>
      </c>
      <c r="F185" s="1060">
        <v>0.13</v>
      </c>
    </row>
    <row r="186" spans="1:6" ht="24.6" thickBot="1">
      <c r="A186" s="835" t="s">
        <v>526</v>
      </c>
      <c r="B186" s="829" t="s">
        <v>920</v>
      </c>
      <c r="C186" s="1072"/>
      <c r="D186" s="1072"/>
      <c r="E186" s="1072"/>
      <c r="F186" s="1060">
        <v>0.05</v>
      </c>
    </row>
    <row r="187" spans="1:6" ht="15" thickBot="1">
      <c r="A187" s="835" t="s">
        <v>526</v>
      </c>
      <c r="B187" s="829" t="s">
        <v>921</v>
      </c>
      <c r="C187" s="1072"/>
      <c r="D187" s="1072"/>
      <c r="E187" s="1072"/>
      <c r="F187" s="1060">
        <v>0.05</v>
      </c>
    </row>
    <row r="188" spans="1:6" ht="24.6" thickBot="1">
      <c r="A188" s="835" t="s">
        <v>526</v>
      </c>
      <c r="B188" s="829" t="s">
        <v>922</v>
      </c>
      <c r="C188" s="1072"/>
      <c r="D188" s="1072"/>
      <c r="E188" s="1072"/>
      <c r="F188" s="1060">
        <v>0.05</v>
      </c>
    </row>
    <row r="189" spans="1:6" ht="24.6" thickBot="1">
      <c r="A189" s="835" t="s">
        <v>526</v>
      </c>
      <c r="B189" s="829" t="s">
        <v>923</v>
      </c>
      <c r="C189" s="1072"/>
      <c r="D189" s="1072"/>
      <c r="E189" s="1072"/>
      <c r="F189" s="1060">
        <v>0.05</v>
      </c>
    </row>
    <row r="190" spans="1:6" ht="24.6" thickBot="1">
      <c r="A190" s="835" t="s">
        <v>526</v>
      </c>
      <c r="B190" s="829" t="s">
        <v>924</v>
      </c>
      <c r="C190" s="1072"/>
      <c r="D190" s="1072"/>
      <c r="E190" s="1072"/>
      <c r="F190" s="1060">
        <v>0.05</v>
      </c>
    </row>
    <row r="191" spans="1:6" ht="24.6" thickBot="1">
      <c r="A191" s="835" t="s">
        <v>526</v>
      </c>
      <c r="B191" s="829" t="s">
        <v>925</v>
      </c>
      <c r="C191" s="1072"/>
      <c r="D191" s="1072"/>
      <c r="E191" s="1072"/>
      <c r="F191" s="1060">
        <v>0.05</v>
      </c>
    </row>
    <row r="192" spans="1:6" ht="24.6" thickBot="1">
      <c r="A192" s="835" t="s">
        <v>526</v>
      </c>
      <c r="B192" s="829" t="s">
        <v>926</v>
      </c>
      <c r="C192" s="1072"/>
      <c r="D192" s="1072"/>
      <c r="E192" s="1072"/>
      <c r="F192" s="1060">
        <v>0.05</v>
      </c>
    </row>
    <row r="193" spans="1:6" ht="24.6" thickBot="1">
      <c r="A193" s="835" t="s">
        <v>526</v>
      </c>
      <c r="B193" s="829" t="s">
        <v>927</v>
      </c>
      <c r="C193" s="1072"/>
      <c r="D193" s="1072"/>
      <c r="E193" s="1072"/>
      <c r="F193" s="1060">
        <v>0.05</v>
      </c>
    </row>
    <row r="194" spans="1:6" ht="24.6" thickBot="1">
      <c r="A194" s="835" t="s">
        <v>526</v>
      </c>
      <c r="B194" s="829" t="s">
        <v>928</v>
      </c>
      <c r="C194" s="1072"/>
      <c r="D194" s="1072"/>
      <c r="E194" s="1072"/>
      <c r="F194" s="1060">
        <v>0.05</v>
      </c>
    </row>
    <row r="195" spans="1:6" ht="15" thickBot="1">
      <c r="A195" s="835" t="s">
        <v>526</v>
      </c>
      <c r="B195" s="829" t="s">
        <v>929</v>
      </c>
      <c r="C195" s="1072"/>
      <c r="D195" s="1072"/>
      <c r="E195" s="1072"/>
      <c r="F195" s="1060">
        <v>0.05</v>
      </c>
    </row>
    <row r="196" spans="1:6" ht="24.6" thickBot="1">
      <c r="A196" s="835" t="s">
        <v>526</v>
      </c>
      <c r="B196" s="829" t="s">
        <v>930</v>
      </c>
      <c r="C196" s="1072"/>
      <c r="D196" s="1072"/>
      <c r="E196" s="1072"/>
      <c r="F196" s="1060">
        <v>0.05</v>
      </c>
    </row>
    <row r="197" spans="1:6" ht="24.6" thickBot="1">
      <c r="A197" s="835" t="s">
        <v>526</v>
      </c>
      <c r="B197" s="829" t="s">
        <v>931</v>
      </c>
      <c r="C197" s="1072"/>
      <c r="D197" s="1072"/>
      <c r="E197" s="1072"/>
      <c r="F197" s="1060">
        <v>0.05</v>
      </c>
    </row>
    <row r="198" spans="1:6" ht="24.6" thickBot="1">
      <c r="A198" s="835" t="s">
        <v>526</v>
      </c>
      <c r="B198" s="829" t="s">
        <v>932</v>
      </c>
      <c r="C198" s="1072"/>
      <c r="D198" s="1072"/>
      <c r="E198" s="1072"/>
      <c r="F198" s="1060">
        <v>0.05</v>
      </c>
    </row>
    <row r="199" spans="1:6" ht="24.6" thickBot="1">
      <c r="A199" s="835" t="s">
        <v>526</v>
      </c>
      <c r="B199" s="829" t="s">
        <v>933</v>
      </c>
      <c r="C199" s="1072"/>
      <c r="D199" s="1072"/>
      <c r="E199" s="1072"/>
      <c r="F199" s="1060">
        <v>0.05</v>
      </c>
    </row>
    <row r="200" spans="1:6" ht="24.6" thickBot="1">
      <c r="A200" s="835" t="s">
        <v>526</v>
      </c>
      <c r="B200" s="829" t="s">
        <v>934</v>
      </c>
      <c r="C200" s="1072"/>
      <c r="D200" s="1072"/>
      <c r="E200" s="1072"/>
      <c r="F200" s="1060">
        <v>0.05</v>
      </c>
    </row>
    <row r="201" spans="1:6" ht="24.6" thickBot="1">
      <c r="A201" s="835" t="s">
        <v>526</v>
      </c>
      <c r="B201" s="829" t="s">
        <v>935</v>
      </c>
      <c r="C201" s="1072"/>
      <c r="D201" s="1072"/>
      <c r="E201" s="1072"/>
      <c r="F201" s="1060">
        <v>0.05</v>
      </c>
    </row>
    <row r="202" spans="1:6" ht="24.6" thickBot="1">
      <c r="A202" s="835" t="s">
        <v>526</v>
      </c>
      <c r="B202" s="829" t="s">
        <v>936</v>
      </c>
      <c r="C202" s="1072"/>
      <c r="D202" s="1072"/>
      <c r="E202" s="1072"/>
      <c r="F202" s="1060">
        <v>0.05</v>
      </c>
    </row>
    <row r="203" spans="1:6" ht="24.6" thickBot="1">
      <c r="A203" s="835" t="s">
        <v>526</v>
      </c>
      <c r="B203" s="829" t="s">
        <v>937</v>
      </c>
      <c r="C203" s="1072"/>
      <c r="D203" s="1072"/>
      <c r="E203" s="1072"/>
      <c r="F203" s="1060">
        <v>0.05</v>
      </c>
    </row>
    <row r="204" spans="1:6" ht="15" thickBot="1">
      <c r="A204" s="835" t="s">
        <v>526</v>
      </c>
      <c r="B204" s="829" t="s">
        <v>938</v>
      </c>
      <c r="C204" s="1072"/>
      <c r="D204" s="1072"/>
      <c r="E204" s="1072"/>
      <c r="F204" s="1060">
        <v>0.05</v>
      </c>
    </row>
    <row r="205" spans="1:6" ht="15" thickBot="1">
      <c r="A205" s="845" t="s">
        <v>526</v>
      </c>
      <c r="B205" s="841" t="s">
        <v>939</v>
      </c>
      <c r="C205" s="1069"/>
      <c r="D205" s="1069"/>
      <c r="E205" s="1069"/>
      <c r="F205" s="1062">
        <v>0.05</v>
      </c>
    </row>
    <row r="206" spans="1:6" ht="15" thickBot="1">
      <c r="A206" s="835" t="s">
        <v>528</v>
      </c>
      <c r="B206" s="836" t="s">
        <v>940</v>
      </c>
      <c r="C206" s="1057">
        <v>0.15</v>
      </c>
      <c r="D206" s="1057">
        <v>0.15</v>
      </c>
      <c r="E206" s="1057">
        <v>0.15</v>
      </c>
      <c r="F206" s="1058">
        <v>0.15</v>
      </c>
    </row>
    <row r="207" spans="1:6" ht="15" thickBot="1">
      <c r="A207" s="835" t="s">
        <v>528</v>
      </c>
      <c r="B207" s="829" t="s">
        <v>194</v>
      </c>
      <c r="C207" s="1059">
        <v>0.15</v>
      </c>
      <c r="D207" s="1059">
        <v>0.15</v>
      </c>
      <c r="E207" s="1059">
        <v>0.15</v>
      </c>
      <c r="F207" s="1060">
        <v>0.14399999999999999</v>
      </c>
    </row>
    <row r="208" spans="1:6" ht="15" thickBot="1">
      <c r="A208" s="835" t="s">
        <v>528</v>
      </c>
      <c r="B208" s="829" t="s">
        <v>207</v>
      </c>
      <c r="C208" s="1059">
        <v>0.15</v>
      </c>
      <c r="D208" s="1059">
        <v>0.15</v>
      </c>
      <c r="E208" s="1059">
        <v>0.15</v>
      </c>
      <c r="F208" s="1060">
        <v>0.15</v>
      </c>
    </row>
    <row r="209" spans="1:6" ht="15" thickBot="1">
      <c r="A209" s="835" t="s">
        <v>528</v>
      </c>
      <c r="B209" s="829" t="s">
        <v>220</v>
      </c>
      <c r="C209" s="1059">
        <v>0.13700000000000001</v>
      </c>
      <c r="D209" s="1059">
        <v>0.13700000000000001</v>
      </c>
      <c r="E209" s="1059">
        <v>0.14000000000000001</v>
      </c>
      <c r="F209" s="1060">
        <v>0.11700000000000001</v>
      </c>
    </row>
    <row r="210" spans="1:6" ht="15" thickBot="1">
      <c r="A210" s="835" t="s">
        <v>528</v>
      </c>
      <c r="B210" s="829" t="s">
        <v>941</v>
      </c>
      <c r="C210" s="1059">
        <v>0.15</v>
      </c>
      <c r="D210" s="1059">
        <v>0.15</v>
      </c>
      <c r="E210" s="1059">
        <v>0.15</v>
      </c>
      <c r="F210" s="1060">
        <v>0.13800000000000001</v>
      </c>
    </row>
    <row r="211" spans="1:6" ht="15" thickBot="1">
      <c r="A211" s="835" t="s">
        <v>528</v>
      </c>
      <c r="B211" s="829" t="s">
        <v>942</v>
      </c>
      <c r="C211" s="1059">
        <v>0.13700000000000001</v>
      </c>
      <c r="D211" s="1059">
        <v>0.13500000000000001</v>
      </c>
      <c r="E211" s="1059">
        <v>0.13600000000000001</v>
      </c>
      <c r="F211" s="1060">
        <v>0.1</v>
      </c>
    </row>
    <row r="212" spans="1:6" ht="15" thickBot="1">
      <c r="A212" s="835" t="s">
        <v>528</v>
      </c>
      <c r="B212" s="829" t="s">
        <v>943</v>
      </c>
      <c r="C212" s="1059">
        <v>0.15</v>
      </c>
      <c r="D212" s="1059">
        <v>0.15</v>
      </c>
      <c r="E212" s="1059">
        <v>0.14799999999999999</v>
      </c>
      <c r="F212" s="1060">
        <v>0.13600000000000001</v>
      </c>
    </row>
    <row r="213" spans="1:6" ht="15" thickBot="1">
      <c r="A213" s="835" t="s">
        <v>528</v>
      </c>
      <c r="B213" s="829" t="s">
        <v>265</v>
      </c>
      <c r="C213" s="1059">
        <v>0.15</v>
      </c>
      <c r="D213" s="1059">
        <v>0.15</v>
      </c>
      <c r="E213" s="1059">
        <v>0.15</v>
      </c>
      <c r="F213" s="1060">
        <v>0.13800000000000001</v>
      </c>
    </row>
    <row r="214" spans="1:6" ht="15" thickBot="1">
      <c r="A214" s="835" t="s">
        <v>528</v>
      </c>
      <c r="B214" s="829" t="s">
        <v>277</v>
      </c>
      <c r="C214" s="1059">
        <v>9.0999999999999998E-2</v>
      </c>
      <c r="D214" s="1059">
        <v>0.09</v>
      </c>
      <c r="E214" s="1059">
        <v>9.1999999999999998E-2</v>
      </c>
      <c r="F214" s="1071"/>
    </row>
    <row r="215" spans="1:6" ht="15" thickBot="1">
      <c r="A215" s="835" t="s">
        <v>528</v>
      </c>
      <c r="B215" s="829" t="s">
        <v>944</v>
      </c>
      <c r="C215" s="1059">
        <v>0.15</v>
      </c>
      <c r="D215" s="1059">
        <v>0.15</v>
      </c>
      <c r="E215" s="1059">
        <v>0.15</v>
      </c>
      <c r="F215" s="1060">
        <v>0.15</v>
      </c>
    </row>
    <row r="216" spans="1:6" ht="15" thickBot="1">
      <c r="A216" s="835" t="s">
        <v>528</v>
      </c>
      <c r="B216" s="829" t="s">
        <v>297</v>
      </c>
      <c r="C216" s="1059">
        <v>0.14699999999999999</v>
      </c>
      <c r="D216" s="1059">
        <v>0.14699999999999999</v>
      </c>
      <c r="E216" s="1059">
        <v>0.15</v>
      </c>
      <c r="F216" s="1060">
        <v>0.14000000000000001</v>
      </c>
    </row>
    <row r="217" spans="1:6" ht="15" thickBot="1">
      <c r="A217" s="835" t="s">
        <v>528</v>
      </c>
      <c r="B217" s="829" t="s">
        <v>307</v>
      </c>
      <c r="C217" s="1059">
        <v>0.15</v>
      </c>
      <c r="D217" s="1059">
        <v>0.15</v>
      </c>
      <c r="E217" s="1059">
        <v>0.15</v>
      </c>
      <c r="F217" s="1060">
        <v>0.15</v>
      </c>
    </row>
    <row r="218" spans="1:6" ht="15" thickBot="1">
      <c r="A218" s="835" t="s">
        <v>528</v>
      </c>
      <c r="B218" s="829" t="s">
        <v>945</v>
      </c>
      <c r="C218" s="1059">
        <v>0.15</v>
      </c>
      <c r="D218" s="1059">
        <v>0.15</v>
      </c>
      <c r="E218" s="1059">
        <v>0.15</v>
      </c>
      <c r="F218" s="1060">
        <v>0.15</v>
      </c>
    </row>
    <row r="219" spans="1:6" ht="15" thickBot="1">
      <c r="A219" s="835" t="s">
        <v>528</v>
      </c>
      <c r="B219" s="829" t="s">
        <v>328</v>
      </c>
      <c r="C219" s="1059">
        <v>0.15</v>
      </c>
      <c r="D219" s="1059">
        <v>0.15</v>
      </c>
      <c r="E219" s="1059">
        <v>0.15</v>
      </c>
      <c r="F219" s="1060">
        <v>0.14799999999999999</v>
      </c>
    </row>
    <row r="220" spans="1:6" ht="15" thickBot="1">
      <c r="A220" s="835" t="s">
        <v>528</v>
      </c>
      <c r="B220" s="829" t="s">
        <v>946</v>
      </c>
      <c r="C220" s="1059">
        <v>0.15</v>
      </c>
      <c r="D220" s="1059">
        <v>0.15</v>
      </c>
      <c r="E220" s="1059">
        <v>0.15</v>
      </c>
      <c r="F220" s="1060">
        <v>0.15</v>
      </c>
    </row>
    <row r="221" spans="1:6" ht="15" thickBot="1">
      <c r="A221" s="835" t="s">
        <v>528</v>
      </c>
      <c r="B221" s="829" t="s">
        <v>349</v>
      </c>
      <c r="C221" s="1059"/>
      <c r="D221" s="1072"/>
      <c r="E221" s="1072"/>
      <c r="F221" s="1060">
        <v>0.14799999999999999</v>
      </c>
    </row>
    <row r="222" spans="1:6" ht="15" thickBot="1">
      <c r="A222" s="835" t="s">
        <v>528</v>
      </c>
      <c r="B222" s="829" t="s">
        <v>359</v>
      </c>
      <c r="C222" s="1059"/>
      <c r="D222" s="1072"/>
      <c r="E222" s="1072"/>
      <c r="F222" s="1060">
        <v>0.1</v>
      </c>
    </row>
    <row r="223" spans="1:6" ht="15" thickBot="1">
      <c r="A223" s="835" t="s">
        <v>528</v>
      </c>
      <c r="B223" s="829" t="s">
        <v>369</v>
      </c>
      <c r="C223" s="1059"/>
      <c r="D223" s="1072"/>
      <c r="E223" s="1072"/>
      <c r="F223" s="1060">
        <v>0.15</v>
      </c>
    </row>
    <row r="224" spans="1:6" ht="15" thickBot="1">
      <c r="A224" s="835" t="s">
        <v>528</v>
      </c>
      <c r="B224" s="829" t="s">
        <v>379</v>
      </c>
      <c r="C224" s="1059"/>
      <c r="D224" s="1072"/>
      <c r="E224" s="1072"/>
      <c r="F224" s="1060">
        <v>0.15</v>
      </c>
    </row>
    <row r="225" spans="1:6" ht="15" thickBot="1">
      <c r="A225" s="835" t="s">
        <v>528</v>
      </c>
      <c r="B225" s="829" t="s">
        <v>947</v>
      </c>
      <c r="C225" s="1059">
        <v>0.15</v>
      </c>
      <c r="D225" s="1059">
        <v>0.15</v>
      </c>
      <c r="E225" s="1059">
        <v>0.15</v>
      </c>
      <c r="F225" s="1060">
        <v>0.15</v>
      </c>
    </row>
    <row r="226" spans="1:6" ht="15" thickBot="1">
      <c r="A226" s="835" t="s">
        <v>528</v>
      </c>
      <c r="B226" s="829" t="s">
        <v>397</v>
      </c>
      <c r="C226" s="1059">
        <v>0.15</v>
      </c>
      <c r="D226" s="1059">
        <v>0.15</v>
      </c>
      <c r="E226" s="1059">
        <v>0.15</v>
      </c>
      <c r="F226" s="1060">
        <v>0.14799999999999999</v>
      </c>
    </row>
    <row r="227" spans="1:6" ht="15" thickBot="1">
      <c r="A227" s="835" t="s">
        <v>528</v>
      </c>
      <c r="B227" s="829" t="s">
        <v>948</v>
      </c>
      <c r="C227" s="1059">
        <v>0.15</v>
      </c>
      <c r="D227" s="1059">
        <v>0.15</v>
      </c>
      <c r="E227" s="1059">
        <v>0.15</v>
      </c>
      <c r="F227" s="1060">
        <v>0.15</v>
      </c>
    </row>
    <row r="228" spans="1:6" ht="15" thickBot="1">
      <c r="A228" s="835" t="s">
        <v>528</v>
      </c>
      <c r="B228" s="829" t="s">
        <v>412</v>
      </c>
      <c r="C228" s="1059">
        <v>0.15</v>
      </c>
      <c r="D228" s="1059">
        <v>0.15</v>
      </c>
      <c r="E228" s="1059">
        <v>0.15</v>
      </c>
      <c r="F228" s="1060">
        <v>0.15</v>
      </c>
    </row>
    <row r="229" spans="1:6" ht="15" thickBot="1">
      <c r="A229" s="835" t="s">
        <v>528</v>
      </c>
      <c r="B229" s="829" t="s">
        <v>419</v>
      </c>
      <c r="C229" s="1059">
        <v>0.15</v>
      </c>
      <c r="D229" s="1059">
        <v>0.15</v>
      </c>
      <c r="E229" s="1059">
        <v>0.15</v>
      </c>
      <c r="F229" s="1071"/>
    </row>
    <row r="230" spans="1:6" ht="15" thickBot="1">
      <c r="A230" s="835" t="s">
        <v>528</v>
      </c>
      <c r="B230" s="829" t="s">
        <v>426</v>
      </c>
      <c r="C230" s="1059">
        <v>0.14499999999999999</v>
      </c>
      <c r="D230" s="1059">
        <v>0.14499999999999999</v>
      </c>
      <c r="E230" s="1059">
        <v>0.14399999999999999</v>
      </c>
      <c r="F230" s="1071"/>
    </row>
    <row r="231" spans="1:6" ht="15" thickBot="1">
      <c r="A231" s="835" t="s">
        <v>528</v>
      </c>
      <c r="B231" s="829" t="s">
        <v>949</v>
      </c>
      <c r="C231" s="1059">
        <v>0.128</v>
      </c>
      <c r="D231" s="1059">
        <v>0.125</v>
      </c>
      <c r="E231" s="1059">
        <v>0.13200000000000001</v>
      </c>
      <c r="F231" s="1071"/>
    </row>
    <row r="232" spans="1:6" ht="15" thickBot="1">
      <c r="A232" s="835" t="s">
        <v>528</v>
      </c>
      <c r="B232" s="829" t="s">
        <v>950</v>
      </c>
      <c r="C232" s="1059">
        <v>0.14499999999999999</v>
      </c>
      <c r="D232" s="1059">
        <v>0.14399999999999999</v>
      </c>
      <c r="E232" s="1059">
        <v>0.14599999999999999</v>
      </c>
      <c r="F232" s="1060">
        <v>0.13800000000000001</v>
      </c>
    </row>
    <row r="233" spans="1:6" ht="15" thickBot="1">
      <c r="A233" s="835" t="s">
        <v>528</v>
      </c>
      <c r="B233" s="829" t="s">
        <v>951</v>
      </c>
      <c r="C233" s="1059">
        <v>0.14499999999999999</v>
      </c>
      <c r="D233" s="1059">
        <v>0.14299999999999999</v>
      </c>
      <c r="E233" s="1059">
        <v>0.14199999999999999</v>
      </c>
      <c r="F233" s="1071"/>
    </row>
    <row r="234" spans="1:6" ht="15" thickBot="1">
      <c r="A234" s="835" t="s">
        <v>528</v>
      </c>
      <c r="B234" s="829" t="s">
        <v>952</v>
      </c>
      <c r="C234" s="1059">
        <v>0.14000000000000001</v>
      </c>
      <c r="D234" s="1059">
        <v>0.14000000000000001</v>
      </c>
      <c r="E234" s="1059">
        <v>0.14399999999999999</v>
      </c>
      <c r="F234" s="1071"/>
    </row>
    <row r="235" spans="1:6" ht="15" thickBot="1">
      <c r="A235" s="835" t="s">
        <v>528</v>
      </c>
      <c r="B235" s="829" t="s">
        <v>953</v>
      </c>
      <c r="C235" s="1059">
        <v>0.14099999999999999</v>
      </c>
      <c r="D235" s="1059">
        <v>0.14199999999999999</v>
      </c>
      <c r="E235" s="1059">
        <v>0.14499999999999999</v>
      </c>
      <c r="F235" s="1060">
        <v>0.15</v>
      </c>
    </row>
    <row r="236" spans="1:6" ht="15" thickBot="1">
      <c r="A236" s="835" t="s">
        <v>528</v>
      </c>
      <c r="B236" s="829" t="s">
        <v>461</v>
      </c>
      <c r="C236" s="1072"/>
      <c r="D236" s="1072"/>
      <c r="E236" s="1072"/>
      <c r="F236" s="1060">
        <v>0.14299999999999999</v>
      </c>
    </row>
    <row r="237" spans="1:6" ht="24.6" thickBot="1">
      <c r="A237" s="835" t="s">
        <v>528</v>
      </c>
      <c r="B237" s="829" t="s">
        <v>954</v>
      </c>
      <c r="C237" s="1072"/>
      <c r="D237" s="1072"/>
      <c r="E237" s="1072"/>
      <c r="F237" s="1060">
        <v>0.05</v>
      </c>
    </row>
    <row r="238" spans="1:6" ht="24.6" thickBot="1">
      <c r="A238" s="835" t="s">
        <v>528</v>
      </c>
      <c r="B238" s="829" t="s">
        <v>955</v>
      </c>
      <c r="C238" s="1072"/>
      <c r="D238" s="1072"/>
      <c r="E238" s="1072"/>
      <c r="F238" s="1060">
        <v>0.05</v>
      </c>
    </row>
    <row r="239" spans="1:6" ht="24.6" thickBot="1">
      <c r="A239" s="835" t="s">
        <v>528</v>
      </c>
      <c r="B239" s="829" t="s">
        <v>956</v>
      </c>
      <c r="C239" s="1072"/>
      <c r="D239" s="1072"/>
      <c r="E239" s="1072"/>
      <c r="F239" s="1060">
        <v>0.05</v>
      </c>
    </row>
    <row r="240" spans="1:6" ht="24.6" thickBot="1">
      <c r="A240" s="835" t="s">
        <v>528</v>
      </c>
      <c r="B240" s="829" t="s">
        <v>957</v>
      </c>
      <c r="C240" s="1072"/>
      <c r="D240" s="1072"/>
      <c r="E240" s="1072"/>
      <c r="F240" s="1060">
        <v>0.05</v>
      </c>
    </row>
    <row r="241" spans="1:6" ht="24.6" thickBot="1">
      <c r="A241" s="835" t="s">
        <v>528</v>
      </c>
      <c r="B241" s="829" t="s">
        <v>958</v>
      </c>
      <c r="C241" s="1072"/>
      <c r="D241" s="1072"/>
      <c r="E241" s="1072"/>
      <c r="F241" s="1060">
        <v>0.05</v>
      </c>
    </row>
    <row r="242" spans="1:6" ht="24.6" thickBot="1">
      <c r="A242" s="835" t="s">
        <v>528</v>
      </c>
      <c r="B242" s="829" t="s">
        <v>959</v>
      </c>
      <c r="C242" s="1072"/>
      <c r="D242" s="1072"/>
      <c r="E242" s="1072"/>
      <c r="F242" s="1060">
        <v>0.05</v>
      </c>
    </row>
    <row r="243" spans="1:6" ht="24.6" thickBot="1">
      <c r="A243" s="835" t="s">
        <v>528</v>
      </c>
      <c r="B243" s="829" t="s">
        <v>960</v>
      </c>
      <c r="C243" s="1072"/>
      <c r="D243" s="1072"/>
      <c r="E243" s="1072"/>
      <c r="F243" s="1060">
        <v>0.05</v>
      </c>
    </row>
    <row r="244" spans="1:6" ht="24.6" thickBot="1">
      <c r="A244" s="845" t="s">
        <v>528</v>
      </c>
      <c r="B244" s="841" t="s">
        <v>961</v>
      </c>
      <c r="C244" s="1069"/>
      <c r="D244" s="1069"/>
      <c r="E244" s="1069"/>
      <c r="F244" s="1062">
        <v>0.05</v>
      </c>
    </row>
    <row r="245" spans="1:6" ht="15" thickBot="1">
      <c r="A245" s="835" t="s">
        <v>530</v>
      </c>
      <c r="B245" s="836" t="s">
        <v>962</v>
      </c>
      <c r="C245" s="1057">
        <v>0.15</v>
      </c>
      <c r="D245" s="1057">
        <v>0.15</v>
      </c>
      <c r="E245" s="1057">
        <v>0.15</v>
      </c>
      <c r="F245" s="1058">
        <v>0.14299999999999999</v>
      </c>
    </row>
    <row r="246" spans="1:6" ht="15" thickBot="1">
      <c r="A246" s="835" t="s">
        <v>530</v>
      </c>
      <c r="B246" s="829" t="s">
        <v>195</v>
      </c>
      <c r="C246" s="1059">
        <v>0.15</v>
      </c>
      <c r="D246" s="1059">
        <v>0.15</v>
      </c>
      <c r="E246" s="1059">
        <v>0.15</v>
      </c>
      <c r="F246" s="1060">
        <v>0.114</v>
      </c>
    </row>
    <row r="247" spans="1:6" ht="15" thickBot="1">
      <c r="A247" s="835" t="s">
        <v>530</v>
      </c>
      <c r="B247" s="829" t="s">
        <v>963</v>
      </c>
      <c r="C247" s="1059">
        <v>0.15</v>
      </c>
      <c r="D247" s="1059">
        <v>0.15</v>
      </c>
      <c r="E247" s="1059">
        <v>0.15</v>
      </c>
      <c r="F247" s="1060">
        <v>0.15</v>
      </c>
    </row>
    <row r="248" spans="1:6" ht="15" thickBot="1">
      <c r="A248" s="835" t="s">
        <v>530</v>
      </c>
      <c r="B248" s="829" t="s">
        <v>964</v>
      </c>
      <c r="C248" s="1059">
        <v>0.15</v>
      </c>
      <c r="D248" s="1059">
        <v>0.15</v>
      </c>
      <c r="E248" s="1059">
        <v>0.15</v>
      </c>
      <c r="F248" s="1060">
        <v>0.14000000000000001</v>
      </c>
    </row>
    <row r="249" spans="1:6" ht="15" thickBot="1">
      <c r="A249" s="835" t="s">
        <v>530</v>
      </c>
      <c r="B249" s="829" t="s">
        <v>965</v>
      </c>
      <c r="C249" s="1059">
        <v>0.15</v>
      </c>
      <c r="D249" s="1059">
        <v>0.14899999999999999</v>
      </c>
      <c r="E249" s="1059">
        <v>0.15</v>
      </c>
      <c r="F249" s="1060">
        <v>0.1</v>
      </c>
    </row>
    <row r="250" spans="1:6" ht="15" thickBot="1">
      <c r="A250" s="835" t="s">
        <v>530</v>
      </c>
      <c r="B250" s="829" t="s">
        <v>966</v>
      </c>
      <c r="C250" s="1059">
        <v>0.15</v>
      </c>
      <c r="D250" s="1059">
        <v>0.15</v>
      </c>
      <c r="E250" s="1059">
        <v>0.15</v>
      </c>
      <c r="F250" s="1060">
        <v>0.14399999999999999</v>
      </c>
    </row>
    <row r="251" spans="1:6" ht="15" thickBot="1">
      <c r="A251" s="835" t="s">
        <v>530</v>
      </c>
      <c r="B251" s="829" t="s">
        <v>255</v>
      </c>
      <c r="C251" s="1059">
        <v>0.15</v>
      </c>
      <c r="D251" s="1059">
        <v>0.15</v>
      </c>
      <c r="E251" s="1059">
        <v>0.15</v>
      </c>
      <c r="F251" s="1060">
        <v>0.14299999999999999</v>
      </c>
    </row>
    <row r="252" spans="1:6" ht="15" thickBot="1">
      <c r="A252" s="835" t="s">
        <v>530</v>
      </c>
      <c r="B252" s="829" t="s">
        <v>266</v>
      </c>
      <c r="C252" s="1059">
        <v>0.15</v>
      </c>
      <c r="D252" s="1059">
        <v>0.15</v>
      </c>
      <c r="E252" s="1059">
        <v>0.15</v>
      </c>
      <c r="F252" s="1060">
        <v>0.1</v>
      </c>
    </row>
    <row r="253" spans="1:6" ht="15" thickBot="1">
      <c r="A253" s="835" t="s">
        <v>530</v>
      </c>
      <c r="B253" s="829" t="s">
        <v>278</v>
      </c>
      <c r="C253" s="1059">
        <v>0.15</v>
      </c>
      <c r="D253" s="1059">
        <v>0.15</v>
      </c>
      <c r="E253" s="1059">
        <v>0.15</v>
      </c>
      <c r="F253" s="1060">
        <v>0.1</v>
      </c>
    </row>
    <row r="254" spans="1:6" ht="15" thickBot="1">
      <c r="A254" s="835" t="s">
        <v>530</v>
      </c>
      <c r="B254" s="829" t="s">
        <v>288</v>
      </c>
      <c r="C254" s="1072"/>
      <c r="D254" s="1072"/>
      <c r="E254" s="1072"/>
      <c r="F254" s="1060">
        <v>0.15</v>
      </c>
    </row>
    <row r="255" spans="1:6" ht="15" thickBot="1">
      <c r="A255" s="835" t="s">
        <v>530</v>
      </c>
      <c r="B255" s="829" t="s">
        <v>298</v>
      </c>
      <c r="C255" s="1072"/>
      <c r="D255" s="1072"/>
      <c r="E255" s="1072"/>
      <c r="F255" s="1060">
        <v>0.14299999999999999</v>
      </c>
    </row>
    <row r="256" spans="1:6" ht="15" thickBot="1">
      <c r="A256" s="835" t="s">
        <v>530</v>
      </c>
      <c r="B256" s="829" t="s">
        <v>967</v>
      </c>
      <c r="C256" s="1059">
        <v>0.14599999999999999</v>
      </c>
      <c r="D256" s="1059">
        <v>0.14699999999999999</v>
      </c>
      <c r="E256" s="1059">
        <v>0.15</v>
      </c>
      <c r="F256" s="1060">
        <v>0.13200000000000001</v>
      </c>
    </row>
    <row r="257" spans="1:6" ht="15" thickBot="1">
      <c r="A257" s="835" t="s">
        <v>530</v>
      </c>
      <c r="B257" s="829" t="s">
        <v>318</v>
      </c>
      <c r="C257" s="1059">
        <v>0.15</v>
      </c>
      <c r="D257" s="1059">
        <v>0.15</v>
      </c>
      <c r="E257" s="1059">
        <v>0.15</v>
      </c>
      <c r="F257" s="1060">
        <v>0.13900000000000001</v>
      </c>
    </row>
    <row r="258" spans="1:6" ht="15" thickBot="1">
      <c r="A258" s="835" t="s">
        <v>530</v>
      </c>
      <c r="B258" s="829" t="s">
        <v>329</v>
      </c>
      <c r="C258" s="1059">
        <v>0.15</v>
      </c>
      <c r="D258" s="1059">
        <v>0.15</v>
      </c>
      <c r="E258" s="1059">
        <v>0.15</v>
      </c>
      <c r="F258" s="1060">
        <v>0.13</v>
      </c>
    </row>
    <row r="259" spans="1:6" ht="15" thickBot="1">
      <c r="A259" s="835" t="s">
        <v>530</v>
      </c>
      <c r="B259" s="829" t="s">
        <v>968</v>
      </c>
      <c r="C259" s="1059">
        <v>0.14799999999999999</v>
      </c>
      <c r="D259" s="1059">
        <v>0.14899999999999999</v>
      </c>
      <c r="E259" s="1059">
        <v>0.15</v>
      </c>
      <c r="F259" s="1060">
        <v>0.13700000000000001</v>
      </c>
    </row>
    <row r="260" spans="1:6" ht="15" thickBot="1">
      <c r="A260" s="835" t="s">
        <v>530</v>
      </c>
      <c r="B260" s="829" t="s">
        <v>350</v>
      </c>
      <c r="C260" s="1059">
        <v>0.15</v>
      </c>
      <c r="D260" s="1059">
        <v>0.15</v>
      </c>
      <c r="E260" s="1059">
        <v>0.15</v>
      </c>
      <c r="F260" s="1060">
        <v>0.14199999999999999</v>
      </c>
    </row>
    <row r="261" spans="1:6" ht="15" thickBot="1">
      <c r="A261" s="835" t="s">
        <v>530</v>
      </c>
      <c r="B261" s="829" t="s">
        <v>360</v>
      </c>
      <c r="C261" s="1059">
        <v>0.15</v>
      </c>
      <c r="D261" s="1059">
        <v>0.15</v>
      </c>
      <c r="E261" s="1059">
        <v>0.14899999999999999</v>
      </c>
      <c r="F261" s="1060">
        <v>0.14799999999999999</v>
      </c>
    </row>
    <row r="262" spans="1:6" ht="15" thickBot="1">
      <c r="A262" s="835" t="s">
        <v>530</v>
      </c>
      <c r="B262" s="829" t="s">
        <v>370</v>
      </c>
      <c r="C262" s="1059">
        <v>0.15</v>
      </c>
      <c r="D262" s="1059">
        <v>0.15</v>
      </c>
      <c r="E262" s="1059">
        <v>0.15</v>
      </c>
      <c r="F262" s="1071"/>
    </row>
    <row r="263" spans="1:6" ht="15" thickBot="1">
      <c r="A263" s="835" t="s">
        <v>530</v>
      </c>
      <c r="B263" s="829" t="s">
        <v>969</v>
      </c>
      <c r="C263" s="1059">
        <v>0.14899999999999999</v>
      </c>
      <c r="D263" s="1059">
        <v>0.14899999999999999</v>
      </c>
      <c r="E263" s="1059">
        <v>0.15</v>
      </c>
      <c r="F263" s="1060">
        <v>0.13</v>
      </c>
    </row>
    <row r="264" spans="1:6" ht="15" thickBot="1">
      <c r="A264" s="835" t="s">
        <v>530</v>
      </c>
      <c r="B264" s="829" t="s">
        <v>389</v>
      </c>
      <c r="C264" s="1059">
        <v>0.14799999999999999</v>
      </c>
      <c r="D264" s="1059">
        <v>0.14699999999999999</v>
      </c>
      <c r="E264" s="1059">
        <v>0.15</v>
      </c>
      <c r="F264" s="1060">
        <v>7.8E-2</v>
      </c>
    </row>
    <row r="265" spans="1:6" ht="15" thickBot="1">
      <c r="A265" s="835" t="s">
        <v>530</v>
      </c>
      <c r="B265" s="829" t="s">
        <v>398</v>
      </c>
      <c r="C265" s="1059">
        <v>0.15</v>
      </c>
      <c r="D265" s="1059">
        <v>0.15</v>
      </c>
      <c r="E265" s="1059">
        <v>0.15</v>
      </c>
      <c r="F265" s="1060">
        <v>7.3999999999999996E-2</v>
      </c>
    </row>
    <row r="266" spans="1:6" ht="15" thickBot="1">
      <c r="A266" s="835" t="s">
        <v>530</v>
      </c>
      <c r="B266" s="829" t="s">
        <v>406</v>
      </c>
      <c r="C266" s="1059">
        <v>0.14699999999999999</v>
      </c>
      <c r="D266" s="1059">
        <v>0.14699999999999999</v>
      </c>
      <c r="E266" s="1059">
        <v>0.15</v>
      </c>
      <c r="F266" s="1060">
        <v>0.14299999999999999</v>
      </c>
    </row>
    <row r="267" spans="1:6" ht="15" thickBot="1">
      <c r="A267" s="835" t="s">
        <v>530</v>
      </c>
      <c r="B267" s="829" t="s">
        <v>413</v>
      </c>
      <c r="C267" s="1059">
        <v>0.14199999999999999</v>
      </c>
      <c r="D267" s="1059">
        <v>0.14299999999999999</v>
      </c>
      <c r="E267" s="1059">
        <v>0.15</v>
      </c>
      <c r="F267" s="1071"/>
    </row>
    <row r="268" spans="1:6" ht="15" thickBot="1">
      <c r="A268" s="835" t="s">
        <v>530</v>
      </c>
      <c r="B268" s="829" t="s">
        <v>970</v>
      </c>
      <c r="C268" s="1059">
        <v>0.15</v>
      </c>
      <c r="D268" s="1059">
        <v>0.15</v>
      </c>
      <c r="E268" s="1059">
        <v>0.15</v>
      </c>
      <c r="F268" s="1060">
        <v>0.13</v>
      </c>
    </row>
    <row r="269" spans="1:6" ht="15" thickBot="1">
      <c r="A269" s="835" t="s">
        <v>530</v>
      </c>
      <c r="B269" s="829" t="s">
        <v>427</v>
      </c>
      <c r="C269" s="1059">
        <v>0.15</v>
      </c>
      <c r="D269" s="1059">
        <v>0.15</v>
      </c>
      <c r="E269" s="1059">
        <v>0.15</v>
      </c>
      <c r="F269" s="1060">
        <v>0.14299999999999999</v>
      </c>
    </row>
    <row r="270" spans="1:6" ht="15" thickBot="1">
      <c r="A270" s="835" t="s">
        <v>530</v>
      </c>
      <c r="B270" s="829" t="s">
        <v>434</v>
      </c>
      <c r="C270" s="1059">
        <v>0.14499999999999999</v>
      </c>
      <c r="D270" s="1059">
        <v>0.14499999999999999</v>
      </c>
      <c r="E270" s="1059">
        <v>0.15</v>
      </c>
      <c r="F270" s="1060">
        <v>0.14699999999999999</v>
      </c>
    </row>
    <row r="271" spans="1:6" ht="15" thickBot="1">
      <c r="A271" s="835" t="s">
        <v>530</v>
      </c>
      <c r="B271" s="829" t="s">
        <v>441</v>
      </c>
      <c r="C271" s="1059">
        <v>0.15</v>
      </c>
      <c r="D271" s="1059">
        <v>0.15</v>
      </c>
      <c r="E271" s="1059">
        <v>0.15</v>
      </c>
      <c r="F271" s="1060">
        <v>0.13800000000000001</v>
      </c>
    </row>
    <row r="272" spans="1:6" ht="15" thickBot="1">
      <c r="A272" s="835" t="s">
        <v>530</v>
      </c>
      <c r="B272" s="829" t="s">
        <v>448</v>
      </c>
      <c r="C272" s="1072"/>
      <c r="D272" s="1072"/>
      <c r="E272" s="1072"/>
      <c r="F272" s="1060">
        <v>0.14000000000000001</v>
      </c>
    </row>
    <row r="273" spans="1:6" ht="15" thickBot="1">
      <c r="A273" s="835" t="s">
        <v>530</v>
      </c>
      <c r="B273" s="829" t="s">
        <v>971</v>
      </c>
      <c r="C273" s="1059">
        <v>0.14199999999999999</v>
      </c>
      <c r="D273" s="1059">
        <v>0.14299999999999999</v>
      </c>
      <c r="E273" s="1059">
        <v>0.15</v>
      </c>
      <c r="F273" s="1060">
        <v>0.1</v>
      </c>
    </row>
    <row r="274" spans="1:6" ht="15" thickBot="1">
      <c r="A274" s="835" t="s">
        <v>530</v>
      </c>
      <c r="B274" s="829" t="s">
        <v>972</v>
      </c>
      <c r="C274" s="1059">
        <v>0.14799999999999999</v>
      </c>
      <c r="D274" s="1059">
        <v>0.14799999999999999</v>
      </c>
      <c r="E274" s="1059">
        <v>0.15</v>
      </c>
      <c r="F274" s="1060">
        <v>6.7000000000000004E-2</v>
      </c>
    </row>
    <row r="275" spans="1:6" ht="15" thickBot="1">
      <c r="A275" s="835" t="s">
        <v>530</v>
      </c>
      <c r="B275" s="829" t="s">
        <v>973</v>
      </c>
      <c r="C275" s="1059">
        <v>0.15</v>
      </c>
      <c r="D275" s="1059">
        <v>0.15</v>
      </c>
      <c r="E275" s="1059">
        <v>0.15</v>
      </c>
      <c r="F275" s="1060">
        <v>0.15</v>
      </c>
    </row>
    <row r="276" spans="1:6" ht="15" thickBot="1">
      <c r="A276" s="835" t="s">
        <v>530</v>
      </c>
      <c r="B276" s="829" t="s">
        <v>974</v>
      </c>
      <c r="C276" s="1059">
        <v>0.14499999999999999</v>
      </c>
      <c r="D276" s="1059">
        <v>0.14299999999999999</v>
      </c>
      <c r="E276" s="1059">
        <v>0.15</v>
      </c>
      <c r="F276" s="1060">
        <v>5.8999999999999997E-2</v>
      </c>
    </row>
    <row r="277" spans="1:6" ht="15" thickBot="1">
      <c r="A277" s="835" t="s">
        <v>530</v>
      </c>
      <c r="B277" s="829" t="s">
        <v>975</v>
      </c>
      <c r="C277" s="1059">
        <v>0.15</v>
      </c>
      <c r="D277" s="1059">
        <v>0.15</v>
      </c>
      <c r="E277" s="1059">
        <v>0.15</v>
      </c>
      <c r="F277" s="1060">
        <v>0.121</v>
      </c>
    </row>
    <row r="278" spans="1:6" ht="15" thickBot="1">
      <c r="A278" s="835" t="s">
        <v>530</v>
      </c>
      <c r="B278" s="829" t="s">
        <v>976</v>
      </c>
      <c r="C278" s="1059">
        <v>0.15</v>
      </c>
      <c r="D278" s="1059">
        <v>0.15</v>
      </c>
      <c r="E278" s="1059">
        <v>0.15</v>
      </c>
      <c r="F278" s="1060">
        <v>0.13800000000000001</v>
      </c>
    </row>
    <row r="279" spans="1:6" ht="24.6" thickBot="1">
      <c r="A279" s="835" t="s">
        <v>530</v>
      </c>
      <c r="B279" s="829" t="s">
        <v>977</v>
      </c>
      <c r="C279" s="1072"/>
      <c r="D279" s="1072"/>
      <c r="E279" s="1072"/>
      <c r="F279" s="1060">
        <v>0.05</v>
      </c>
    </row>
    <row r="280" spans="1:6" ht="24.6" thickBot="1">
      <c r="A280" s="835" t="s">
        <v>530</v>
      </c>
      <c r="B280" s="829" t="s">
        <v>978</v>
      </c>
      <c r="C280" s="1072"/>
      <c r="D280" s="1072"/>
      <c r="E280" s="1072"/>
      <c r="F280" s="1060">
        <v>0.05</v>
      </c>
    </row>
    <row r="281" spans="1:6" ht="24.6" thickBot="1">
      <c r="A281" s="835" t="s">
        <v>530</v>
      </c>
      <c r="B281" s="829" t="s">
        <v>979</v>
      </c>
      <c r="C281" s="1072"/>
      <c r="D281" s="1072"/>
      <c r="E281" s="1072"/>
      <c r="F281" s="1060">
        <v>0.05</v>
      </c>
    </row>
    <row r="282" spans="1:6" ht="24.6" thickBot="1">
      <c r="A282" s="835" t="s">
        <v>530</v>
      </c>
      <c r="B282" s="829" t="s">
        <v>980</v>
      </c>
      <c r="C282" s="1072"/>
      <c r="D282" s="1072"/>
      <c r="E282" s="1072"/>
      <c r="F282" s="1060">
        <v>0.05</v>
      </c>
    </row>
    <row r="283" spans="1:6" ht="24.6" thickBot="1">
      <c r="A283" s="835" t="s">
        <v>530</v>
      </c>
      <c r="B283" s="829" t="s">
        <v>981</v>
      </c>
      <c r="C283" s="1072"/>
      <c r="D283" s="1072"/>
      <c r="E283" s="1072"/>
      <c r="F283" s="1060">
        <v>0.05</v>
      </c>
    </row>
    <row r="284" spans="1:6" ht="24.6" thickBot="1">
      <c r="A284" s="835" t="s">
        <v>530</v>
      </c>
      <c r="B284" s="829" t="s">
        <v>982</v>
      </c>
      <c r="C284" s="1072"/>
      <c r="D284" s="1072"/>
      <c r="E284" s="1072"/>
      <c r="F284" s="1060">
        <v>0.05</v>
      </c>
    </row>
    <row r="285" spans="1:6" ht="24.6" thickBot="1">
      <c r="A285" s="835" t="s">
        <v>530</v>
      </c>
      <c r="B285" s="829" t="s">
        <v>983</v>
      </c>
      <c r="C285" s="1072"/>
      <c r="D285" s="1072"/>
      <c r="E285" s="1072"/>
      <c r="F285" s="1060">
        <v>0.05</v>
      </c>
    </row>
    <row r="286" spans="1:6" ht="24.6" thickBot="1">
      <c r="A286" s="835" t="s">
        <v>530</v>
      </c>
      <c r="B286" s="829" t="s">
        <v>984</v>
      </c>
      <c r="C286" s="1072"/>
      <c r="D286" s="1072"/>
      <c r="E286" s="1072"/>
      <c r="F286" s="1060">
        <v>0.05</v>
      </c>
    </row>
    <row r="287" spans="1:6" ht="24.6" thickBot="1">
      <c r="A287" s="835" t="s">
        <v>530</v>
      </c>
      <c r="B287" s="829" t="s">
        <v>985</v>
      </c>
      <c r="C287" s="1072"/>
      <c r="D287" s="1072"/>
      <c r="E287" s="1072"/>
      <c r="F287" s="1060">
        <v>0.05</v>
      </c>
    </row>
    <row r="288" spans="1:6" ht="24.6" thickBot="1">
      <c r="A288" s="835" t="s">
        <v>530</v>
      </c>
      <c r="B288" s="829" t="s">
        <v>986</v>
      </c>
      <c r="C288" s="1072"/>
      <c r="D288" s="1072"/>
      <c r="E288" s="1072"/>
      <c r="F288" s="1060">
        <v>0.05</v>
      </c>
    </row>
    <row r="289" spans="1:6" ht="24.6" thickBot="1">
      <c r="A289" s="845" t="s">
        <v>530</v>
      </c>
      <c r="B289" s="841" t="s">
        <v>987</v>
      </c>
      <c r="C289" s="1069"/>
      <c r="D289" s="1069"/>
      <c r="E289" s="1069"/>
      <c r="F289" s="1062">
        <v>0.05</v>
      </c>
    </row>
    <row r="290" spans="1:6" ht="15" thickBot="1">
      <c r="A290" s="835" t="s">
        <v>534</v>
      </c>
      <c r="B290" s="836" t="s">
        <v>988</v>
      </c>
      <c r="C290" s="1057">
        <v>0.15</v>
      </c>
      <c r="D290" s="1057">
        <v>0.15</v>
      </c>
      <c r="E290" s="1057">
        <v>0.15</v>
      </c>
      <c r="F290" s="1074"/>
    </row>
    <row r="291" spans="1:6" ht="15" thickBot="1">
      <c r="A291" s="835" t="s">
        <v>534</v>
      </c>
      <c r="B291" s="829" t="s">
        <v>196</v>
      </c>
      <c r="C291" s="1059">
        <v>0.15</v>
      </c>
      <c r="D291" s="1059">
        <v>0.15</v>
      </c>
      <c r="E291" s="1059">
        <v>0.15</v>
      </c>
      <c r="F291" s="1071"/>
    </row>
    <row r="292" spans="1:6" ht="15" thickBot="1">
      <c r="A292" s="835" t="s">
        <v>534</v>
      </c>
      <c r="B292" s="829" t="s">
        <v>989</v>
      </c>
      <c r="C292" s="1059">
        <v>0.15</v>
      </c>
      <c r="D292" s="1059">
        <v>0.15</v>
      </c>
      <c r="E292" s="1059">
        <v>0.15</v>
      </c>
      <c r="F292" s="1060">
        <v>0.14699999999999999</v>
      </c>
    </row>
    <row r="293" spans="1:6" ht="15" thickBot="1">
      <c r="A293" s="835" t="s">
        <v>534</v>
      </c>
      <c r="B293" s="829" t="s">
        <v>990</v>
      </c>
      <c r="C293" s="1072"/>
      <c r="D293" s="1072"/>
      <c r="E293" s="1072"/>
      <c r="F293" s="1060">
        <v>0.1</v>
      </c>
    </row>
    <row r="294" spans="1:6" ht="15" thickBot="1">
      <c r="A294" s="835" t="s">
        <v>534</v>
      </c>
      <c r="B294" s="829" t="s">
        <v>991</v>
      </c>
      <c r="C294" s="1059">
        <v>0.15</v>
      </c>
      <c r="D294" s="1059">
        <v>0.15</v>
      </c>
      <c r="E294" s="1059">
        <v>0.15</v>
      </c>
      <c r="F294" s="1060">
        <v>0.15</v>
      </c>
    </row>
    <row r="295" spans="1:6" ht="15" thickBot="1">
      <c r="A295" s="835" t="s">
        <v>534</v>
      </c>
      <c r="B295" s="829" t="s">
        <v>234</v>
      </c>
      <c r="C295" s="1059">
        <v>0.15</v>
      </c>
      <c r="D295" s="1059">
        <v>0.15</v>
      </c>
      <c r="E295" s="1059">
        <v>0.15</v>
      </c>
      <c r="F295" s="1060">
        <v>0.15</v>
      </c>
    </row>
    <row r="296" spans="1:6" ht="15" thickBot="1">
      <c r="A296" s="835" t="s">
        <v>534</v>
      </c>
      <c r="B296" s="829" t="s">
        <v>992</v>
      </c>
      <c r="C296" s="1059">
        <v>0.15</v>
      </c>
      <c r="D296" s="1059">
        <v>0.15</v>
      </c>
      <c r="E296" s="1059">
        <v>0.15</v>
      </c>
      <c r="F296" s="1060">
        <v>0.15</v>
      </c>
    </row>
    <row r="297" spans="1:6" ht="15" thickBot="1">
      <c r="A297" s="835" t="s">
        <v>534</v>
      </c>
      <c r="B297" s="829" t="s">
        <v>993</v>
      </c>
      <c r="C297" s="1059">
        <v>0.14799999999999999</v>
      </c>
      <c r="D297" s="1059">
        <v>0.14899999999999999</v>
      </c>
      <c r="E297" s="1059">
        <v>0.15</v>
      </c>
      <c r="F297" s="1060">
        <v>0.13700000000000001</v>
      </c>
    </row>
    <row r="298" spans="1:6" ht="15" thickBot="1">
      <c r="A298" s="835" t="s">
        <v>534</v>
      </c>
      <c r="B298" s="829" t="s">
        <v>267</v>
      </c>
      <c r="C298" s="1059">
        <v>0.13400000000000001</v>
      </c>
      <c r="D298" s="1059">
        <v>0.13400000000000001</v>
      </c>
      <c r="E298" s="1059">
        <v>0.14499999999999999</v>
      </c>
      <c r="F298" s="1060">
        <v>0.14799999999999999</v>
      </c>
    </row>
    <row r="299" spans="1:6" ht="15" thickBot="1">
      <c r="A299" s="835" t="s">
        <v>534</v>
      </c>
      <c r="B299" s="829" t="s">
        <v>279</v>
      </c>
      <c r="C299" s="1059">
        <v>0.15</v>
      </c>
      <c r="D299" s="1059">
        <v>0.15</v>
      </c>
      <c r="E299" s="1059">
        <v>0.15</v>
      </c>
      <c r="F299" s="1071"/>
    </row>
    <row r="300" spans="1:6" ht="15" thickBot="1">
      <c r="A300" s="835" t="s">
        <v>534</v>
      </c>
      <c r="B300" s="829" t="s">
        <v>994</v>
      </c>
      <c r="C300" s="1059">
        <v>0.15</v>
      </c>
      <c r="D300" s="1059">
        <v>0.15</v>
      </c>
      <c r="E300" s="1059">
        <v>0.15</v>
      </c>
      <c r="F300" s="1060">
        <v>0.15</v>
      </c>
    </row>
    <row r="301" spans="1:6" ht="15" thickBot="1">
      <c r="A301" s="835" t="s">
        <v>534</v>
      </c>
      <c r="B301" s="829" t="s">
        <v>299</v>
      </c>
      <c r="C301" s="1059">
        <v>0.15</v>
      </c>
      <c r="D301" s="1059">
        <v>0.15</v>
      </c>
      <c r="E301" s="1059">
        <v>0.15</v>
      </c>
      <c r="F301" s="1071"/>
    </row>
    <row r="302" spans="1:6" ht="15" thickBot="1">
      <c r="A302" s="835" t="s">
        <v>534</v>
      </c>
      <c r="B302" s="829" t="s">
        <v>995</v>
      </c>
      <c r="C302" s="1059">
        <v>0.15</v>
      </c>
      <c r="D302" s="1059">
        <v>0.15</v>
      </c>
      <c r="E302" s="1059">
        <v>0.15</v>
      </c>
      <c r="F302" s="1060">
        <v>0.15</v>
      </c>
    </row>
    <row r="303" spans="1:6" ht="15" thickBot="1">
      <c r="A303" s="835" t="s">
        <v>534</v>
      </c>
      <c r="B303" s="829" t="s">
        <v>319</v>
      </c>
      <c r="C303" s="1059">
        <v>0.15</v>
      </c>
      <c r="D303" s="1059">
        <v>0.15</v>
      </c>
      <c r="E303" s="1059">
        <v>0.15</v>
      </c>
      <c r="F303" s="1060">
        <v>0.15</v>
      </c>
    </row>
    <row r="304" spans="1:6" ht="15" thickBot="1">
      <c r="A304" s="835" t="s">
        <v>534</v>
      </c>
      <c r="B304" s="829" t="s">
        <v>330</v>
      </c>
      <c r="C304" s="1059">
        <v>0.15</v>
      </c>
      <c r="D304" s="1059">
        <v>0.15</v>
      </c>
      <c r="E304" s="1059">
        <v>0.15</v>
      </c>
      <c r="F304" s="1071"/>
    </row>
    <row r="305" spans="1:6" ht="15" thickBot="1">
      <c r="A305" s="835" t="s">
        <v>534</v>
      </c>
      <c r="B305" s="829" t="s">
        <v>996</v>
      </c>
      <c r="C305" s="1059">
        <v>0.15</v>
      </c>
      <c r="D305" s="1059">
        <v>0.15</v>
      </c>
      <c r="E305" s="1059">
        <v>0.15</v>
      </c>
      <c r="F305" s="1060">
        <v>0.14000000000000001</v>
      </c>
    </row>
    <row r="306" spans="1:6" ht="15" thickBot="1">
      <c r="A306" s="835" t="s">
        <v>534</v>
      </c>
      <c r="B306" s="829" t="s">
        <v>351</v>
      </c>
      <c r="C306" s="1059">
        <v>0.15</v>
      </c>
      <c r="D306" s="1059">
        <v>0.15</v>
      </c>
      <c r="E306" s="1059">
        <v>0.15</v>
      </c>
      <c r="F306" s="1071"/>
    </row>
    <row r="307" spans="1:6" ht="15" thickBot="1">
      <c r="A307" s="835" t="s">
        <v>534</v>
      </c>
      <c r="B307" s="829" t="s">
        <v>997</v>
      </c>
      <c r="C307" s="1059">
        <v>0.15</v>
      </c>
      <c r="D307" s="1059">
        <v>0.15</v>
      </c>
      <c r="E307" s="1059">
        <v>0.15</v>
      </c>
      <c r="F307" s="1060">
        <v>0.14299999999999999</v>
      </c>
    </row>
    <row r="308" spans="1:6" ht="15" thickBot="1">
      <c r="A308" s="835" t="s">
        <v>534</v>
      </c>
      <c r="B308" s="829" t="s">
        <v>371</v>
      </c>
      <c r="C308" s="1059">
        <v>0.15</v>
      </c>
      <c r="D308" s="1059">
        <v>0.15</v>
      </c>
      <c r="E308" s="1059">
        <v>0.15</v>
      </c>
      <c r="F308" s="1060">
        <v>0.15</v>
      </c>
    </row>
    <row r="309" spans="1:6" ht="15" thickBot="1">
      <c r="A309" s="835" t="s">
        <v>534</v>
      </c>
      <c r="B309" s="829" t="s">
        <v>381</v>
      </c>
      <c r="C309" s="1059">
        <v>0.15</v>
      </c>
      <c r="D309" s="1059">
        <v>0.15</v>
      </c>
      <c r="E309" s="1059">
        <v>0.15</v>
      </c>
      <c r="F309" s="1071"/>
    </row>
    <row r="310" spans="1:6" ht="15" thickBot="1">
      <c r="A310" s="835" t="s">
        <v>534</v>
      </c>
      <c r="B310" s="829" t="s">
        <v>998</v>
      </c>
      <c r="C310" s="1059">
        <v>0.15</v>
      </c>
      <c r="D310" s="1059">
        <v>0.15</v>
      </c>
      <c r="E310" s="1059">
        <v>0.15</v>
      </c>
      <c r="F310" s="1060">
        <v>0.13700000000000001</v>
      </c>
    </row>
    <row r="311" spans="1:6" ht="15" thickBot="1">
      <c r="A311" s="835" t="s">
        <v>534</v>
      </c>
      <c r="B311" s="829" t="s">
        <v>999</v>
      </c>
      <c r="C311" s="1059">
        <v>0.15</v>
      </c>
      <c r="D311" s="1059">
        <v>0.15</v>
      </c>
      <c r="E311" s="1059">
        <v>0.15</v>
      </c>
      <c r="F311" s="1060">
        <v>0.15</v>
      </c>
    </row>
    <row r="312" spans="1:6" ht="15" thickBot="1">
      <c r="A312" s="835" t="s">
        <v>534</v>
      </c>
      <c r="B312" s="829" t="s">
        <v>407</v>
      </c>
      <c r="C312" s="1059">
        <v>0.15</v>
      </c>
      <c r="D312" s="1059">
        <v>0.15</v>
      </c>
      <c r="E312" s="1059">
        <v>0.15</v>
      </c>
      <c r="F312" s="1060">
        <v>0.1</v>
      </c>
    </row>
    <row r="313" spans="1:6" ht="15" thickBot="1">
      <c r="A313" s="835" t="s">
        <v>534</v>
      </c>
      <c r="B313" s="829" t="s">
        <v>1000</v>
      </c>
      <c r="C313" s="1059">
        <v>0.15</v>
      </c>
      <c r="D313" s="1059">
        <v>0.15</v>
      </c>
      <c r="E313" s="1059">
        <v>0.15</v>
      </c>
      <c r="F313" s="1060">
        <v>0.15</v>
      </c>
    </row>
    <row r="314" spans="1:6" ht="24.6" thickBot="1">
      <c r="A314" s="835" t="s">
        <v>534</v>
      </c>
      <c r="B314" s="829" t="s">
        <v>1001</v>
      </c>
      <c r="C314" s="1072"/>
      <c r="D314" s="1072"/>
      <c r="E314" s="1072"/>
      <c r="F314" s="1060">
        <v>0.05</v>
      </c>
    </row>
    <row r="315" spans="1:6" ht="24.6" thickBot="1">
      <c r="A315" s="835" t="s">
        <v>534</v>
      </c>
      <c r="B315" s="829" t="s">
        <v>1002</v>
      </c>
      <c r="C315" s="1072"/>
      <c r="D315" s="1072"/>
      <c r="E315" s="1072"/>
      <c r="F315" s="1060">
        <v>0.05</v>
      </c>
    </row>
    <row r="316" spans="1:6" ht="24.6" thickBot="1">
      <c r="A316" s="845" t="s">
        <v>534</v>
      </c>
      <c r="B316" s="841" t="s">
        <v>1003</v>
      </c>
      <c r="C316" s="1069"/>
      <c r="D316" s="1069"/>
      <c r="E316" s="1069"/>
      <c r="F316" s="1062">
        <v>0.05</v>
      </c>
    </row>
    <row r="317" spans="1:6" ht="15" thickBot="1">
      <c r="A317" s="835" t="s">
        <v>1004</v>
      </c>
      <c r="B317" s="836" t="s">
        <v>1005</v>
      </c>
      <c r="C317" s="1057">
        <v>0.15</v>
      </c>
      <c r="D317" s="1057">
        <v>0.15</v>
      </c>
      <c r="E317" s="1057">
        <v>0.15</v>
      </c>
      <c r="F317" s="1058">
        <v>0.15</v>
      </c>
    </row>
    <row r="318" spans="1:6" ht="15" thickBot="1">
      <c r="A318" s="835" t="s">
        <v>1004</v>
      </c>
      <c r="B318" s="829" t="s">
        <v>1006</v>
      </c>
      <c r="C318" s="1059">
        <v>0.107</v>
      </c>
      <c r="D318" s="1059">
        <v>0.11</v>
      </c>
      <c r="E318" s="1059">
        <v>0.112</v>
      </c>
      <c r="F318" s="1071"/>
    </row>
    <row r="319" spans="1:6" ht="15" thickBot="1">
      <c r="A319" s="835" t="s">
        <v>1004</v>
      </c>
      <c r="B319" s="829" t="s">
        <v>1007</v>
      </c>
      <c r="C319" s="1059">
        <v>0.15</v>
      </c>
      <c r="D319" s="1059">
        <v>0.15</v>
      </c>
      <c r="E319" s="1059">
        <v>0.15</v>
      </c>
      <c r="F319" s="1060">
        <v>0.15</v>
      </c>
    </row>
    <row r="320" spans="1:6" ht="15" thickBot="1">
      <c r="A320" s="835" t="s">
        <v>1004</v>
      </c>
      <c r="B320" s="829" t="s">
        <v>223</v>
      </c>
      <c r="C320" s="1059">
        <v>0.15</v>
      </c>
      <c r="D320" s="1059">
        <v>0.15</v>
      </c>
      <c r="E320" s="1059">
        <v>0.15</v>
      </c>
      <c r="F320" s="1071"/>
    </row>
    <row r="321" spans="1:6" ht="15" thickBot="1">
      <c r="A321" s="835" t="s">
        <v>1004</v>
      </c>
      <c r="B321" s="829" t="s">
        <v>1008</v>
      </c>
      <c r="C321" s="1059">
        <v>0.15</v>
      </c>
      <c r="D321" s="1059">
        <v>0.15</v>
      </c>
      <c r="E321" s="1059">
        <v>0.15</v>
      </c>
      <c r="F321" s="1071"/>
    </row>
    <row r="322" spans="1:6" ht="15" thickBot="1">
      <c r="A322" s="835" t="s">
        <v>1004</v>
      </c>
      <c r="B322" s="829" t="s">
        <v>1009</v>
      </c>
      <c r="C322" s="1059">
        <v>0.15</v>
      </c>
      <c r="D322" s="1059">
        <v>0.15</v>
      </c>
      <c r="E322" s="1059">
        <v>0.15</v>
      </c>
      <c r="F322" s="1060">
        <v>0.15</v>
      </c>
    </row>
    <row r="323" spans="1:6" ht="15" thickBot="1">
      <c r="A323" s="835" t="s">
        <v>1004</v>
      </c>
      <c r="B323" s="829" t="s">
        <v>1010</v>
      </c>
      <c r="C323" s="1059">
        <v>0.15</v>
      </c>
      <c r="D323" s="1059">
        <v>0.15</v>
      </c>
      <c r="E323" s="1059">
        <v>0.15</v>
      </c>
      <c r="F323" s="1071"/>
    </row>
    <row r="324" spans="1:6" ht="15" thickBot="1">
      <c r="A324" s="835" t="s">
        <v>1004</v>
      </c>
      <c r="B324" s="829" t="s">
        <v>1011</v>
      </c>
      <c r="C324" s="1059">
        <v>0.15</v>
      </c>
      <c r="D324" s="1059">
        <v>0.15</v>
      </c>
      <c r="E324" s="1059">
        <v>0.15</v>
      </c>
      <c r="F324" s="1071"/>
    </row>
    <row r="325" spans="1:6" ht="15" thickBot="1">
      <c r="A325" s="835" t="s">
        <v>1004</v>
      </c>
      <c r="B325" s="829" t="s">
        <v>1012</v>
      </c>
      <c r="C325" s="1059">
        <v>0.15</v>
      </c>
      <c r="D325" s="1059">
        <v>0.15</v>
      </c>
      <c r="E325" s="1059">
        <v>0.15</v>
      </c>
      <c r="F325" s="1060">
        <v>0.14699999999999999</v>
      </c>
    </row>
    <row r="326" spans="1:6" ht="15" thickBot="1">
      <c r="A326" s="835" t="s">
        <v>1004</v>
      </c>
      <c r="B326" s="829" t="s">
        <v>290</v>
      </c>
      <c r="C326" s="1059">
        <v>0.15</v>
      </c>
      <c r="D326" s="1059">
        <v>0.15</v>
      </c>
      <c r="E326" s="1059">
        <v>0.15</v>
      </c>
      <c r="F326" s="1071"/>
    </row>
    <row r="327" spans="1:6" ht="15" thickBot="1">
      <c r="A327" s="835" t="s">
        <v>1004</v>
      </c>
      <c r="B327" s="829" t="s">
        <v>1013</v>
      </c>
      <c r="C327" s="1059">
        <v>0.15</v>
      </c>
      <c r="D327" s="1059">
        <v>0.15</v>
      </c>
      <c r="E327" s="1059">
        <v>0.15</v>
      </c>
      <c r="F327" s="1060">
        <v>0.15</v>
      </c>
    </row>
    <row r="328" spans="1:6" ht="15" thickBot="1">
      <c r="A328" s="835" t="s">
        <v>1004</v>
      </c>
      <c r="B328" s="829" t="s">
        <v>310</v>
      </c>
      <c r="C328" s="1059">
        <v>0.15</v>
      </c>
      <c r="D328" s="1059">
        <v>0.15</v>
      </c>
      <c r="E328" s="1059">
        <v>0.15</v>
      </c>
      <c r="F328" s="1060">
        <v>0.14099999999999999</v>
      </c>
    </row>
    <row r="329" spans="1:6" ht="15" thickBot="1">
      <c r="A329" s="835" t="s">
        <v>1004</v>
      </c>
      <c r="B329" s="829" t="s">
        <v>320</v>
      </c>
      <c r="C329" s="1059">
        <v>0.15</v>
      </c>
      <c r="D329" s="1059">
        <v>0.15</v>
      </c>
      <c r="E329" s="1059">
        <v>0.15</v>
      </c>
      <c r="F329" s="1060">
        <v>0.15</v>
      </c>
    </row>
    <row r="330" spans="1:6" ht="15" thickBot="1">
      <c r="A330" s="835" t="s">
        <v>1004</v>
      </c>
      <c r="B330" s="829" t="s">
        <v>331</v>
      </c>
      <c r="C330" s="1059">
        <v>0.15</v>
      </c>
      <c r="D330" s="1059">
        <v>0.15</v>
      </c>
      <c r="E330" s="1059">
        <v>0.15</v>
      </c>
      <c r="F330" s="1071"/>
    </row>
    <row r="331" spans="1:6" ht="15" thickBot="1">
      <c r="A331" s="835" t="s">
        <v>1004</v>
      </c>
      <c r="B331" s="829" t="s">
        <v>1014</v>
      </c>
      <c r="C331" s="1059">
        <v>0.15</v>
      </c>
      <c r="D331" s="1059">
        <v>0.15</v>
      </c>
      <c r="E331" s="1059">
        <v>0.15</v>
      </c>
      <c r="F331" s="1060">
        <v>0.15</v>
      </c>
    </row>
    <row r="332" spans="1:6" ht="15" thickBot="1">
      <c r="A332" s="835" t="s">
        <v>1004</v>
      </c>
      <c r="B332" s="829" t="s">
        <v>352</v>
      </c>
      <c r="C332" s="1059">
        <v>0.15</v>
      </c>
      <c r="D332" s="1059">
        <v>0.15</v>
      </c>
      <c r="E332" s="1059">
        <v>0.15</v>
      </c>
      <c r="F332" s="1060">
        <v>0.15</v>
      </c>
    </row>
    <row r="333" spans="1:6" ht="15" thickBot="1">
      <c r="A333" s="835" t="s">
        <v>1004</v>
      </c>
      <c r="B333" s="829" t="s">
        <v>1015</v>
      </c>
      <c r="C333" s="1059">
        <v>0.15</v>
      </c>
      <c r="D333" s="1059">
        <v>0.15</v>
      </c>
      <c r="E333" s="1059">
        <v>0.15</v>
      </c>
      <c r="F333" s="1060">
        <v>0.14099999999999999</v>
      </c>
    </row>
    <row r="334" spans="1:6" ht="15" thickBot="1">
      <c r="A334" s="835" t="s">
        <v>1004</v>
      </c>
      <c r="B334" s="829" t="s">
        <v>372</v>
      </c>
      <c r="C334" s="1059">
        <v>0.15</v>
      </c>
      <c r="D334" s="1059">
        <v>0.15</v>
      </c>
      <c r="E334" s="1059">
        <v>0.15</v>
      </c>
      <c r="F334" s="1060">
        <v>0.15</v>
      </c>
    </row>
    <row r="335" spans="1:6" ht="15" thickBot="1">
      <c r="A335" s="835" t="s">
        <v>1004</v>
      </c>
      <c r="B335" s="829" t="s">
        <v>382</v>
      </c>
      <c r="C335" s="1059">
        <v>0.15</v>
      </c>
      <c r="D335" s="1059">
        <v>0.15</v>
      </c>
      <c r="E335" s="1059">
        <v>0.15</v>
      </c>
      <c r="F335" s="1071"/>
    </row>
    <row r="336" spans="1:6" ht="15" thickBot="1">
      <c r="A336" s="835" t="s">
        <v>1004</v>
      </c>
      <c r="B336" s="829" t="s">
        <v>1016</v>
      </c>
      <c r="C336" s="1059">
        <v>0.15</v>
      </c>
      <c r="D336" s="1059">
        <v>0.15</v>
      </c>
      <c r="E336" s="1059">
        <v>0.15</v>
      </c>
      <c r="F336" s="1060">
        <v>0.11799999999999999</v>
      </c>
    </row>
    <row r="337" spans="1:6" ht="15" thickBot="1">
      <c r="A337" s="845" t="s">
        <v>1004</v>
      </c>
      <c r="B337" s="841" t="s">
        <v>400</v>
      </c>
      <c r="C337" s="1069"/>
      <c r="D337" s="1069"/>
      <c r="E337" s="1069"/>
      <c r="F337" s="1062">
        <v>0.14299999999999999</v>
      </c>
    </row>
    <row r="338" spans="1:6" ht="15" thickBot="1">
      <c r="A338" s="835" t="s">
        <v>1017</v>
      </c>
      <c r="B338" s="836" t="s">
        <v>1018</v>
      </c>
      <c r="C338" s="1057">
        <v>0.15</v>
      </c>
      <c r="D338" s="1057">
        <v>0.15</v>
      </c>
      <c r="E338" s="1057">
        <v>0.15</v>
      </c>
      <c r="F338" s="1074"/>
    </row>
    <row r="339" spans="1:6" ht="15" thickBot="1">
      <c r="A339" s="835" t="s">
        <v>1017</v>
      </c>
      <c r="B339" s="829" t="s">
        <v>1019</v>
      </c>
      <c r="C339" s="1059">
        <v>0.15</v>
      </c>
      <c r="D339" s="1059">
        <v>0.15</v>
      </c>
      <c r="E339" s="1059">
        <v>0.15</v>
      </c>
      <c r="F339" s="1071"/>
    </row>
    <row r="340" spans="1:6" ht="15" thickBot="1">
      <c r="A340" s="835" t="s">
        <v>1017</v>
      </c>
      <c r="B340" s="829" t="s">
        <v>1020</v>
      </c>
      <c r="C340" s="1059">
        <v>0.15</v>
      </c>
      <c r="D340" s="1059">
        <v>0.15</v>
      </c>
      <c r="E340" s="1059">
        <v>0.15</v>
      </c>
      <c r="F340" s="1071"/>
    </row>
    <row r="341" spans="1:6" ht="15" thickBot="1">
      <c r="A341" s="835" t="s">
        <v>1017</v>
      </c>
      <c r="B341" s="829" t="s">
        <v>1021</v>
      </c>
      <c r="C341" s="1059">
        <v>0.15</v>
      </c>
      <c r="D341" s="1059">
        <v>0.15</v>
      </c>
      <c r="E341" s="1059">
        <v>0.15</v>
      </c>
      <c r="F341" s="1060">
        <v>0.15</v>
      </c>
    </row>
    <row r="342" spans="1:6" ht="15" thickBot="1">
      <c r="A342" s="835" t="s">
        <v>1017</v>
      </c>
      <c r="B342" s="829" t="s">
        <v>1022</v>
      </c>
      <c r="C342" s="1059">
        <v>0.15</v>
      </c>
      <c r="D342" s="1059">
        <v>0.15</v>
      </c>
      <c r="E342" s="1059">
        <v>0.15</v>
      </c>
      <c r="F342" s="1060">
        <v>0.15</v>
      </c>
    </row>
    <row r="343" spans="1:6" ht="15" thickBot="1">
      <c r="A343" s="835" t="s">
        <v>1017</v>
      </c>
      <c r="B343" s="829" t="s">
        <v>1023</v>
      </c>
      <c r="C343" s="1059">
        <v>0.15</v>
      </c>
      <c r="D343" s="1059">
        <v>0.15</v>
      </c>
      <c r="E343" s="1059">
        <v>0.15</v>
      </c>
      <c r="F343" s="1060">
        <v>0.15</v>
      </c>
    </row>
    <row r="344" spans="1:6" ht="1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1295</v>
      </c>
      <c r="C1" s="1688">
        <f>项目基本情况!D3</f>
        <v>44020</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8" t="s">
        <v>1367</v>
      </c>
      <c r="E1" s="1762" t="s">
        <v>1371</v>
      </c>
      <c r="F1" s="1763" t="s">
        <v>1375</v>
      </c>
    </row>
    <row r="2" spans="1:13" ht="19.8">
      <c r="A2" s="1769" t="s">
        <v>1368</v>
      </c>
    </row>
    <row r="3" spans="1:13" ht="15.6">
      <c r="A3" s="1770" t="s">
        <v>1369</v>
      </c>
    </row>
    <row r="4" spans="1:13">
      <c r="A4" s="1760" t="s">
        <v>1370</v>
      </c>
      <c r="B4" s="1765" t="s">
        <v>1372</v>
      </c>
      <c r="C4" s="1766"/>
      <c r="D4" s="1767"/>
      <c r="E4" s="1765" t="s">
        <v>27</v>
      </c>
      <c r="F4" s="1766"/>
      <c r="G4" s="1767"/>
      <c r="H4" s="1765" t="s">
        <v>1373</v>
      </c>
      <c r="I4" s="1766"/>
      <c r="J4" s="1767"/>
      <c r="K4" s="1765" t="s">
        <v>6</v>
      </c>
      <c r="L4" s="1766"/>
      <c r="M4" s="1767"/>
    </row>
    <row r="5" spans="1:13">
      <c r="A5" s="1761" t="s">
        <v>1374</v>
      </c>
      <c r="B5" s="1760" t="s">
        <v>1376</v>
      </c>
      <c r="C5" s="1760" t="s">
        <v>1377</v>
      </c>
      <c r="D5" s="1760" t="s">
        <v>1378</v>
      </c>
      <c r="E5" s="1760" t="s">
        <v>1376</v>
      </c>
      <c r="F5" s="1760" t="s">
        <v>1377</v>
      </c>
      <c r="G5" s="1760" t="s">
        <v>1378</v>
      </c>
      <c r="H5" s="1760" t="s">
        <v>1376</v>
      </c>
      <c r="I5" s="1760" t="s">
        <v>1377</v>
      </c>
      <c r="J5" s="1760" t="s">
        <v>1378</v>
      </c>
      <c r="K5" s="1760" t="s">
        <v>1376</v>
      </c>
      <c r="L5" s="1760" t="s">
        <v>1377</v>
      </c>
      <c r="M5" s="1760" t="s">
        <v>1378</v>
      </c>
    </row>
    <row r="6" spans="1:13">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0" customWidth="1"/>
    <col min="2" max="9" width="12.109375" style="1930" customWidth="1"/>
    <col min="10" max="16384" width="9" style="1930"/>
  </cols>
  <sheetData>
    <row r="1" spans="1:9" ht="18"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6">
      <c r="A3" s="3000"/>
      <c r="B3" s="3000"/>
      <c r="C3" s="3000"/>
      <c r="D3" s="1039" t="s">
        <v>1632</v>
      </c>
      <c r="E3" s="1039" t="s">
        <v>1638</v>
      </c>
      <c r="F3" s="1039" t="s">
        <v>1632</v>
      </c>
      <c r="G3" s="1039" t="s">
        <v>1633</v>
      </c>
      <c r="H3" s="1039" t="s">
        <v>1632</v>
      </c>
      <c r="I3" s="1039" t="s">
        <v>1633</v>
      </c>
    </row>
    <row r="4" spans="1:9" ht="15">
      <c r="A4" s="1958" t="str">
        <f>项目基本情况!S2</f>
        <v>房地产</v>
      </c>
      <c r="B4" s="1039">
        <f>项目基本情况!C17</f>
        <v>26881.280000000002</v>
      </c>
      <c r="C4" s="1039">
        <f>项目基本情况!C18</f>
        <v>8010.13</v>
      </c>
      <c r="D4" s="1039" t="e">
        <f ca="1">结果表!D118</f>
        <v>#REF!</v>
      </c>
      <c r="E4" s="1039" t="e">
        <f ca="1">结果表!E118</f>
        <v>#REF!</v>
      </c>
      <c r="F4" s="1039" t="e">
        <f ca="1">结果表!F118</f>
        <v>#REF!</v>
      </c>
      <c r="G4" s="1039" t="e">
        <f ca="1">结果表!G118</f>
        <v>#REF!</v>
      </c>
      <c r="H4" s="1039">
        <f ca="1">结果表!H118</f>
        <v>60459</v>
      </c>
      <c r="I4" s="1039">
        <f ca="1">结果表!I118</f>
        <v>22491</v>
      </c>
    </row>
    <row r="5" spans="1:9" ht="30" customHeight="1">
      <c r="A5" s="3000" t="s">
        <v>1634</v>
      </c>
      <c r="B5" s="3000"/>
      <c r="C5" s="3000"/>
      <c r="D5" s="3001" t="e">
        <f ca="1">结果表!D119</f>
        <v>#REF!</v>
      </c>
      <c r="E5" s="3001"/>
      <c r="F5" s="3001" t="e">
        <f ca="1">结果表!F119</f>
        <v>#REF!</v>
      </c>
      <c r="G5" s="3001"/>
      <c r="H5" s="3001" t="str">
        <f ca="1">结果表!H119</f>
        <v>陆亿零肆佰伍拾玖万元整</v>
      </c>
      <c r="I5" s="3001"/>
    </row>
    <row r="6" spans="1:9" ht="15.6">
      <c r="A6" s="3002" t="str">
        <f>结果表!A120</f>
        <v>估价师知悉的法定优先受偿款</v>
      </c>
      <c r="B6" s="3002"/>
      <c r="C6" s="3002"/>
      <c r="D6" s="3002">
        <f>结果表!D120</f>
        <v>0</v>
      </c>
      <c r="E6" s="3002"/>
      <c r="F6" s="3002"/>
      <c r="G6" s="3002"/>
      <c r="H6" s="3002"/>
      <c r="I6" s="3002"/>
    </row>
    <row r="7" spans="1:9" ht="15">
      <c r="A7" s="3000" t="s">
        <v>1634</v>
      </c>
      <c r="B7" s="3000"/>
      <c r="C7" s="3000"/>
      <c r="D7" s="3003" t="str">
        <f>结果表!D121</f>
        <v>零元整</v>
      </c>
      <c r="E7" s="3004"/>
      <c r="F7" s="3004"/>
      <c r="G7" s="3004"/>
      <c r="H7" s="3004"/>
      <c r="I7" s="3005"/>
    </row>
    <row r="8" spans="1:9" ht="15.6">
      <c r="A8" s="3002" t="str">
        <f>结果表!A122</f>
        <v>房地产抵押价值</v>
      </c>
      <c r="B8" s="3002"/>
      <c r="C8" s="3002"/>
      <c r="D8" s="3002">
        <f ca="1">结果表!D122</f>
        <v>60459</v>
      </c>
      <c r="E8" s="3002"/>
      <c r="F8" s="3002"/>
      <c r="G8" s="3002"/>
      <c r="H8" s="3002"/>
      <c r="I8" s="3002"/>
    </row>
    <row r="9" spans="1:9" ht="15">
      <c r="A9" s="3000" t="s">
        <v>1634</v>
      </c>
      <c r="B9" s="3000"/>
      <c r="C9" s="3000"/>
      <c r="D9" s="3001" t="str">
        <f ca="1">结果表!D123</f>
        <v>陆亿零肆佰伍拾玖万元整</v>
      </c>
      <c r="E9" s="3001"/>
      <c r="F9" s="3001"/>
      <c r="G9" s="3001"/>
      <c r="H9" s="3001"/>
      <c r="I9" s="3001"/>
    </row>
    <row r="10" spans="1:9" ht="15.6">
      <c r="A10" s="3002" t="str">
        <f>结果表!A124</f>
        <v/>
      </c>
      <c r="B10" s="3002"/>
      <c r="C10" s="3002"/>
      <c r="D10" s="3002" t="str">
        <f>结果表!D124</f>
        <v>——</v>
      </c>
      <c r="E10" s="3002"/>
      <c r="F10" s="3002"/>
      <c r="G10" s="3002"/>
      <c r="H10" s="3002"/>
      <c r="I10" s="3002"/>
    </row>
    <row r="11" spans="1:9" ht="15">
      <c r="A11" s="3000" t="s">
        <v>1634</v>
      </c>
      <c r="B11" s="3000"/>
      <c r="C11" s="3000"/>
      <c r="D11" s="3001" t="e">
        <f>结果表!D125</f>
        <v>#VALUE!</v>
      </c>
      <c r="E11" s="3001"/>
      <c r="F11" s="3001"/>
      <c r="G11" s="3001"/>
      <c r="H11" s="3001"/>
      <c r="I11" s="3001"/>
    </row>
    <row r="12" spans="1:9" ht="15.6">
      <c r="A12" s="3002" t="str">
        <f>结果表!A126</f>
        <v/>
      </c>
      <c r="B12" s="3002"/>
      <c r="C12" s="3002"/>
      <c r="D12" s="3002" t="str">
        <f>结果表!D126</f>
        <v>——</v>
      </c>
      <c r="E12" s="3002"/>
      <c r="F12" s="3002"/>
      <c r="G12" s="3002"/>
      <c r="H12" s="3002"/>
      <c r="I12" s="3002"/>
    </row>
    <row r="13" spans="1:9" ht="15.6" thickBot="1">
      <c r="A13" s="3006" t="s">
        <v>1634</v>
      </c>
      <c r="B13" s="3006"/>
      <c r="C13" s="3006"/>
      <c r="D13" s="3007" t="e">
        <f>结果表!D127</f>
        <v>#VALUE!</v>
      </c>
      <c r="E13" s="3007"/>
      <c r="F13" s="3007"/>
      <c r="G13" s="3007"/>
      <c r="H13" s="3007"/>
      <c r="I13" s="3007"/>
    </row>
    <row r="14" spans="1:9" ht="14.4" thickTop="1">
      <c r="A14" s="3008" t="s">
        <v>1639</v>
      </c>
      <c r="B14" s="3008"/>
      <c r="C14" s="3008"/>
      <c r="D14" s="3008"/>
      <c r="E14" s="3008"/>
      <c r="F14" s="3008"/>
      <c r="G14" s="3008"/>
      <c r="H14" s="3008"/>
      <c r="I14" s="3008"/>
    </row>
    <row r="16" spans="1:9" ht="17.399999999999999">
      <c r="A16" s="1959" t="s">
        <v>1622</v>
      </c>
      <c r="B16" s="1942"/>
      <c r="C16" s="1942"/>
      <c r="D16" s="1942"/>
      <c r="E16" s="1942"/>
      <c r="F16" s="1942"/>
      <c r="G16" s="1942"/>
      <c r="H16" s="1942"/>
      <c r="I16" s="1942"/>
    </row>
    <row r="17" spans="1:9">
      <c r="A17" s="1942"/>
      <c r="B17" s="1942"/>
      <c r="C17" s="1942"/>
      <c r="D17" s="1942"/>
      <c r="E17" s="1942"/>
      <c r="F17" s="1942"/>
      <c r="G17" s="1942"/>
      <c r="H17" s="1942"/>
      <c r="I17" s="1942"/>
    </row>
    <row r="18" spans="1:9">
      <c r="A18" s="1942"/>
      <c r="B18" s="1942"/>
      <c r="C18" s="1942"/>
      <c r="D18" s="1942"/>
      <c r="E18" s="1942"/>
      <c r="F18" s="1942"/>
      <c r="G18" s="1942"/>
      <c r="H18" s="1942"/>
      <c r="I18" s="1942"/>
    </row>
    <row r="19" spans="1:9">
      <c r="A19" s="1942"/>
      <c r="B19" s="1942"/>
      <c r="C19" s="1942"/>
      <c r="D19" s="1942"/>
      <c r="E19" s="1942"/>
      <c r="F19" s="1942"/>
      <c r="G19" s="1942"/>
      <c r="H19" s="1942"/>
      <c r="I19" s="1942"/>
    </row>
    <row r="20" spans="1:9">
      <c r="A20" s="1942"/>
      <c r="B20" s="1942"/>
      <c r="C20" s="1942"/>
      <c r="D20" s="1942"/>
      <c r="E20" s="1942"/>
      <c r="F20" s="1942"/>
      <c r="G20" s="1942"/>
      <c r="H20" s="1942"/>
      <c r="I20" s="1942"/>
    </row>
    <row r="21" spans="1:9">
      <c r="A21" s="1942"/>
      <c r="B21" s="1942"/>
      <c r="C21" s="1942"/>
      <c r="D21" s="1942"/>
      <c r="E21" s="1942"/>
      <c r="F21" s="1942"/>
      <c r="G21" s="1942"/>
      <c r="H21" s="1942"/>
      <c r="I21" s="1942"/>
    </row>
    <row r="22" spans="1:9">
      <c r="A22" s="1942"/>
      <c r="B22" s="1942"/>
      <c r="C22" s="1942"/>
      <c r="D22" s="1942"/>
      <c r="E22" s="1942"/>
      <c r="F22" s="1942"/>
      <c r="G22" s="1942"/>
      <c r="H22" s="1942"/>
      <c r="I22" s="19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0" customWidth="1"/>
    <col min="2" max="3" width="22.33203125" style="1930" customWidth="1"/>
    <col min="4" max="4" width="23" style="1930" customWidth="1"/>
    <col min="5" max="16384" width="9" style="1930"/>
  </cols>
  <sheetData>
    <row r="1" spans="1:4" ht="17.399999999999999">
      <c r="A1" s="3009" t="s">
        <v>1656</v>
      </c>
      <c r="B1" s="3009"/>
      <c r="C1" s="3009"/>
      <c r="D1" s="3009"/>
    </row>
    <row r="2" spans="1:4" ht="17.399999999999999">
      <c r="A2" s="3010" t="s">
        <v>1640</v>
      </c>
      <c r="B2" s="3010"/>
      <c r="C2" s="3010"/>
      <c r="D2" s="3010"/>
    </row>
    <row r="3" spans="1:4" ht="17.399999999999999">
      <c r="A3" s="1962" t="s">
        <v>1641</v>
      </c>
      <c r="B3" s="1962" t="s">
        <v>1642</v>
      </c>
      <c r="C3" s="1962" t="s">
        <v>1643</v>
      </c>
      <c r="D3" s="1962" t="s">
        <v>1644</v>
      </c>
    </row>
    <row r="4" spans="1:4" ht="56.25" customHeight="1">
      <c r="A4" s="1963">
        <f>项目基本情况!B4</f>
        <v>0</v>
      </c>
      <c r="B4" s="1964">
        <f>项目基本情况!C4</f>
        <v>0</v>
      </c>
      <c r="C4" s="1965"/>
      <c r="D4" s="1966" t="s">
        <v>1645</v>
      </c>
    </row>
    <row r="5" spans="1:4" ht="56.25" customHeight="1">
      <c r="A5" s="1963">
        <f>项目基本情况!D4</f>
        <v>0</v>
      </c>
      <c r="B5" s="1964">
        <f>项目基本情况!E4</f>
        <v>0</v>
      </c>
      <c r="C5" s="1967"/>
      <c r="D5" s="1966" t="s">
        <v>1645</v>
      </c>
    </row>
    <row r="6" spans="1:4" ht="17.399999999999999">
      <c r="A6" s="3010" t="s">
        <v>1646</v>
      </c>
      <c r="B6" s="3010"/>
      <c r="C6" s="3010"/>
      <c r="D6" s="3010"/>
    </row>
    <row r="7" spans="1:4" ht="17.399999999999999">
      <c r="A7" s="1962" t="s">
        <v>1641</v>
      </c>
      <c r="B7" s="1964" t="s">
        <v>1647</v>
      </c>
      <c r="C7" s="1962" t="s">
        <v>1643</v>
      </c>
      <c r="D7" s="1962" t="s">
        <v>1644</v>
      </c>
    </row>
    <row r="8" spans="1:4" ht="56.25" customHeight="1">
      <c r="A8" s="1968" t="s">
        <v>865</v>
      </c>
      <c r="B8" s="1968" t="s">
        <v>1</v>
      </c>
      <c r="C8" s="1965"/>
      <c r="D8" s="1966" t="s">
        <v>1645</v>
      </c>
    </row>
    <row r="9" spans="1:4">
      <c r="A9" s="728"/>
      <c r="B9" s="728"/>
      <c r="C9" s="728"/>
      <c r="D9" s="728"/>
    </row>
    <row r="10" spans="1:4" ht="17.399999999999999">
      <c r="A10" s="1969" t="s">
        <v>1648</v>
      </c>
      <c r="B10" s="728"/>
      <c r="C10" s="728"/>
      <c r="D10" s="728"/>
    </row>
    <row r="11" spans="1:4" ht="30" customHeight="1">
      <c r="A11" s="3011" t="s">
        <v>1649</v>
      </c>
      <c r="B11" s="3012"/>
      <c r="C11" s="3012"/>
      <c r="D11" s="3012"/>
    </row>
    <row r="12" spans="1:4" ht="15.6">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3"/>
      <c r="C12" s="3013"/>
      <c r="D12" s="3013"/>
    </row>
    <row r="13" spans="1:4" ht="30" customHeight="1">
      <c r="A13" s="3012" t="str">
        <f>IF(项目基本情况!B8="抵押","3.抵押双方在办理抵押登记手续时，应使用本公司出具的正式《房地产评估报告》，特提醒报告使用者注意。","——")</f>
        <v>——</v>
      </c>
      <c r="B13" s="3013"/>
      <c r="C13" s="3013"/>
      <c r="D13" s="3013"/>
    </row>
    <row r="14" spans="1:4" ht="15.75" customHeight="1">
      <c r="A14" s="3012" t="str">
        <f>IF(项目基本情况!B8="抵押","4.本次评估估价师所知悉的法定优先受偿款情况说明如下：","——")</f>
        <v>——</v>
      </c>
      <c r="B14" s="3013"/>
      <c r="C14" s="3013"/>
      <c r="D14" s="3013"/>
    </row>
    <row r="15" spans="1:4" ht="42" customHeight="1">
      <c r="A15" s="3012" t="str">
        <f>IF(项目基本情况!B8="抵押","（1）"&amp;CONCATENATE(项目基本情况!L20,项目基本情况!L21,项目基本情况!L22),"——")</f>
        <v>——</v>
      </c>
      <c r="B15" s="3012"/>
      <c r="C15" s="3012"/>
      <c r="D15" s="3012"/>
    </row>
    <row r="16" spans="1:4" ht="30" customHeight="1">
      <c r="A16" s="3015" t="s">
        <v>1650</v>
      </c>
      <c r="B16" s="3015"/>
      <c r="C16" s="3015"/>
      <c r="D16" s="3015"/>
    </row>
    <row r="17" spans="1:4" ht="144" customHeight="1">
      <c r="A17" s="3015" t="s">
        <v>1651</v>
      </c>
      <c r="B17" s="3015"/>
      <c r="C17" s="3015"/>
      <c r="D17" s="3015"/>
    </row>
    <row r="18" spans="1:4" ht="15.75" customHeight="1">
      <c r="A18" s="3012" t="str">
        <f>IF(项目基本情况!B8="抵押",结果表!K120,"——")</f>
        <v>——</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1652</v>
      </c>
      <c r="B22" s="3017"/>
      <c r="C22" s="3017"/>
      <c r="D22" s="3017"/>
    </row>
    <row r="23" spans="1:4">
      <c r="A23" s="1970"/>
      <c r="B23" s="1942"/>
      <c r="C23" s="1942"/>
      <c r="D23" s="1942"/>
    </row>
    <row r="24" spans="1:4">
      <c r="A24" s="1970"/>
      <c r="B24" s="1942"/>
      <c r="C24" s="1942"/>
      <c r="D24" s="1942"/>
    </row>
    <row r="25" spans="1:4" ht="17.399999999999999">
      <c r="A25" s="1971" t="s">
        <v>1653</v>
      </c>
    </row>
    <row r="26" spans="1:4" ht="17.399999999999999">
      <c r="A26" s="1940"/>
    </row>
    <row r="27" spans="1:4" ht="17.399999999999999">
      <c r="A27" s="1940" t="s">
        <v>1654</v>
      </c>
    </row>
    <row r="30" spans="1:4" ht="17.399999999999999">
      <c r="D30" s="1971" t="s">
        <v>1655</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8" customWidth="1"/>
    <col min="3" max="10" width="12.44140625" style="1928" customWidth="1"/>
    <col min="11" max="16384" width="9" style="1928"/>
  </cols>
  <sheetData>
    <row r="1" spans="1:10" ht="17.399999999999999">
      <c r="A1" s="1961" t="s">
        <v>866</v>
      </c>
      <c r="B1" s="1972"/>
      <c r="C1" s="1972"/>
      <c r="D1" s="1972"/>
      <c r="E1" s="1972"/>
      <c r="F1" s="1972"/>
      <c r="G1" s="1972"/>
      <c r="H1" s="1972"/>
      <c r="I1" s="1972"/>
      <c r="J1" s="1972"/>
    </row>
    <row r="2" spans="1:10" ht="17.399999999999999">
      <c r="A2" s="1973"/>
      <c r="B2" s="1972"/>
      <c r="C2" s="1972"/>
      <c r="D2" s="1972"/>
      <c r="E2" s="1972"/>
      <c r="F2" s="1972"/>
      <c r="G2" s="1972"/>
      <c r="H2" s="1972"/>
      <c r="I2" s="1972"/>
      <c r="J2" s="1972"/>
    </row>
    <row r="3" spans="1:10">
      <c r="A3" s="1972"/>
      <c r="B3" s="1972"/>
      <c r="C3" s="1972"/>
      <c r="D3" s="1972"/>
      <c r="E3" s="1972"/>
      <c r="F3" s="1972"/>
      <c r="G3" s="1972"/>
      <c r="H3" s="1972"/>
      <c r="I3" s="1972"/>
      <c r="J3" s="1972"/>
    </row>
    <row r="4" spans="1:10">
      <c r="A4" s="1972"/>
      <c r="B4" s="1972"/>
      <c r="C4" s="1972"/>
      <c r="D4" s="1972"/>
      <c r="E4" s="1972"/>
      <c r="F4" s="1972"/>
      <c r="G4" s="1972"/>
      <c r="H4" s="1972"/>
      <c r="I4" s="1972"/>
      <c r="J4" s="1972"/>
    </row>
    <row r="5" spans="1:10">
      <c r="A5" s="1972"/>
      <c r="B5" s="1972"/>
      <c r="C5" s="1972"/>
      <c r="D5" s="1972"/>
      <c r="E5" s="1972"/>
      <c r="F5" s="1972"/>
      <c r="G5" s="1972"/>
      <c r="H5" s="1972"/>
      <c r="I5" s="1972"/>
      <c r="J5" s="1972"/>
    </row>
    <row r="6" spans="1:10">
      <c r="A6" s="1972"/>
      <c r="B6" s="1972"/>
      <c r="C6" s="1972"/>
      <c r="D6" s="1972"/>
      <c r="E6" s="1972"/>
      <c r="F6" s="1972"/>
      <c r="G6" s="1972"/>
      <c r="H6" s="1972"/>
      <c r="I6" s="1972"/>
      <c r="J6" s="1972"/>
    </row>
    <row r="7" spans="1:10">
      <c r="A7" s="1972"/>
      <c r="B7" s="1972"/>
      <c r="C7" s="1972"/>
      <c r="D7" s="1972"/>
      <c r="E7" s="1972"/>
      <c r="F7" s="1972"/>
      <c r="G7" s="1972"/>
      <c r="H7" s="1972"/>
      <c r="I7" s="1972"/>
      <c r="J7" s="1972"/>
    </row>
    <row r="8" spans="1:10">
      <c r="A8" s="1972"/>
      <c r="B8" s="1972"/>
      <c r="C8" s="1972"/>
      <c r="D8" s="1972"/>
      <c r="E8" s="1972"/>
      <c r="F8" s="1972"/>
      <c r="G8" s="1972"/>
      <c r="H8" s="1972"/>
      <c r="I8" s="1972"/>
      <c r="J8" s="1972"/>
    </row>
    <row r="9" spans="1:10">
      <c r="A9" s="1972"/>
      <c r="B9" s="1972"/>
      <c r="C9" s="1972"/>
      <c r="D9" s="1972"/>
      <c r="E9" s="1972"/>
      <c r="F9" s="1972"/>
      <c r="G9" s="1972"/>
      <c r="H9" s="1972"/>
      <c r="I9" s="1972"/>
      <c r="J9" s="1972"/>
    </row>
    <row r="10" spans="1:10">
      <c r="A10" s="1972"/>
      <c r="B10" s="1972"/>
      <c r="C10" s="1972"/>
      <c r="D10" s="1972"/>
      <c r="E10" s="1972"/>
      <c r="F10" s="1972"/>
      <c r="G10" s="1972"/>
      <c r="H10" s="1972"/>
      <c r="I10" s="1972"/>
      <c r="J10" s="1972"/>
    </row>
    <row r="11" spans="1:10">
      <c r="A11" s="1972"/>
      <c r="B11" s="1972"/>
      <c r="C11" s="1972"/>
      <c r="D11" s="1972"/>
      <c r="E11" s="1972"/>
      <c r="F11" s="1972"/>
      <c r="G11" s="1972"/>
      <c r="H11" s="1972"/>
      <c r="I11" s="1972"/>
      <c r="J11" s="1972"/>
    </row>
    <row r="12" spans="1:10">
      <c r="A12" s="1972"/>
      <c r="B12" s="1972"/>
      <c r="C12" s="1972"/>
      <c r="D12" s="1972"/>
      <c r="E12" s="1972"/>
      <c r="F12" s="1972"/>
      <c r="G12" s="1972"/>
      <c r="H12" s="1972"/>
      <c r="I12" s="1972"/>
      <c r="J12" s="1972"/>
    </row>
    <row r="13" spans="1:10">
      <c r="A13" s="1972"/>
      <c r="B13" s="1972"/>
      <c r="C13" s="1972"/>
      <c r="D13" s="1972"/>
      <c r="E13" s="1972"/>
      <c r="F13" s="1972"/>
      <c r="G13" s="1972"/>
      <c r="H13" s="1972"/>
      <c r="I13" s="1972"/>
      <c r="J13" s="1972"/>
    </row>
    <row r="14" spans="1:10">
      <c r="A14" s="1972"/>
      <c r="B14" s="1972"/>
      <c r="C14" s="1972"/>
      <c r="D14" s="1972"/>
      <c r="E14" s="1972"/>
      <c r="F14" s="1972"/>
      <c r="G14" s="1972"/>
      <c r="H14" s="1972"/>
      <c r="I14" s="1972"/>
      <c r="J14" s="1972"/>
    </row>
    <row r="15" spans="1:10">
      <c r="A15" s="1972"/>
      <c r="B15" s="1972"/>
      <c r="C15" s="1972"/>
      <c r="D15" s="1972"/>
      <c r="E15" s="1972"/>
      <c r="F15" s="1972"/>
      <c r="G15" s="1972"/>
      <c r="H15" s="1972"/>
      <c r="I15" s="1972"/>
      <c r="J15" s="1972"/>
    </row>
    <row r="16" spans="1:10">
      <c r="A16" s="1972"/>
      <c r="B16" s="1972"/>
      <c r="C16" s="1972"/>
      <c r="D16" s="1972"/>
      <c r="E16" s="1972"/>
      <c r="F16" s="1972"/>
      <c r="G16" s="1972"/>
      <c r="H16" s="1972"/>
      <c r="I16" s="1972"/>
      <c r="J16" s="1972"/>
    </row>
    <row r="17" spans="1:10">
      <c r="A17" s="1972"/>
      <c r="B17" s="1972"/>
      <c r="C17" s="1972"/>
      <c r="D17" s="1972"/>
      <c r="E17" s="1972"/>
      <c r="F17" s="1972"/>
      <c r="G17" s="1972"/>
      <c r="H17" s="1972"/>
      <c r="I17" s="1972"/>
      <c r="J17" s="1972"/>
    </row>
    <row r="18" spans="1:10">
      <c r="A18" s="1972"/>
      <c r="B18" s="1972"/>
      <c r="C18" s="1972"/>
      <c r="D18" s="1972"/>
      <c r="E18" s="1972"/>
      <c r="F18" s="1972"/>
      <c r="G18" s="1972"/>
      <c r="H18" s="1972"/>
      <c r="I18" s="1972"/>
      <c r="J18" s="1972"/>
    </row>
    <row r="19" spans="1:10">
      <c r="A19" s="1972"/>
      <c r="B19" s="1972"/>
      <c r="C19" s="1972"/>
      <c r="D19" s="1972"/>
      <c r="E19" s="1972"/>
      <c r="F19" s="1972"/>
      <c r="G19" s="1972"/>
      <c r="H19" s="1972"/>
      <c r="I19" s="1972"/>
      <c r="J19" s="1972"/>
    </row>
    <row r="20" spans="1:10">
      <c r="A20" s="1972"/>
      <c r="B20" s="1972"/>
      <c r="C20" s="1972"/>
      <c r="D20" s="1972"/>
      <c r="E20" s="1972"/>
      <c r="F20" s="1972"/>
      <c r="G20" s="1972"/>
      <c r="H20" s="1972"/>
      <c r="I20" s="1972"/>
      <c r="J20" s="1972"/>
    </row>
    <row r="21" spans="1:10">
      <c r="A21" s="1972"/>
      <c r="B21" s="1972"/>
      <c r="C21" s="1972"/>
      <c r="D21" s="1972"/>
      <c r="E21" s="1972"/>
      <c r="F21" s="1972"/>
      <c r="G21" s="1972"/>
      <c r="H21" s="1972"/>
      <c r="I21" s="1972"/>
      <c r="J21" s="1972"/>
    </row>
    <row r="22" spans="1:10">
      <c r="A22" s="1972"/>
      <c r="B22" s="1972"/>
      <c r="C22" s="1972"/>
      <c r="D22" s="1972"/>
      <c r="E22" s="1972"/>
      <c r="F22" s="1972"/>
      <c r="G22" s="1972"/>
      <c r="H22" s="1972"/>
      <c r="I22" s="1972"/>
      <c r="J22" s="1972"/>
    </row>
    <row r="23" spans="1:10">
      <c r="A23" s="1972"/>
      <c r="B23" s="1972"/>
      <c r="C23" s="1972"/>
      <c r="D23" s="1972"/>
      <c r="E23" s="1972"/>
      <c r="F23" s="1972"/>
      <c r="G23" s="1972"/>
      <c r="H23" s="1972"/>
      <c r="I23" s="1972"/>
      <c r="J23" s="1972"/>
    </row>
    <row r="24" spans="1:10">
      <c r="A24" s="1972"/>
      <c r="B24" s="1972"/>
      <c r="C24" s="1972"/>
      <c r="D24" s="1972"/>
      <c r="E24" s="1972"/>
      <c r="F24" s="1972"/>
      <c r="G24" s="1972"/>
      <c r="H24" s="1972"/>
      <c r="I24" s="1972"/>
      <c r="J24" s="1972"/>
    </row>
    <row r="25" spans="1:10">
      <c r="A25" s="1972"/>
      <c r="B25" s="1972"/>
      <c r="C25" s="1972"/>
      <c r="D25" s="1972"/>
      <c r="E25" s="1972"/>
      <c r="F25" s="1972"/>
      <c r="G25" s="1972"/>
      <c r="H25" s="1972"/>
      <c r="I25" s="1972"/>
      <c r="J25" s="1972"/>
    </row>
    <row r="26" spans="1:10">
      <c r="A26" s="1972"/>
      <c r="B26" s="1972"/>
      <c r="C26" s="1972"/>
      <c r="D26" s="1972"/>
      <c r="E26" s="1972"/>
      <c r="F26" s="1972"/>
      <c r="G26" s="1972"/>
      <c r="H26" s="1972"/>
      <c r="I26" s="1972"/>
      <c r="J26" s="1972"/>
    </row>
    <row r="27" spans="1:10">
      <c r="A27" s="1972"/>
      <c r="B27" s="1972"/>
      <c r="C27" s="1972"/>
      <c r="D27" s="1972"/>
      <c r="E27" s="1972"/>
      <c r="F27" s="1972"/>
      <c r="G27" s="1972"/>
      <c r="H27" s="1972"/>
      <c r="I27" s="1972"/>
      <c r="J27" s="1972"/>
    </row>
    <row r="28" spans="1:10">
      <c r="A28" s="1972"/>
      <c r="B28" s="1972"/>
      <c r="C28" s="1972"/>
      <c r="D28" s="1972"/>
      <c r="E28" s="1972"/>
      <c r="F28" s="1972"/>
      <c r="G28" s="1972"/>
      <c r="H28" s="1972"/>
      <c r="I28" s="1972"/>
      <c r="J28" s="1972"/>
    </row>
    <row r="29" spans="1:10">
      <c r="A29" s="1972"/>
      <c r="B29" s="1972"/>
      <c r="C29" s="1972"/>
      <c r="D29" s="1972"/>
      <c r="E29" s="1972"/>
      <c r="F29" s="1972"/>
      <c r="G29" s="1972"/>
      <c r="H29" s="1972"/>
      <c r="I29" s="1972"/>
      <c r="J29" s="1972"/>
    </row>
    <row r="30" spans="1:10">
      <c r="A30" s="1972"/>
      <c r="B30" s="1972"/>
      <c r="C30" s="1972"/>
      <c r="D30" s="1972"/>
      <c r="E30" s="1972"/>
      <c r="F30" s="1972"/>
      <c r="G30" s="1972"/>
      <c r="H30" s="1972"/>
      <c r="I30" s="1972"/>
      <c r="J30" s="1972"/>
    </row>
    <row r="31" spans="1:10">
      <c r="A31" s="1972"/>
      <c r="B31" s="1972"/>
      <c r="C31" s="1972"/>
      <c r="D31" s="1972"/>
      <c r="E31" s="1972"/>
      <c r="F31" s="1972"/>
      <c r="G31" s="1972"/>
      <c r="H31" s="1972"/>
      <c r="I31" s="1972"/>
      <c r="J31" s="197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8" customWidth="1"/>
    <col min="2" max="16384" width="14.44140625" style="1960"/>
  </cols>
  <sheetData>
    <row r="1" spans="1:7" s="1975" customFormat="1" ht="17.399999999999999">
      <c r="A1" s="1974" t="s">
        <v>1657</v>
      </c>
    </row>
    <row r="3" spans="1:7">
      <c r="A3" s="1976" t="s">
        <v>82</v>
      </c>
      <c r="B3" s="1960" t="s">
        <v>1658</v>
      </c>
      <c r="G3" s="1977"/>
    </row>
    <row r="4" spans="1:7">
      <c r="G4" s="1977"/>
    </row>
    <row r="5" spans="1:7">
      <c r="A5" s="1979" t="s">
        <v>73</v>
      </c>
      <c r="B5" s="1960" t="s">
        <v>1659</v>
      </c>
      <c r="G5" s="1977"/>
    </row>
    <row r="6" spans="1:7">
      <c r="G6" s="1977"/>
    </row>
    <row r="7" spans="1:7">
      <c r="A7" s="1980" t="s">
        <v>135</v>
      </c>
      <c r="B7" s="1960" t="s">
        <v>1660</v>
      </c>
      <c r="G7" s="1977"/>
    </row>
    <row r="8" spans="1:7">
      <c r="G8" s="1977"/>
    </row>
    <row r="9" spans="1:7">
      <c r="A9" s="1981" t="s">
        <v>74</v>
      </c>
      <c r="B9" s="1960" t="s">
        <v>1661</v>
      </c>
    </row>
    <row r="11" spans="1:7">
      <c r="A11" s="1982" t="s">
        <v>75</v>
      </c>
      <c r="B11" s="1983" t="s">
        <v>72</v>
      </c>
    </row>
    <row r="13" spans="1:7">
      <c r="A13" s="1984" t="s">
        <v>1662</v>
      </c>
    </row>
    <row r="15" spans="1:7" ht="14.4">
      <c r="A15" s="3023" t="s">
        <v>1663</v>
      </c>
      <c r="B15" s="3018" t="s">
        <v>136</v>
      </c>
      <c r="C15" s="3019"/>
    </row>
    <row r="16" spans="1:7" ht="14.4">
      <c r="A16" s="3024"/>
      <c r="B16" s="3018" t="s">
        <v>69</v>
      </c>
      <c r="C16" s="3019"/>
    </row>
    <row r="17" spans="1:3" ht="14.4">
      <c r="A17" s="3024"/>
      <c r="B17" s="3021" t="s">
        <v>1664</v>
      </c>
      <c r="C17" s="1985" t="s">
        <v>1663</v>
      </c>
    </row>
    <row r="18" spans="1:3" ht="14.4">
      <c r="A18" s="3024"/>
      <c r="B18" s="3021"/>
      <c r="C18" s="1985" t="s">
        <v>1665</v>
      </c>
    </row>
    <row r="19" spans="1:3" ht="14.4">
      <c r="A19" s="3024"/>
      <c r="B19" s="3021"/>
      <c r="C19" s="1985" t="s">
        <v>1666</v>
      </c>
    </row>
    <row r="20" spans="1:3" ht="14.4">
      <c r="A20" s="3025"/>
      <c r="B20" s="3020" t="s">
        <v>1667</v>
      </c>
      <c r="C20" s="3019"/>
    </row>
    <row r="21" spans="1:3" ht="14.4">
      <c r="A21" s="1986" t="s">
        <v>1668</v>
      </c>
      <c r="B21" s="1987"/>
      <c r="C21" s="1988"/>
    </row>
    <row r="22" spans="1:3" ht="14.4">
      <c r="A22" s="3022" t="s">
        <v>1669</v>
      </c>
      <c r="B22" s="3020" t="s">
        <v>1670</v>
      </c>
      <c r="C22" s="3019"/>
    </row>
    <row r="23" spans="1:3" ht="14.4">
      <c r="A23" s="3022"/>
      <c r="B23" s="3020" t="s">
        <v>1671</v>
      </c>
      <c r="C23" s="3019"/>
    </row>
    <row r="24" spans="1:3" ht="14.4">
      <c r="A24" s="3022"/>
      <c r="B24" s="3020" t="s">
        <v>1672</v>
      </c>
      <c r="C24" s="3019"/>
    </row>
    <row r="25" spans="1:3" ht="14.4">
      <c r="A25" s="3022"/>
      <c r="B25" s="3021" t="s">
        <v>1673</v>
      </c>
      <c r="C25" s="1985" t="s">
        <v>1674</v>
      </c>
    </row>
    <row r="26" spans="1:3" ht="14.4">
      <c r="A26" s="3022"/>
      <c r="B26" s="3021"/>
      <c r="C26" s="1985" t="s">
        <v>1675</v>
      </c>
    </row>
    <row r="27" spans="1:3" ht="14.4">
      <c r="A27" s="3022"/>
      <c r="B27" s="3021"/>
      <c r="C27" s="1985" t="s">
        <v>1676</v>
      </c>
    </row>
    <row r="28" spans="1:3" ht="14.4">
      <c r="A28" s="3022"/>
      <c r="B28" s="3021"/>
      <c r="C28" s="1985" t="s">
        <v>1677</v>
      </c>
    </row>
    <row r="29" spans="1:3" ht="14.4">
      <c r="A29" s="3022"/>
      <c r="B29" s="3021"/>
      <c r="C29" s="1985" t="s">
        <v>1678</v>
      </c>
    </row>
    <row r="30" spans="1:3" ht="14.4">
      <c r="A30" s="3022"/>
      <c r="B30" s="3021"/>
      <c r="C30" s="1985" t="s">
        <v>1679</v>
      </c>
    </row>
    <row r="31" spans="1:3" ht="14.4">
      <c r="A31" s="3022"/>
      <c r="B31" s="3021"/>
      <c r="C31" s="1985" t="s">
        <v>1680</v>
      </c>
    </row>
    <row r="32" spans="1:3" ht="14.4">
      <c r="A32" s="3022"/>
      <c r="B32" s="3021"/>
      <c r="C32" s="1985" t="s">
        <v>1681</v>
      </c>
    </row>
    <row r="33" spans="1:3" ht="14.4">
      <c r="A33" s="3022"/>
      <c r="B33" s="3021"/>
      <c r="C33" s="1985" t="s">
        <v>1682</v>
      </c>
    </row>
    <row r="34" spans="1:3">
      <c r="A34" s="1989" t="s">
        <v>76</v>
      </c>
    </row>
    <row r="37" spans="1:3">
      <c r="A37" s="1989" t="s">
        <v>1683</v>
      </c>
    </row>
    <row r="38" spans="1:3" ht="14.4">
      <c r="A38" s="1990" t="s">
        <v>77</v>
      </c>
    </row>
    <row r="39" spans="1:3" ht="14.4">
      <c r="A39" s="1990" t="s">
        <v>78</v>
      </c>
    </row>
    <row r="40" spans="1:3" ht="14.4">
      <c r="A40" s="1990" t="s">
        <v>79</v>
      </c>
    </row>
    <row r="41" spans="1:3" ht="14.4">
      <c r="A41" s="1991" t="s">
        <v>80</v>
      </c>
    </row>
    <row r="42" spans="1:3" ht="14.4">
      <c r="A42" s="19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0"/>
    <col min="3" max="3" width="32.21875" style="1010" customWidth="1"/>
    <col min="4" max="5" width="22.6640625" style="1010"/>
    <col min="6" max="6" width="25.6640625" style="1010" customWidth="1"/>
    <col min="7" max="16384" width="22.6640625" style="1010"/>
  </cols>
  <sheetData>
    <row r="2" spans="1:6" ht="24" customHeight="1">
      <c r="A2" s="1012" t="s">
        <v>825</v>
      </c>
      <c r="B2" s="1013">
        <f ca="1">TODAY()</f>
        <v>44029</v>
      </c>
      <c r="C2" s="1014" t="s">
        <v>826</v>
      </c>
      <c r="D2" s="1014"/>
    </row>
    <row r="3" spans="1:6" ht="24" customHeight="1">
      <c r="A3" s="1015" t="s">
        <v>827</v>
      </c>
      <c r="B3" s="1016" t="s">
        <v>828</v>
      </c>
      <c r="C3" s="2333" t="s">
        <v>829</v>
      </c>
      <c r="D3" s="2336" t="s">
        <v>830</v>
      </c>
      <c r="E3" s="1017" t="s">
        <v>831</v>
      </c>
      <c r="F3" s="1016" t="s">
        <v>829</v>
      </c>
    </row>
    <row r="4" spans="1:6" ht="24" customHeight="1">
      <c r="A4" s="1696" t="s">
        <v>832</v>
      </c>
      <c r="B4" s="1017">
        <f ca="1">IF(C4&lt;B2,"已过期",1119970066)</f>
        <v>1119970066</v>
      </c>
      <c r="C4" s="2916">
        <v>44876</v>
      </c>
      <c r="D4" s="2337" t="s">
        <v>832</v>
      </c>
      <c r="E4" s="1017">
        <f ca="1">IF(F4&lt;B2,"已过期",96010014)</f>
        <v>96010014</v>
      </c>
      <c r="F4" s="1025">
        <v>47118</v>
      </c>
    </row>
    <row r="5" spans="1:6" ht="24" customHeight="1">
      <c r="A5" s="1696"/>
      <c r="B5" s="1017"/>
      <c r="C5" s="2334"/>
      <c r="D5" s="2337"/>
      <c r="E5" s="1017"/>
      <c r="F5" s="1025"/>
    </row>
    <row r="6" spans="1:6" ht="24" customHeight="1">
      <c r="A6" s="1696" t="s">
        <v>833</v>
      </c>
      <c r="B6" s="1017">
        <f ca="1">IF(C6&lt;B2,"已过期",1119970111)</f>
        <v>1119970111</v>
      </c>
      <c r="C6" s="2334">
        <v>44876</v>
      </c>
      <c r="D6" s="2337" t="s">
        <v>833</v>
      </c>
      <c r="E6" s="1017">
        <f ca="1">IF(F6&lt;B2,"已过期",94010078)</f>
        <v>94010078</v>
      </c>
      <c r="F6" s="1025">
        <v>46387</v>
      </c>
    </row>
    <row r="7" spans="1:6" ht="24" customHeight="1">
      <c r="A7" s="1696" t="s">
        <v>834</v>
      </c>
      <c r="B7" s="1017">
        <f ca="1">IF(C7&lt;B2,"已过期",1120050019)</f>
        <v>1120050019</v>
      </c>
      <c r="C7" s="2334">
        <v>44395</v>
      </c>
      <c r="D7" s="2337" t="s">
        <v>834</v>
      </c>
      <c r="E7" s="1017">
        <f ca="1">IF(F7&lt;B2,"已过期",2002110030)</f>
        <v>2002110030</v>
      </c>
      <c r="F7" s="1025">
        <v>46387</v>
      </c>
    </row>
    <row r="8" spans="1:6" ht="24" customHeight="1">
      <c r="A8" s="1696" t="s">
        <v>835</v>
      </c>
      <c r="B8" s="1017">
        <f ca="1">IF(C8&lt;B2,"已过期",1120000080)</f>
        <v>1120000080</v>
      </c>
      <c r="C8" s="2916">
        <v>44876</v>
      </c>
      <c r="D8" s="2337" t="s">
        <v>835</v>
      </c>
      <c r="E8" s="1017">
        <f ca="1">IF(F8&lt;B2,"已过期",2000110082)</f>
        <v>2000110082</v>
      </c>
      <c r="F8" s="1025">
        <v>46387</v>
      </c>
    </row>
    <row r="9" spans="1:6" ht="24" customHeight="1">
      <c r="A9" s="1696" t="s">
        <v>836</v>
      </c>
      <c r="B9" s="1017">
        <f ca="1">IF(C9&lt;B2,"已过期",1419970001)</f>
        <v>1419970001</v>
      </c>
      <c r="C9" s="2916">
        <v>44899</v>
      </c>
      <c r="D9" s="2337" t="s">
        <v>836</v>
      </c>
      <c r="E9" s="1017">
        <f ca="1">IF(F9&lt;B2,"已过期",2002110125)</f>
        <v>2002110125</v>
      </c>
      <c r="F9" s="1025">
        <v>47118</v>
      </c>
    </row>
    <row r="10" spans="1:6" ht="24" customHeight="1">
      <c r="A10" s="1696" t="s">
        <v>837</v>
      </c>
      <c r="B10" s="1017">
        <f ca="1">IF(C10&lt;B2,"已过期",1120060040)</f>
        <v>1120060040</v>
      </c>
      <c r="C10" s="2334">
        <v>44554</v>
      </c>
      <c r="D10" s="2337" t="s">
        <v>837</v>
      </c>
      <c r="E10" s="1017">
        <f ca="1">IF(F10&lt;B2,"已过期",2004110096)</f>
        <v>2004110096</v>
      </c>
      <c r="F10" s="1025">
        <v>47118</v>
      </c>
    </row>
    <row r="11" spans="1:6" ht="24" customHeight="1">
      <c r="A11" s="1696" t="s">
        <v>838</v>
      </c>
      <c r="B11" s="1017">
        <f ca="1">IF(C11&lt;B2,"已过期",1120100036)</f>
        <v>1120100036</v>
      </c>
      <c r="C11" s="2334">
        <v>44675</v>
      </c>
      <c r="D11" s="2337" t="s">
        <v>838</v>
      </c>
      <c r="E11" s="1017">
        <f ca="1">IF(F11&lt;B2,"已过期",2010110070)</f>
        <v>2010110070</v>
      </c>
      <c r="F11" s="1025">
        <v>47907</v>
      </c>
    </row>
    <row r="12" spans="1:6" ht="24" customHeight="1">
      <c r="A12" s="1696"/>
      <c r="B12" s="1017"/>
      <c r="C12" s="2916"/>
      <c r="D12" s="1696"/>
      <c r="E12" s="1017"/>
      <c r="F12" s="1025"/>
    </row>
    <row r="13" spans="1:6" ht="24" customHeight="1">
      <c r="A13" s="1696" t="s">
        <v>839</v>
      </c>
      <c r="B13" s="1017">
        <f ca="1">IF(C13&lt;B2,"已过期",1120070131)</f>
        <v>1120070131</v>
      </c>
      <c r="C13" s="2334">
        <v>44849</v>
      </c>
      <c r="D13" s="2337" t="s">
        <v>839</v>
      </c>
      <c r="E13" s="1017">
        <f ca="1">IF(F13&lt;B2,"已过期",2014110011)</f>
        <v>2014110011</v>
      </c>
      <c r="F13" s="1025">
        <v>49302</v>
      </c>
    </row>
    <row r="14" spans="1:6" ht="24" customHeight="1">
      <c r="A14" s="1696" t="s">
        <v>3036</v>
      </c>
      <c r="B14" s="1017">
        <f ca="1">IF(C14&lt;B2,"已过期",1120040230)</f>
        <v>1120040230</v>
      </c>
      <c r="C14" s="2334">
        <v>44864</v>
      </c>
      <c r="D14" s="2337" t="s">
        <v>3036</v>
      </c>
      <c r="E14" s="1017">
        <f ca="1">IF(F14&lt;B2,"已过期",98030020)</f>
        <v>98030020</v>
      </c>
      <c r="F14" s="1025">
        <v>47118</v>
      </c>
    </row>
    <row r="15" spans="1:6" ht="24" customHeight="1">
      <c r="A15" s="1697"/>
      <c r="B15" s="1017"/>
      <c r="C15" s="2334"/>
      <c r="D15" s="2338"/>
      <c r="E15" s="1017"/>
      <c r="F15" s="1018"/>
    </row>
    <row r="16" spans="1:6" ht="24" customHeight="1">
      <c r="A16" s="1696"/>
      <c r="B16" s="1017"/>
      <c r="C16" s="2916"/>
      <c r="D16" s="2337"/>
      <c r="E16" s="1017"/>
      <c r="F16" s="1025"/>
    </row>
    <row r="17" spans="1:7" ht="24" customHeight="1">
      <c r="A17" s="1696"/>
      <c r="B17" s="1017"/>
      <c r="C17" s="2334"/>
      <c r="D17" s="2337"/>
      <c r="E17" s="1017"/>
      <c r="F17" s="1025"/>
    </row>
    <row r="18" spans="1:7" ht="24" customHeight="1">
      <c r="A18" s="1696" t="s">
        <v>3043</v>
      </c>
      <c r="B18" s="1017">
        <v>1120190079</v>
      </c>
      <c r="C18" s="2916">
        <v>44826</v>
      </c>
      <c r="D18" s="2337"/>
      <c r="E18" s="1017"/>
      <c r="F18" s="1025"/>
    </row>
    <row r="19" spans="1:7" ht="24" customHeight="1">
      <c r="A19" s="1696"/>
      <c r="B19" s="1017"/>
      <c r="C19" s="2334"/>
      <c r="D19" s="2337"/>
      <c r="E19" s="1017"/>
      <c r="F19" s="1017"/>
    </row>
    <row r="20" spans="1:7" ht="24" customHeight="1">
      <c r="A20" s="1696"/>
      <c r="B20" s="1017"/>
      <c r="C20" s="2334"/>
      <c r="D20" s="2337"/>
      <c r="E20" s="1017"/>
      <c r="F20" s="1017"/>
    </row>
    <row r="21" spans="1:7" ht="24" customHeight="1">
      <c r="A21" s="1696"/>
      <c r="B21" s="1017"/>
      <c r="C21" s="2334"/>
      <c r="D21" s="2337" t="s">
        <v>840</v>
      </c>
      <c r="E21" s="1017">
        <f ca="1">IF(F21&lt;B2,"已过期",2011110090)</f>
        <v>2011110090</v>
      </c>
      <c r="F21" s="1025">
        <v>48302</v>
      </c>
    </row>
    <row r="22" spans="1:7" ht="24" customHeight="1">
      <c r="A22" s="1696" t="s">
        <v>841</v>
      </c>
      <c r="B22" s="1017">
        <f ca="1">IF(C22&lt;B2,"已过期",1120020033)</f>
        <v>1120020033</v>
      </c>
      <c r="C22" s="2916">
        <v>44339</v>
      </c>
      <c r="D22" s="2337" t="s">
        <v>841</v>
      </c>
      <c r="E22" s="1017">
        <f ca="1">IF(F22&lt;B2,"已过期",2000110137)</f>
        <v>2000110137</v>
      </c>
      <c r="F22" s="1025">
        <v>46387</v>
      </c>
    </row>
    <row r="23" spans="1:7" ht="24" customHeight="1">
      <c r="A23" s="1696" t="s">
        <v>3045</v>
      </c>
      <c r="B23" s="1017">
        <v>1119980106</v>
      </c>
      <c r="C23" s="2334">
        <v>44969</v>
      </c>
      <c r="D23" s="2337"/>
      <c r="E23" s="1017"/>
      <c r="F23" s="1017"/>
    </row>
    <row r="24" spans="1:7" s="1019" customFormat="1" ht="24" customHeight="1">
      <c r="A24" s="1697" t="s">
        <v>1328</v>
      </c>
      <c r="B24" s="1697" t="s">
        <v>1328</v>
      </c>
      <c r="C24" s="2335" t="s">
        <v>1328</v>
      </c>
      <c r="D24" s="2338" t="s">
        <v>1328</v>
      </c>
      <c r="E24" s="1697" t="s">
        <v>1328</v>
      </c>
      <c r="F24" s="1697" t="s">
        <v>1328</v>
      </c>
    </row>
    <row r="25" spans="1:7" ht="24" customHeight="1">
      <c r="A25" s="3026" t="s">
        <v>842</v>
      </c>
      <c r="B25" s="3026"/>
      <c r="C25" s="3026"/>
      <c r="D25" s="3026"/>
      <c r="E25" s="3026"/>
      <c r="F25" s="3026"/>
      <c r="G25" s="3026"/>
    </row>
    <row r="26" spans="1:7" s="1020" customFormat="1" ht="24" customHeight="1">
      <c r="A26" s="3027" t="s">
        <v>843</v>
      </c>
      <c r="B26" s="3027"/>
      <c r="C26" s="3028"/>
      <c r="D26" s="3029" t="s">
        <v>844</v>
      </c>
      <c r="E26" s="3027"/>
      <c r="F26" s="3027"/>
    </row>
    <row r="27" spans="1:7" s="1022" customFormat="1" ht="24" customHeight="1">
      <c r="A27" s="1021" t="s">
        <v>845</v>
      </c>
      <c r="B27" s="1016" t="s">
        <v>846</v>
      </c>
      <c r="C27" s="2333" t="s">
        <v>847</v>
      </c>
      <c r="D27" s="2340" t="s">
        <v>845</v>
      </c>
      <c r="E27" s="1016" t="s">
        <v>846</v>
      </c>
      <c r="F27" s="1016" t="s">
        <v>847</v>
      </c>
    </row>
    <row r="28" spans="1:7" s="1022" customFormat="1" ht="24" customHeight="1">
      <c r="A28" s="1023" t="s">
        <v>848</v>
      </c>
      <c r="B28" s="1024" t="s">
        <v>849</v>
      </c>
      <c r="C28" s="1025">
        <v>44820</v>
      </c>
      <c r="D28" s="2341" t="s">
        <v>850</v>
      </c>
      <c r="E28" s="1023" t="s">
        <v>851</v>
      </c>
      <c r="F28" s="1053">
        <v>44377</v>
      </c>
    </row>
    <row r="29" spans="1:7" s="1022" customFormat="1" ht="24" customHeight="1">
      <c r="A29" s="1023"/>
      <c r="B29" s="1023"/>
      <c r="C29" s="2339"/>
      <c r="D29" s="2341" t="s">
        <v>852</v>
      </c>
      <c r="E29" s="1197" t="s">
        <v>3044</v>
      </c>
      <c r="F29" s="1198">
        <v>44012</v>
      </c>
    </row>
    <row r="30" spans="1:7" ht="24" customHeight="1">
      <c r="C30" s="1026"/>
      <c r="D30" s="1026"/>
    </row>
  </sheetData>
  <sheetProtection sheet="1" objects="1" scenarios="1"/>
  <mergeCells count="3">
    <mergeCell ref="A25:G25"/>
    <mergeCell ref="A26:C26"/>
    <mergeCell ref="D26:F26"/>
  </mergeCells>
  <phoneticPr fontId="88"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整体</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成本法</vt:lpstr>
      <vt:lpstr>成本法 (元)</vt:lpstr>
      <vt:lpstr>假设开发法</vt:lpstr>
      <vt:lpstr>土地比较法-住宅、综合</vt:lpstr>
      <vt:lpstr>地上1层</vt:lpstr>
      <vt:lpstr>地下1层</vt:lpstr>
      <vt:lpstr>地下2层</vt:lpstr>
      <vt:lpstr>地下3层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地上1层!Print_Area</vt:lpstr>
      <vt:lpstr>地下1层!Print_Area</vt:lpstr>
      <vt:lpstr>地下2层!Print_Area</vt:lpstr>
      <vt:lpstr>地下3层!Print_Area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2020-07-17T02:56:00Z</dcterms:modified>
</cp:coreProperties>
</file>